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tunadata\Compliance\2025_SharedDocs\Commission\COC\COC-304\"/>
    </mc:Choice>
  </mc:AlternateContent>
  <xr:revisionPtr revIDLastSave="0" documentId="13_ncr:1_{CC0F03A1-E40F-411E-8F47-8EC9B18D9851}" xr6:coauthVersionLast="47" xr6:coauthVersionMax="47" xr10:uidLastSave="{00000000-0000-0000-0000-000000000000}"/>
  <bookViews>
    <workbookView xWindow="-108" yWindow="-108" windowWidth="23256" windowHeight="12576" xr2:uid="{00000000-000D-0000-FFFF-FFFF00000000}"/>
  </bookViews>
  <sheets>
    <sheet name="Adjustement data" sheetId="1" r:id="rId1"/>
  </sheets>
  <definedNames>
    <definedName name="_xlnm.Print_Area" localSheetId="0">'Adjustement data'!$A$1:$R$1971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732" i="1" l="1"/>
  <c r="F732" i="1"/>
  <c r="D732" i="1"/>
  <c r="C276" i="1" l="1"/>
  <c r="K226" i="1"/>
  <c r="M226" i="1"/>
  <c r="M195" i="1"/>
  <c r="E710" i="1"/>
  <c r="F707" i="1" s="1"/>
  <c r="I1666" i="1" l="1"/>
  <c r="F1986" i="1" l="1"/>
  <c r="K1952" i="1" l="1"/>
  <c r="L1949" i="1" s="1"/>
  <c r="L1952" i="1" s="1"/>
  <c r="L1918" i="1" l="1"/>
  <c r="E2001" i="1"/>
  <c r="B1273" i="1"/>
  <c r="S1073" i="1" l="1"/>
  <c r="E1682" i="1" l="1"/>
  <c r="D1682" i="1"/>
  <c r="C1682" i="1"/>
  <c r="B1682" i="1"/>
  <c r="H1679" i="1"/>
  <c r="M1306" i="1" l="1"/>
  <c r="L1306" i="1"/>
  <c r="L1309" i="1" s="1"/>
  <c r="M837" i="1"/>
  <c r="L837" i="1"/>
  <c r="Q1177" i="1"/>
  <c r="O1177" i="1"/>
  <c r="Q1180" i="1" l="1"/>
  <c r="F719" i="1" l="1"/>
  <c r="K2217" i="1" l="1"/>
  <c r="K2198" i="1"/>
  <c r="K2153" i="1" l="1"/>
  <c r="K2134" i="1"/>
  <c r="G2080" i="1"/>
  <c r="D2001" i="1" l="1"/>
  <c r="K1903" i="1" l="1"/>
  <c r="K1884" i="1" l="1"/>
  <c r="K1887" i="1" s="1"/>
  <c r="L1865" i="1"/>
  <c r="B1855" i="1" l="1"/>
  <c r="C1852" i="1" s="1"/>
  <c r="I1803" i="1"/>
  <c r="L1718" i="1" l="1"/>
  <c r="B1653" i="1" l="1"/>
  <c r="M1586" i="1"/>
  <c r="M1566" i="1"/>
  <c r="L1566" i="1"/>
  <c r="N1526" i="1"/>
  <c r="M1529" i="1"/>
  <c r="K1463" i="1" l="1"/>
  <c r="K1446" i="1"/>
  <c r="L1380" i="1"/>
  <c r="N1329" i="1"/>
  <c r="M1329" i="1"/>
  <c r="M1332" i="1" s="1"/>
  <c r="M1317" i="1"/>
  <c r="L1320" i="1"/>
  <c r="N1306" i="1"/>
  <c r="M1296" i="1"/>
  <c r="C1284" i="1" l="1"/>
  <c r="Q1231" i="1"/>
  <c r="R1231" i="1"/>
  <c r="K944" i="1" l="1"/>
  <c r="L854" i="1" l="1"/>
  <c r="L840" i="1"/>
  <c r="G820" i="1"/>
  <c r="L775" i="1"/>
  <c r="G747" i="1"/>
  <c r="H747" i="1"/>
  <c r="I747" i="1"/>
  <c r="L682" i="1" l="1"/>
  <c r="L671" i="1"/>
  <c r="K581" i="1" l="1"/>
  <c r="K566" i="1"/>
  <c r="K531" i="1"/>
  <c r="J531" i="1"/>
  <c r="J491" i="1"/>
  <c r="P437" i="1" l="1"/>
  <c r="P421" i="1"/>
  <c r="Q382" i="1"/>
  <c r="K255" i="1" l="1"/>
  <c r="L255" i="1"/>
  <c r="J255" i="1"/>
  <c r="G237" i="1"/>
  <c r="K237" i="1"/>
  <c r="J237" i="1"/>
  <c r="N212" i="1"/>
  <c r="M212" i="1"/>
  <c r="M184" i="1"/>
  <c r="J109" i="1" l="1"/>
  <c r="J112" i="1" s="1"/>
  <c r="I109" i="1" l="1"/>
  <c r="I112" i="1" s="1"/>
  <c r="H57" i="1" l="1"/>
  <c r="H36" i="1"/>
  <c r="H39" i="1" s="1"/>
  <c r="L876" i="1" l="1"/>
  <c r="F1987" i="1" l="1"/>
  <c r="J1970" i="1"/>
  <c r="L1296" i="1" l="1"/>
  <c r="L1299" i="1" s="1"/>
  <c r="C25" i="1" l="1"/>
  <c r="F12" i="1" l="1"/>
  <c r="K1516" i="1"/>
  <c r="K1414" i="1" l="1"/>
  <c r="K635" i="1"/>
  <c r="H563" i="1" l="1"/>
  <c r="J566" i="1"/>
  <c r="O421" i="1"/>
  <c r="M1602" i="1"/>
  <c r="N772" i="1"/>
  <c r="E656" i="1"/>
  <c r="Q344" i="1"/>
  <c r="R344" i="1"/>
  <c r="L130" i="1"/>
  <c r="K130" i="1"/>
  <c r="H820" i="1" l="1"/>
  <c r="L2110" i="1"/>
  <c r="K2110" i="1"/>
  <c r="K2113" i="1" s="1"/>
  <c r="G719" i="1" l="1"/>
  <c r="I36" i="1"/>
  <c r="K876" i="1" l="1"/>
  <c r="K879" i="1" s="1"/>
  <c r="L451" i="1"/>
  <c r="L454" i="1" s="1"/>
  <c r="N226" i="1" l="1"/>
  <c r="L226" i="1"/>
  <c r="L229" i="1" s="1"/>
  <c r="L212" i="1"/>
  <c r="L215" i="1" s="1"/>
  <c r="K212" i="1"/>
  <c r="K215" i="1" s="1"/>
  <c r="M772" i="1" l="1"/>
  <c r="D656" i="1"/>
  <c r="G2094" i="1"/>
  <c r="F2094" i="1"/>
  <c r="B1745" i="1" l="1"/>
  <c r="C1742" i="1" s="1"/>
  <c r="C1745" i="1" s="1"/>
  <c r="D1742" i="1" s="1"/>
  <c r="D1745" i="1" s="1"/>
  <c r="E1742" i="1" s="1"/>
  <c r="E1745" i="1" s="1"/>
  <c r="B1284" i="1"/>
  <c r="G1251" i="1"/>
  <c r="R1104" i="1"/>
  <c r="F2080" i="1"/>
  <c r="F2083" i="1" s="1"/>
  <c r="F2067" i="1"/>
  <c r="F2070" i="1" s="1"/>
  <c r="F2054" i="1"/>
  <c r="F2057" i="1" s="1"/>
  <c r="G2054" i="1"/>
  <c r="E2054" i="1"/>
  <c r="E2057" i="1" s="1"/>
  <c r="G2039" i="1"/>
  <c r="G2026" i="1"/>
  <c r="G2010" i="1"/>
  <c r="F1742" i="1" l="1"/>
  <c r="F1745" i="1" s="1"/>
  <c r="G1742" i="1" s="1"/>
  <c r="G1745" i="1" s="1"/>
  <c r="H1742" i="1" s="1"/>
  <c r="H1745" i="1" s="1"/>
  <c r="C2001" i="1"/>
  <c r="I1970" i="1"/>
  <c r="I1742" i="1" l="1"/>
  <c r="I1745" i="1" s="1"/>
  <c r="J1742" i="1" s="1"/>
  <c r="J1745" i="1" s="1"/>
  <c r="K1742" i="1" s="1"/>
  <c r="L1916" i="1"/>
  <c r="K1918" i="1"/>
  <c r="L1931" i="1"/>
  <c r="L1934" i="1" s="1"/>
  <c r="E1730" i="1" l="1"/>
  <c r="K1718" i="1" l="1"/>
  <c r="K1721" i="1" s="1"/>
  <c r="I1884" i="1" l="1"/>
  <c r="H1884" i="1"/>
  <c r="J1884" i="1"/>
  <c r="J1887" i="1" s="1"/>
  <c r="K1865" i="1"/>
  <c r="J1865" i="1"/>
  <c r="J1868" i="1" s="1"/>
  <c r="J195" i="1"/>
  <c r="I1822" i="1" l="1"/>
  <c r="I1821" i="1" s="1"/>
  <c r="I1824" i="1" s="1"/>
  <c r="I1802" i="1"/>
  <c r="I1805" i="1" s="1"/>
  <c r="K682" i="1" l="1"/>
  <c r="K671" i="1"/>
  <c r="C1650" i="1" l="1"/>
  <c r="C1653" i="1" s="1"/>
  <c r="K1613" i="1" l="1"/>
  <c r="K1616" i="1" s="1"/>
  <c r="D1605" i="1"/>
  <c r="L1602" i="1"/>
  <c r="J1602" i="1"/>
  <c r="J1605" i="1" s="1"/>
  <c r="I1602" i="1"/>
  <c r="I1605" i="1" s="1"/>
  <c r="K1602" i="1" s="1"/>
  <c r="K1605" i="1" s="1"/>
  <c r="H1602" i="1"/>
  <c r="H1605" i="1" s="1"/>
  <c r="G1602" i="1"/>
  <c r="G1605" i="1" s="1"/>
  <c r="F1602" i="1"/>
  <c r="F1605" i="1" s="1"/>
  <c r="E1602" i="1"/>
  <c r="E1605" i="1" s="1"/>
  <c r="C1602" i="1"/>
  <c r="C1605" i="1" s="1"/>
  <c r="L1586" i="1"/>
  <c r="L1529" i="1"/>
  <c r="J1516" i="1"/>
  <c r="J1519" i="1" s="1"/>
  <c r="K1380" i="1" l="1"/>
  <c r="K1332" i="1"/>
  <c r="K1320" i="1"/>
  <c r="L1358" i="1" l="1"/>
  <c r="L1361" i="1" s="1"/>
  <c r="F1251" i="1" l="1"/>
  <c r="F1254" i="1" s="1"/>
  <c r="E1254" i="1"/>
  <c r="Q1209" i="1"/>
  <c r="Q1104" i="1"/>
  <c r="Q1107" i="1" s="1"/>
  <c r="L184" i="1" l="1"/>
  <c r="L187" i="1" s="1"/>
  <c r="L195" i="1" l="1"/>
  <c r="L198" i="1" s="1"/>
  <c r="N195" i="1"/>
  <c r="K195" i="1"/>
  <c r="K198" i="1" s="1"/>
  <c r="C1405" i="1" l="1"/>
  <c r="J2134" i="1" l="1"/>
  <c r="K2172" i="1"/>
  <c r="J2153" i="1"/>
  <c r="I2233" i="1"/>
  <c r="J2230" i="1" s="1"/>
  <c r="J2233" i="1" s="1"/>
  <c r="K2230" i="1" s="1"/>
  <c r="J2217" i="1" l="1"/>
  <c r="J2220" i="1" s="1"/>
  <c r="D1402" i="1"/>
  <c r="D1405" i="1" s="1"/>
  <c r="E1402" i="1" s="1"/>
  <c r="E1405" i="1" s="1"/>
  <c r="F1402" i="1" s="1"/>
  <c r="F1405" i="1" s="1"/>
  <c r="G1402" i="1" s="1"/>
  <c r="G1405" i="1" l="1"/>
  <c r="H1402" i="1" s="1"/>
  <c r="H1405" i="1" l="1"/>
  <c r="I1402" i="1" s="1"/>
  <c r="I1405" i="1" s="1"/>
  <c r="D710" i="1"/>
  <c r="E707" i="1" s="1"/>
  <c r="C710" i="1"/>
  <c r="K854" i="1"/>
  <c r="F820" i="1"/>
  <c r="F823" i="1" s="1"/>
  <c r="L806" i="1"/>
  <c r="L809" i="1" s="1"/>
  <c r="L787" i="1"/>
  <c r="L790" i="1" s="1"/>
  <c r="J1402" i="1" l="1"/>
  <c r="J1405" i="1" s="1"/>
  <c r="K1402" i="1" s="1"/>
  <c r="J595" i="1"/>
  <c r="J598" i="1" s="1"/>
  <c r="P400" i="1"/>
  <c r="P403" i="1" s="1"/>
  <c r="O437" i="1"/>
  <c r="P382" i="1" l="1"/>
  <c r="P385" i="1" s="1"/>
  <c r="P363" i="1"/>
  <c r="P366" i="1" s="1"/>
  <c r="K471" i="1" l="1"/>
  <c r="K474" i="1" s="1"/>
  <c r="K163" i="1" l="1"/>
  <c r="J163" i="1"/>
  <c r="J166" i="1" s="1"/>
  <c r="I163" i="1"/>
  <c r="I166" i="1" s="1"/>
  <c r="K146" i="1"/>
  <c r="G57" i="1" l="1"/>
  <c r="D22" i="1" l="1"/>
  <c r="D25" i="1" s="1"/>
  <c r="E36" i="1"/>
  <c r="E39" i="1" s="1"/>
  <c r="F36" i="1"/>
  <c r="F39" i="1" s="1"/>
  <c r="G36" i="1"/>
  <c r="G39" i="1" s="1"/>
  <c r="C39" i="1"/>
  <c r="D39" i="1"/>
  <c r="E12" i="1" l="1"/>
  <c r="J944" i="1" l="1"/>
  <c r="K284" i="1" l="1"/>
  <c r="K287" i="1" s="1"/>
  <c r="K898" i="1" l="1"/>
  <c r="K901" i="1" s="1"/>
  <c r="J581" i="1" l="1"/>
  <c r="K545" i="1"/>
  <c r="K548" i="1" s="1"/>
  <c r="K508" i="1"/>
  <c r="K511" i="1" s="1"/>
  <c r="K488" i="1"/>
  <c r="K491" i="1" s="1"/>
  <c r="K451" i="1"/>
  <c r="K454" i="1" s="1"/>
  <c r="E303" i="1" l="1"/>
  <c r="C303" i="1"/>
  <c r="C306" i="1" l="1"/>
  <c r="D303" i="1" s="1"/>
  <c r="H1501" i="1" l="1"/>
  <c r="I1498" i="1" s="1"/>
  <c r="I1501" i="1" s="1"/>
  <c r="J1498" i="1" s="1"/>
  <c r="H1482" i="1"/>
  <c r="J1446" i="1" l="1"/>
  <c r="E1986" i="1" l="1"/>
  <c r="F722" i="1"/>
  <c r="E1987" i="1" l="1"/>
  <c r="H1967" i="1" l="1"/>
  <c r="E820" i="1"/>
  <c r="E823" i="1" s="1"/>
  <c r="B966" i="1" l="1"/>
  <c r="C963" i="1" s="1"/>
  <c r="C966" i="1" s="1"/>
  <c r="D963" i="1" s="1"/>
  <c r="D966" i="1" s="1"/>
  <c r="E963" i="1" s="1"/>
  <c r="E966" i="1" s="1"/>
  <c r="F963" i="1" s="1"/>
  <c r="F966" i="1" s="1"/>
  <c r="G963" i="1" s="1"/>
  <c r="G966" i="1" s="1"/>
  <c r="B1002" i="1"/>
  <c r="C999" i="1" s="1"/>
  <c r="C1002" i="1" s="1"/>
  <c r="D999" i="1" s="1"/>
  <c r="D1002" i="1" s="1"/>
  <c r="E999" i="1" s="1"/>
  <c r="E1002" i="1" s="1"/>
  <c r="F999" i="1" s="1"/>
  <c r="F1002" i="1" s="1"/>
  <c r="G999" i="1" s="1"/>
  <c r="G1002" i="1" s="1"/>
  <c r="H999" i="1" s="1"/>
  <c r="H1002" i="1" s="1"/>
  <c r="I999" i="1" s="1"/>
  <c r="I1002" i="1" s="1"/>
  <c r="J999" i="1" s="1"/>
  <c r="J1002" i="1" s="1"/>
  <c r="K999" i="1" s="1"/>
  <c r="B984" i="1"/>
  <c r="C981" i="1" s="1"/>
  <c r="C984" i="1" s="1"/>
  <c r="D981" i="1" s="1"/>
  <c r="D984" i="1" s="1"/>
  <c r="G240" i="1"/>
  <c r="I237" i="1" s="1"/>
  <c r="F2026" i="1"/>
  <c r="F2029" i="1" s="1"/>
  <c r="D1730" i="1"/>
  <c r="D1733" i="1" s="1"/>
  <c r="C656" i="1"/>
  <c r="C659" i="1" s="1"/>
  <c r="P344" i="1"/>
  <c r="P347" i="1" s="1"/>
  <c r="J130" i="1"/>
  <c r="J133" i="1" s="1"/>
  <c r="H963" i="1" l="1"/>
  <c r="H966" i="1" s="1"/>
  <c r="I963" i="1" s="1"/>
  <c r="I966" i="1" s="1"/>
  <c r="J963" i="1" s="1"/>
  <c r="J966" i="1" s="1"/>
  <c r="K963" i="1" s="1"/>
  <c r="E981" i="1"/>
  <c r="E984" i="1" s="1"/>
  <c r="F981" i="1" l="1"/>
  <c r="F984" i="1" s="1"/>
  <c r="C89" i="1"/>
  <c r="B89" i="1"/>
  <c r="F86" i="1"/>
  <c r="F89" i="1" s="1"/>
  <c r="H86" i="1" s="1"/>
  <c r="H89" i="1" s="1"/>
  <c r="J86" i="1" s="1"/>
  <c r="J89" i="1" s="1"/>
  <c r="L86" i="1" s="1"/>
  <c r="L89" i="1" s="1"/>
  <c r="N86" i="1" s="1"/>
  <c r="E86" i="1"/>
  <c r="E89" i="1" s="1"/>
  <c r="G86" i="1" s="1"/>
  <c r="G89" i="1" s="1"/>
  <c r="I86" i="1" s="1"/>
  <c r="I89" i="1" s="1"/>
  <c r="K86" i="1" s="1"/>
  <c r="K89" i="1" s="1"/>
  <c r="M86" i="1" s="1"/>
  <c r="M89" i="1" s="1"/>
  <c r="D86" i="1"/>
  <c r="D89" i="1" s="1"/>
  <c r="C68" i="1"/>
  <c r="E65" i="1" s="1"/>
  <c r="E68" i="1" s="1"/>
  <c r="G65" i="1" s="1"/>
  <c r="G68" i="1" s="1"/>
  <c r="I65" i="1" s="1"/>
  <c r="I68" i="1" s="1"/>
  <c r="K65" i="1" s="1"/>
  <c r="K68" i="1" s="1"/>
  <c r="M65" i="1" s="1"/>
  <c r="M68" i="1" s="1"/>
  <c r="O65" i="1" s="1"/>
  <c r="B68" i="1"/>
  <c r="D65" i="1" s="1"/>
  <c r="D68" i="1" s="1"/>
  <c r="F65" i="1" s="1"/>
  <c r="F68" i="1" s="1"/>
  <c r="H65" i="1" s="1"/>
  <c r="H68" i="1" s="1"/>
  <c r="J65" i="1" s="1"/>
  <c r="J68" i="1" s="1"/>
  <c r="L65" i="1" s="1"/>
  <c r="L68" i="1" s="1"/>
  <c r="N65" i="1" s="1"/>
  <c r="G981" i="1" l="1"/>
  <c r="G984" i="1" s="1"/>
  <c r="H981" i="1" s="1"/>
  <c r="H984" i="1" s="1"/>
  <c r="I981" i="1" s="1"/>
  <c r="I984" i="1" s="1"/>
  <c r="J981" i="1" s="1"/>
  <c r="J984" i="1" s="1"/>
  <c r="K981" i="1" s="1"/>
  <c r="D2094" i="1" l="1"/>
  <c r="G1785" i="1" l="1"/>
  <c r="F1782" i="1"/>
  <c r="C1782" i="1"/>
  <c r="B1785" i="1"/>
  <c r="E1782" i="1"/>
  <c r="E1785" i="1" s="1"/>
  <c r="D1782" i="1"/>
  <c r="D1785" i="1" s="1"/>
  <c r="C1785" i="1" l="1"/>
  <c r="F1785" i="1"/>
  <c r="H1782" i="1" l="1"/>
  <c r="H1785" i="1" s="1"/>
  <c r="I1782" i="1" s="1"/>
  <c r="I1785" i="1" s="1"/>
  <c r="J1782" i="1" s="1"/>
  <c r="J1785" i="1" s="1"/>
  <c r="K1782" i="1" s="1"/>
  <c r="D1763" i="1"/>
  <c r="E1763" i="1"/>
  <c r="B1766" i="1"/>
  <c r="C1763" i="1" s="1"/>
  <c r="B1633" i="1"/>
  <c r="C1630" i="1" s="1"/>
  <c r="C1633" i="1" s="1"/>
  <c r="D1630" i="1" s="1"/>
  <c r="D1633" i="1" s="1"/>
  <c r="E1630" i="1" s="1"/>
  <c r="E1633" i="1" s="1"/>
  <c r="F1630" i="1" s="1"/>
  <c r="F1633" i="1" s="1"/>
  <c r="G1630" i="1" s="1"/>
  <c r="G1633" i="1" s="1"/>
  <c r="H1630" i="1" s="1"/>
  <c r="H1633" i="1" s="1"/>
  <c r="I1630" i="1" s="1"/>
  <c r="I1633" i="1" s="1"/>
  <c r="J1630" i="1" s="1"/>
  <c r="J1633" i="1" s="1"/>
  <c r="K1630" i="1" s="1"/>
  <c r="C1766" i="1" l="1"/>
  <c r="D1766" i="1" s="1"/>
  <c r="E1766" i="1" s="1"/>
  <c r="F1763" i="1" l="1"/>
  <c r="F1766" i="1" s="1"/>
  <c r="G1763" i="1" l="1"/>
  <c r="G1766" i="1" s="1"/>
  <c r="H1763" i="1" l="1"/>
  <c r="H1766" i="1" s="1"/>
  <c r="I1763" i="1" s="1"/>
  <c r="I1766" i="1" s="1"/>
  <c r="J1763" i="1" s="1"/>
  <c r="J1766" i="1" s="1"/>
  <c r="K1763" i="1" s="1"/>
  <c r="C697" i="1" l="1"/>
  <c r="D694" i="1" s="1"/>
  <c r="D697" i="1" s="1"/>
  <c r="E694" i="1" s="1"/>
  <c r="E697" i="1" s="1"/>
  <c r="F694" i="1" s="1"/>
  <c r="F697" i="1" s="1"/>
  <c r="G694" i="1" s="1"/>
  <c r="G697" i="1" s="1"/>
  <c r="B697" i="1"/>
  <c r="P694" i="1"/>
  <c r="O694" i="1"/>
  <c r="N694" i="1"/>
  <c r="M694" i="1"/>
  <c r="L694" i="1"/>
  <c r="K694" i="1"/>
  <c r="J694" i="1"/>
  <c r="J697" i="1" s="1"/>
  <c r="I694" i="1"/>
  <c r="I697" i="1" s="1"/>
  <c r="H694" i="1"/>
  <c r="H697" i="1" s="1"/>
  <c r="B638" i="1"/>
  <c r="C635" i="1" s="1"/>
  <c r="C638" i="1" s="1"/>
  <c r="D635" i="1" s="1"/>
  <c r="D638" i="1" s="1"/>
  <c r="E635" i="1" s="1"/>
  <c r="E638" i="1" s="1"/>
  <c r="F635" i="1" s="1"/>
  <c r="F638" i="1" s="1"/>
  <c r="G635" i="1" l="1"/>
  <c r="G638" i="1" s="1"/>
  <c r="H635" i="1" s="1"/>
  <c r="H638" i="1" s="1"/>
  <c r="I635" i="1" s="1"/>
  <c r="I638" i="1" s="1"/>
  <c r="J635" i="1" s="1"/>
  <c r="C1730" i="1" l="1"/>
  <c r="C1733" i="1" s="1"/>
  <c r="B1730" i="1"/>
  <c r="B1733" i="1" s="1"/>
  <c r="J901" i="1" l="1"/>
  <c r="K787" i="1"/>
  <c r="K790" i="1" s="1"/>
  <c r="N1044" i="1"/>
  <c r="I682" i="1" l="1"/>
  <c r="J682" i="1"/>
  <c r="I671" i="1"/>
  <c r="J671" i="1"/>
  <c r="J866" i="1"/>
  <c r="J854" i="1"/>
  <c r="K806" i="1"/>
  <c r="K809" i="1" s="1"/>
  <c r="M806" i="1" s="1"/>
  <c r="K837" i="1" l="1"/>
  <c r="K840" i="1" s="1"/>
  <c r="B823" i="1"/>
  <c r="C820" i="1" s="1"/>
  <c r="J471" i="1" l="1"/>
  <c r="J474" i="1" s="1"/>
  <c r="L471" i="1" s="1"/>
  <c r="I2172" i="1" l="1"/>
  <c r="I2175" i="1" s="1"/>
  <c r="J2172" i="1" s="1"/>
  <c r="H2156" i="1"/>
  <c r="I2153" i="1" s="1"/>
  <c r="H2137" i="1"/>
  <c r="J2110" i="1"/>
  <c r="J2113" i="1" s="1"/>
  <c r="D1987" i="1"/>
  <c r="C1989" i="1"/>
  <c r="D1986" i="1" s="1"/>
  <c r="D1988" i="1" s="1"/>
  <c r="E2080" i="1"/>
  <c r="E2083" i="1" s="1"/>
  <c r="E2067" i="1"/>
  <c r="E2070" i="1" s="1"/>
  <c r="D2057" i="1"/>
  <c r="F2039" i="1"/>
  <c r="F2042" i="1" s="1"/>
  <c r="E2039" i="1"/>
  <c r="E2042" i="1" s="1"/>
  <c r="D2042" i="1"/>
  <c r="D2029" i="1"/>
  <c r="F2010" i="1"/>
  <c r="F2013" i="1" s="1"/>
  <c r="H2233" i="1" l="1"/>
  <c r="I2217" i="1"/>
  <c r="I2220" i="1" s="1"/>
  <c r="H1970" i="1" l="1"/>
  <c r="K1931" i="1" l="1"/>
  <c r="K1934" i="1" s="1"/>
  <c r="J1918" i="1"/>
  <c r="G1839" i="1" l="1"/>
  <c r="G1842" i="1" s="1"/>
  <c r="I1839" i="1"/>
  <c r="J1839" i="1"/>
  <c r="K1839" i="1"/>
  <c r="L1839" i="1"/>
  <c r="M1839" i="1"/>
  <c r="N1839" i="1"/>
  <c r="O1839" i="1"/>
  <c r="F1839" i="1"/>
  <c r="F1842" i="1" s="1"/>
  <c r="H1839" i="1" s="1"/>
  <c r="E1842" i="1"/>
  <c r="H1822" i="1"/>
  <c r="H1821" i="1" s="1"/>
  <c r="H1824" i="1" s="1"/>
  <c r="G1824" i="1"/>
  <c r="H1803" i="1"/>
  <c r="H1802" i="1" s="1"/>
  <c r="H1805" i="1" s="1"/>
  <c r="D1692" i="1" l="1"/>
  <c r="J1613" i="1" l="1"/>
  <c r="J1616" i="1" s="1"/>
  <c r="I1613" i="1"/>
  <c r="I1616" i="1" s="1"/>
  <c r="J1380" i="1"/>
  <c r="K1358" i="1"/>
  <c r="K1361" i="1" s="1"/>
  <c r="J1320" i="1"/>
  <c r="K1296" i="1"/>
  <c r="K1299" i="1" s="1"/>
  <c r="E2094" i="1" l="1"/>
  <c r="E2097" i="1" s="1"/>
  <c r="D2097" i="1"/>
  <c r="D1254" i="1" l="1"/>
  <c r="P1231" i="1"/>
  <c r="P1209" i="1"/>
  <c r="R1206" i="1" s="1"/>
  <c r="R1209" i="1" s="1"/>
  <c r="P1177" i="1"/>
  <c r="P1180" i="1" s="1"/>
  <c r="R1177" i="1" s="1"/>
  <c r="P1104" i="1"/>
  <c r="P1107" i="1" s="1"/>
  <c r="O1047" i="1" l="1"/>
  <c r="Q1044" i="1" s="1"/>
  <c r="O1022" i="1"/>
  <c r="K1586" i="1" l="1"/>
  <c r="K1566" i="1"/>
  <c r="K1529" i="1"/>
  <c r="I1516" i="1"/>
  <c r="I1519" i="1" s="1"/>
  <c r="G876" i="1" l="1"/>
  <c r="H876" i="1"/>
  <c r="H879" i="1" s="1"/>
  <c r="I876" i="1"/>
  <c r="I879" i="1" s="1"/>
  <c r="J876" i="1"/>
  <c r="J879" i="1" s="1"/>
  <c r="F876" i="1"/>
  <c r="K229" i="1"/>
  <c r="J198" i="1"/>
  <c r="K184" i="1"/>
  <c r="K187" i="1" s="1"/>
  <c r="J1718" i="1" l="1"/>
  <c r="J1721" i="1" s="1"/>
  <c r="F747" i="1" l="1"/>
  <c r="E719" i="1" l="1"/>
  <c r="E722" i="1" s="1"/>
  <c r="I595" i="1" l="1"/>
  <c r="I598" i="1" s="1"/>
  <c r="I581" i="1"/>
  <c r="I566" i="1"/>
  <c r="J545" i="1"/>
  <c r="J548" i="1" s="1"/>
  <c r="J508" i="1"/>
  <c r="J511" i="1" s="1"/>
  <c r="J451" i="1"/>
  <c r="J454" i="1" s="1"/>
  <c r="N437" i="1" l="1"/>
  <c r="N421" i="1"/>
  <c r="O400" i="1"/>
  <c r="O403" i="1" s="1"/>
  <c r="O382" i="1"/>
  <c r="O385" i="1" s="1"/>
  <c r="O363" i="1"/>
  <c r="O366" i="1" s="1"/>
  <c r="J284" i="1" l="1"/>
  <c r="J287" i="1" s="1"/>
  <c r="J146" i="1" l="1"/>
  <c r="J149" i="1" s="1"/>
  <c r="F57" i="1" l="1"/>
  <c r="D9" i="1" l="1"/>
  <c r="D12" i="1" s="1"/>
  <c r="C12" i="1"/>
  <c r="H1663" i="1"/>
  <c r="H1666" i="1" s="1"/>
  <c r="G1663" i="1"/>
  <c r="G1666" i="1" s="1"/>
  <c r="I1446" i="1"/>
  <c r="I1449" i="1" s="1"/>
  <c r="I941" i="1" l="1"/>
  <c r="I944" i="1" s="1"/>
  <c r="E2026" i="1" l="1"/>
  <c r="E2029" i="1" s="1"/>
  <c r="O344" i="1"/>
  <c r="O347" i="1" s="1"/>
  <c r="D306" i="1"/>
  <c r="E306" i="1" s="1"/>
  <c r="G303" i="1"/>
  <c r="G306" i="1" s="1"/>
  <c r="H303" i="1" s="1"/>
  <c r="H306" i="1" s="1"/>
  <c r="I303" i="1" s="1"/>
  <c r="I306" i="1" s="1"/>
  <c r="J303" i="1" s="1"/>
  <c r="J306" i="1" s="1"/>
  <c r="K303" i="1" s="1"/>
  <c r="K306" i="1" s="1"/>
  <c r="L303" i="1" s="1"/>
  <c r="L306" i="1" s="1"/>
  <c r="M303" i="1" s="1"/>
  <c r="F303" i="1"/>
  <c r="F306" i="1" s="1"/>
  <c r="F1538" i="1"/>
  <c r="F1537" i="1" s="1"/>
  <c r="F1540" i="1" s="1"/>
  <c r="G1538" i="1" s="1"/>
  <c r="G1537" i="1" s="1"/>
  <c r="G1540" i="1" s="1"/>
  <c r="H1538" i="1" s="1"/>
  <c r="H1537" i="1" s="1"/>
  <c r="H1540" i="1" s="1"/>
  <c r="I1538" i="1" s="1"/>
  <c r="I1537" i="1" s="1"/>
  <c r="I1540" i="1" s="1"/>
  <c r="J1538" i="1" s="1"/>
  <c r="J1537" i="1" s="1"/>
  <c r="J1540" i="1" s="1"/>
  <c r="K1538" i="1" s="1"/>
  <c r="K1537" i="1" s="1"/>
  <c r="K1540" i="1" s="1"/>
  <c r="L1538" i="1" s="1"/>
  <c r="L1537" i="1" s="1"/>
  <c r="L1540" i="1" s="1"/>
  <c r="M1538" i="1" s="1"/>
  <c r="M1537" i="1" s="1"/>
  <c r="M1540" i="1" s="1"/>
  <c r="N1538" i="1" s="1"/>
  <c r="N1537" i="1" s="1"/>
  <c r="N1540" i="1" s="1"/>
  <c r="D1538" i="1"/>
  <c r="D1537" i="1" s="1"/>
  <c r="D1540" i="1" s="1"/>
  <c r="E1538" i="1" s="1"/>
  <c r="E1537" i="1" s="1"/>
  <c r="E1540" i="1" s="1"/>
  <c r="B1538" i="1"/>
  <c r="B1537" i="1" s="1"/>
  <c r="B1540" i="1" s="1"/>
  <c r="C1538" i="1" s="1"/>
  <c r="C1537" i="1" s="1"/>
  <c r="C1540" i="1" s="1"/>
  <c r="D240" i="1"/>
  <c r="F237" i="1" s="1"/>
  <c r="F240" i="1" s="1"/>
  <c r="H237" i="1" s="1"/>
  <c r="I130" i="1"/>
  <c r="I133" i="1" s="1"/>
  <c r="K772" i="1"/>
  <c r="K775" i="1" s="1"/>
  <c r="D1842" i="1"/>
  <c r="C1842" i="1"/>
  <c r="C2042" i="1"/>
  <c r="F1824" i="1"/>
  <c r="G1803" i="1"/>
  <c r="G1802" i="1" s="1"/>
  <c r="G1805" i="1" s="1"/>
  <c r="H1718" i="1"/>
  <c r="H1721" i="1" s="1"/>
  <c r="G1721" i="1"/>
  <c r="I1718" i="1" s="1"/>
  <c r="I1721" i="1" s="1"/>
  <c r="C1692" i="1"/>
  <c r="B2246" i="1"/>
  <c r="C2243" i="1" s="1"/>
  <c r="C2246" i="1" s="1"/>
  <c r="D2243" i="1" s="1"/>
  <c r="D2246" i="1" s="1"/>
  <c r="E2243" i="1" s="1"/>
  <c r="E2246" i="1" s="1"/>
  <c r="F2243" i="1" s="1"/>
  <c r="F2246" i="1" s="1"/>
  <c r="G2243" i="1" s="1"/>
  <c r="G2246" i="1" s="1"/>
  <c r="H2217" i="1"/>
  <c r="H2220" i="1" s="1"/>
  <c r="J1566" i="1"/>
  <c r="J1529" i="1"/>
  <c r="H1516" i="1"/>
  <c r="H1519" i="1" s="1"/>
  <c r="H212" i="1"/>
  <c r="H215" i="1" s="1"/>
  <c r="I212" i="1"/>
  <c r="I215" i="1" s="1"/>
  <c r="J212" i="1"/>
  <c r="J215" i="1" s="1"/>
  <c r="D2080" i="1"/>
  <c r="D2083" i="1" s="1"/>
  <c r="C2083" i="1"/>
  <c r="D2067" i="1"/>
  <c r="D2070" i="1" s="1"/>
  <c r="C2070" i="1"/>
  <c r="C2029" i="1"/>
  <c r="D2010" i="1"/>
  <c r="D2013" i="1" s="1"/>
  <c r="C2009" i="1"/>
  <c r="E2010" i="1" s="1"/>
  <c r="E2013" i="1" s="1"/>
  <c r="H761" i="1"/>
  <c r="J758" i="1" s="1"/>
  <c r="J761" i="1" s="1"/>
  <c r="L758" i="1" s="1"/>
  <c r="L761" i="1" s="1"/>
  <c r="I1380" i="1"/>
  <c r="I1358" i="1"/>
  <c r="I1361" i="1" s="1"/>
  <c r="J1358" i="1"/>
  <c r="J1361" i="1" s="1"/>
  <c r="J1341" i="1"/>
  <c r="J1344" i="1" s="1"/>
  <c r="K1341" i="1" s="1"/>
  <c r="K1344" i="1" s="1"/>
  <c r="H1344" i="1"/>
  <c r="I1341" i="1" s="1"/>
  <c r="I1344" i="1" s="1"/>
  <c r="I1329" i="1"/>
  <c r="I1332" i="1" s="1"/>
  <c r="J1329" i="1"/>
  <c r="J1332" i="1" s="1"/>
  <c r="I1320" i="1"/>
  <c r="I1309" i="1"/>
  <c r="K1306" i="1" s="1"/>
  <c r="K1309" i="1" s="1"/>
  <c r="I1296" i="1"/>
  <c r="I1299" i="1" s="1"/>
  <c r="G163" i="1"/>
  <c r="G166" i="1" s="1"/>
  <c r="H163" i="1"/>
  <c r="H166" i="1" s="1"/>
  <c r="G146" i="1"/>
  <c r="G149" i="1" s="1"/>
  <c r="I146" i="1"/>
  <c r="I149" i="1" s="1"/>
  <c r="G130" i="1"/>
  <c r="G133" i="1" s="1"/>
  <c r="G109" i="1"/>
  <c r="G112" i="1" s="1"/>
  <c r="F112" i="1"/>
  <c r="H2175" i="1"/>
  <c r="H1613" i="1"/>
  <c r="H1616" i="1" s="1"/>
  <c r="H2153" i="1"/>
  <c r="G2137" i="1"/>
  <c r="I2110" i="1"/>
  <c r="I2113" i="1" s="1"/>
  <c r="H2110" i="1"/>
  <c r="H2113" i="1" s="1"/>
  <c r="G1952" i="1"/>
  <c r="H1949" i="1" s="1"/>
  <c r="H1952" i="1" s="1"/>
  <c r="I1949" i="1" s="1"/>
  <c r="I1952" i="1" s="1"/>
  <c r="J1949" i="1" s="1"/>
  <c r="J1952" i="1" s="1"/>
  <c r="J1931" i="1"/>
  <c r="J1934" i="1" s="1"/>
  <c r="G1934" i="1"/>
  <c r="H1931" i="1" s="1"/>
  <c r="H1934" i="1" s="1"/>
  <c r="I1931" i="1" s="1"/>
  <c r="I1934" i="1" s="1"/>
  <c r="I1918" i="1"/>
  <c r="I1887" i="1"/>
  <c r="H1887" i="1"/>
  <c r="E1865" i="1"/>
  <c r="E1868" i="1" s="1"/>
  <c r="G1865" i="1" s="1"/>
  <c r="G1868" i="1" s="1"/>
  <c r="I1865" i="1" s="1"/>
  <c r="I1868" i="1" s="1"/>
  <c r="D719" i="1"/>
  <c r="D722" i="1" s="1"/>
  <c r="C722" i="1"/>
  <c r="D581" i="1"/>
  <c r="E581" i="1"/>
  <c r="F581" i="1"/>
  <c r="C581" i="1"/>
  <c r="I545" i="1"/>
  <c r="I548" i="1" s="1"/>
  <c r="I528" i="1"/>
  <c r="I531" i="1" s="1"/>
  <c r="I509" i="1"/>
  <c r="H511" i="1"/>
  <c r="I508" i="1" s="1"/>
  <c r="I511" i="1" s="1"/>
  <c r="I488" i="1"/>
  <c r="I491" i="1" s="1"/>
  <c r="J226" i="1"/>
  <c r="J229" i="1" s="1"/>
  <c r="I226" i="1"/>
  <c r="I229" i="1" s="1"/>
  <c r="I195" i="1"/>
  <c r="I198" i="1" s="1"/>
  <c r="J184" i="1"/>
  <c r="J187" i="1" s="1"/>
  <c r="I184" i="1"/>
  <c r="I187" i="1" s="1"/>
  <c r="E57" i="1"/>
  <c r="C1254" i="1"/>
  <c r="O1231" i="1"/>
  <c r="O1209" i="1"/>
  <c r="O1180" i="1"/>
  <c r="N1158" i="1"/>
  <c r="O1155" i="1" s="1"/>
  <c r="O1158" i="1" s="1"/>
  <c r="P1155" i="1" s="1"/>
  <c r="O1104" i="1"/>
  <c r="O1107" i="1" s="1"/>
  <c r="N1107" i="1"/>
  <c r="N1047" i="1"/>
  <c r="P1044" i="1" s="1"/>
  <c r="P1047" i="1" s="1"/>
  <c r="R1044" i="1" s="1"/>
  <c r="N1022" i="1"/>
  <c r="I866" i="1"/>
  <c r="J787" i="1"/>
  <c r="J790" i="1" s="1"/>
  <c r="I787" i="1"/>
  <c r="I790" i="1" s="1"/>
  <c r="B618" i="1"/>
  <c r="C615" i="1" s="1"/>
  <c r="C618" i="1" s="1"/>
  <c r="D615" i="1" s="1"/>
  <c r="D618" i="1" s="1"/>
  <c r="E615" i="1" s="1"/>
  <c r="E618" i="1" s="1"/>
  <c r="F615" i="1" s="1"/>
  <c r="F618" i="1" s="1"/>
  <c r="G615" i="1" s="1"/>
  <c r="G618" i="1" s="1"/>
  <c r="H615" i="1" s="1"/>
  <c r="H618" i="1" s="1"/>
  <c r="I615" i="1" s="1"/>
  <c r="I618" i="1" s="1"/>
  <c r="J615" i="1" s="1"/>
  <c r="J618" i="1" s="1"/>
  <c r="K615" i="1" s="1"/>
  <c r="H595" i="1"/>
  <c r="H598" i="1" s="1"/>
  <c r="G595" i="1"/>
  <c r="G598" i="1" s="1"/>
  <c r="F595" i="1"/>
  <c r="F598" i="1" s="1"/>
  <c r="E595" i="1"/>
  <c r="E598" i="1" s="1"/>
  <c r="D595" i="1"/>
  <c r="D598" i="1" s="1"/>
  <c r="C595" i="1"/>
  <c r="C598" i="1" s="1"/>
  <c r="B595" i="1"/>
  <c r="B598" i="1" s="1"/>
  <c r="N400" i="1"/>
  <c r="N403" i="1" s="1"/>
  <c r="N382" i="1"/>
  <c r="N385" i="1" s="1"/>
  <c r="N326" i="1"/>
  <c r="N329" i="1" s="1"/>
  <c r="P326" i="1" s="1"/>
  <c r="P329" i="1" s="1"/>
  <c r="I284" i="1"/>
  <c r="I287" i="1" s="1"/>
  <c r="C941" i="1"/>
  <c r="C944" i="1" s="1"/>
  <c r="B944" i="1"/>
  <c r="H941" i="1"/>
  <c r="H944" i="1" s="1"/>
  <c r="E941" i="1"/>
  <c r="E944" i="1" s="1"/>
  <c r="G941" i="1" s="1"/>
  <c r="G944" i="1" s="1"/>
  <c r="E747" i="1"/>
  <c r="D747" i="1"/>
  <c r="I898" i="1"/>
  <c r="I901" i="1" s="1"/>
  <c r="F1485" i="1"/>
  <c r="G1482" i="1" s="1"/>
  <c r="G1485" i="1" s="1"/>
  <c r="H1485" i="1" s="1"/>
  <c r="I1482" i="1" s="1"/>
  <c r="I1485" i="1" s="1"/>
  <c r="J1482" i="1" s="1"/>
  <c r="H1463" i="1"/>
  <c r="H1466" i="1" s="1"/>
  <c r="J1463" i="1" s="1"/>
  <c r="F1466" i="1"/>
  <c r="H1446" i="1"/>
  <c r="H1449" i="1" s="1"/>
  <c r="G1967" i="1"/>
  <c r="G1970" i="1" s="1"/>
  <c r="F1970" i="1"/>
  <c r="E1970" i="1"/>
  <c r="N1177" i="1"/>
  <c r="N1180" i="1" s="1"/>
  <c r="I451" i="1"/>
  <c r="I454" i="1" s="1"/>
  <c r="J837" i="1"/>
  <c r="J840" i="1" s="1"/>
  <c r="N344" i="1"/>
  <c r="N347" i="1" s="1"/>
  <c r="J1296" i="1"/>
  <c r="J1299" i="1" s="1"/>
  <c r="H146" i="1"/>
  <c r="H149" i="1" s="1"/>
  <c r="H130" i="1"/>
  <c r="H133" i="1" s="1"/>
  <c r="H109" i="1"/>
  <c r="H112" i="1" s="1"/>
  <c r="G1516" i="1"/>
  <c r="G1519" i="1" s="1"/>
  <c r="F1516" i="1"/>
  <c r="F1519" i="1" s="1"/>
  <c r="E1516" i="1"/>
  <c r="E1519" i="1" s="1"/>
  <c r="D1516" i="1"/>
  <c r="D1519" i="1" s="1"/>
  <c r="C1516" i="1"/>
  <c r="C1519" i="1" s="1"/>
  <c r="B1516" i="1"/>
  <c r="B1519" i="1" s="1"/>
  <c r="E1466" i="1"/>
  <c r="G1463" i="1" s="1"/>
  <c r="G1466" i="1" s="1"/>
  <c r="I1463" i="1" s="1"/>
  <c r="I1466" i="1" s="1"/>
  <c r="D1466" i="1"/>
  <c r="C1466" i="1"/>
  <c r="B1466" i="1"/>
  <c r="G1299" i="1"/>
  <c r="H1299" i="1"/>
  <c r="N1231" i="1"/>
  <c r="N1209" i="1"/>
  <c r="M1180" i="1"/>
  <c r="M1107" i="1"/>
  <c r="D491" i="1"/>
  <c r="C491" i="1"/>
  <c r="C240" i="1"/>
  <c r="E237" i="1" s="1"/>
  <c r="E240" i="1" s="1"/>
  <c r="C2230" i="1"/>
  <c r="C2233" i="1" s="1"/>
  <c r="D2230" i="1" s="1"/>
  <c r="D2233" i="1" s="1"/>
  <c r="E2233" i="1"/>
  <c r="F2230" i="1"/>
  <c r="F2233" i="1" s="1"/>
  <c r="G2230" i="1"/>
  <c r="G2233" i="1" s="1"/>
  <c r="B2230" i="1"/>
  <c r="B2233" i="1" s="1"/>
  <c r="G2217" i="1"/>
  <c r="G2220" i="1" s="1"/>
  <c r="F2217" i="1"/>
  <c r="F2220" i="1" s="1"/>
  <c r="E2217" i="1"/>
  <c r="E2220" i="1" s="1"/>
  <c r="D2217" i="1"/>
  <c r="D2220" i="1" s="1"/>
  <c r="C2217" i="1"/>
  <c r="C2220" i="1" s="1"/>
  <c r="B2217" i="1"/>
  <c r="B2220" i="1" s="1"/>
  <c r="B2201" i="1"/>
  <c r="C2198" i="1" s="1"/>
  <c r="C2201" i="1" s="1"/>
  <c r="D2198" i="1" s="1"/>
  <c r="D2201" i="1" s="1"/>
  <c r="E2198" i="1" s="1"/>
  <c r="E2201" i="1" s="1"/>
  <c r="F2198" i="1" s="1"/>
  <c r="F2201" i="1" s="1"/>
  <c r="G2198" i="1" s="1"/>
  <c r="G2201" i="1" s="1"/>
  <c r="H2198" i="1" s="1"/>
  <c r="H2201" i="1" s="1"/>
  <c r="I2198" i="1" s="1"/>
  <c r="I2201" i="1" s="1"/>
  <c r="J2198" i="1" s="1"/>
  <c r="J2201" i="1" s="1"/>
  <c r="G2175" i="1"/>
  <c r="E2137" i="1"/>
  <c r="F2137" i="1"/>
  <c r="G2113" i="1"/>
  <c r="H1915" i="1"/>
  <c r="H787" i="1"/>
  <c r="H790" i="1" s="1"/>
  <c r="F1803" i="1"/>
  <c r="F1802" i="1" s="1"/>
  <c r="F1805" i="1" s="1"/>
  <c r="G284" i="1"/>
  <c r="G287" i="1" s="1"/>
  <c r="F1663" i="1"/>
  <c r="F1666" i="1" s="1"/>
  <c r="G1446" i="1"/>
  <c r="G1449" i="1" s="1"/>
  <c r="F1446" i="1"/>
  <c r="F1449" i="1" s="1"/>
  <c r="H1392" i="1"/>
  <c r="G1392" i="1"/>
  <c r="H1380" i="1"/>
  <c r="H1358" i="1"/>
  <c r="H1361" i="1" s="1"/>
  <c r="H1320" i="1"/>
  <c r="H1309" i="1"/>
  <c r="J1306" i="1" s="1"/>
  <c r="J1309" i="1" s="1"/>
  <c r="G879" i="1"/>
  <c r="G901" i="1"/>
  <c r="C823" i="1"/>
  <c r="D820" i="1" s="1"/>
  <c r="D823" i="1" s="1"/>
  <c r="H866" i="1"/>
  <c r="I851" i="1"/>
  <c r="I854" i="1" s="1"/>
  <c r="H854" i="1"/>
  <c r="J806" i="1"/>
  <c r="J809" i="1" s="1"/>
  <c r="I806" i="1"/>
  <c r="I809" i="1" s="1"/>
  <c r="H775" i="1"/>
  <c r="J772" i="1"/>
  <c r="J775" i="1" s="1"/>
  <c r="F1884" i="1"/>
  <c r="F1887" i="1" s="1"/>
  <c r="G1884" i="1"/>
  <c r="G1887" i="1" s="1"/>
  <c r="E1884" i="1"/>
  <c r="E1887" i="1" s="1"/>
  <c r="D1884" i="1"/>
  <c r="D1887" i="1" s="1"/>
  <c r="C1884" i="1"/>
  <c r="C1887" i="1" s="1"/>
  <c r="N1130" i="1"/>
  <c r="N1133" i="1" s="1"/>
  <c r="O1130" i="1" s="1"/>
  <c r="O1133" i="1" s="1"/>
  <c r="P1130" i="1" s="1"/>
  <c r="P1133" i="1" s="1"/>
  <c r="F1613" i="1"/>
  <c r="F1616" i="1" s="1"/>
  <c r="G1613" i="1"/>
  <c r="G1616" i="1" s="1"/>
  <c r="E1613" i="1"/>
  <c r="E1616" i="1" s="1"/>
  <c r="D1613" i="1"/>
  <c r="D1616" i="1" s="1"/>
  <c r="C1613" i="1"/>
  <c r="C1616" i="1" s="1"/>
  <c r="H545" i="1"/>
  <c r="H548" i="1" s="1"/>
  <c r="G511" i="1"/>
  <c r="G454" i="1"/>
  <c r="H451" i="1"/>
  <c r="H454" i="1" s="1"/>
  <c r="H578" i="1"/>
  <c r="H581" i="1" s="1"/>
  <c r="H566" i="1"/>
  <c r="H528" i="1"/>
  <c r="H531" i="1" s="1"/>
  <c r="H488" i="1"/>
  <c r="H491" i="1" s="1"/>
  <c r="L434" i="1"/>
  <c r="L437" i="1" s="1"/>
  <c r="L418" i="1"/>
  <c r="L421" i="1" s="1"/>
  <c r="L400" i="1"/>
  <c r="L403" i="1" s="1"/>
  <c r="M400" i="1"/>
  <c r="M403" i="1" s="1"/>
  <c r="M382" i="1"/>
  <c r="M385" i="1" s="1"/>
  <c r="L385" i="1"/>
  <c r="L366" i="1"/>
  <c r="N363" i="1" s="1"/>
  <c r="N366" i="1" s="1"/>
  <c r="L347" i="1"/>
  <c r="M326" i="1"/>
  <c r="M329" i="1" s="1"/>
  <c r="O326" i="1" s="1"/>
  <c r="O329" i="1" s="1"/>
  <c r="Q326" i="1" s="1"/>
  <c r="L329" i="1"/>
  <c r="H284" i="1"/>
  <c r="H287" i="1" s="1"/>
  <c r="H226" i="1"/>
  <c r="H229" i="1" s="1"/>
  <c r="H195" i="1"/>
  <c r="H198" i="1" s="1"/>
  <c r="H184" i="1"/>
  <c r="H187" i="1" s="1"/>
  <c r="D57" i="1"/>
  <c r="G1903" i="1"/>
  <c r="J1584" i="1"/>
  <c r="J1583" i="1" s="1"/>
  <c r="J1586" i="1" s="1"/>
  <c r="I1584" i="1"/>
  <c r="I1583" i="1" s="1"/>
  <c r="I1586" i="1" s="1"/>
  <c r="I1564" i="1"/>
  <c r="I1566" i="1"/>
  <c r="I1529" i="1"/>
  <c r="B1417" i="1"/>
  <c r="C1414" i="1" s="1"/>
  <c r="C1417" i="1" s="1"/>
  <c r="D1414" i="1" s="1"/>
  <c r="D1417" i="1" s="1"/>
  <c r="E1414" i="1" s="1"/>
  <c r="E1417" i="1" s="1"/>
  <c r="F1414" i="1" s="1"/>
  <c r="F1417" i="1" s="1"/>
  <c r="G1414" i="1" s="1"/>
  <c r="G1417" i="1" s="1"/>
  <c r="K1073" i="1"/>
  <c r="K1076" i="1" s="1"/>
  <c r="L1073" i="1" s="1"/>
  <c r="L1076" i="1" s="1"/>
  <c r="M1073" i="1" s="1"/>
  <c r="M1076" i="1" s="1"/>
  <c r="N1073" i="1" s="1"/>
  <c r="N1076" i="1" s="1"/>
  <c r="O1073" i="1" s="1"/>
  <c r="O1076" i="1" s="1"/>
  <c r="H1073" i="1"/>
  <c r="H1076" i="1" s="1"/>
  <c r="I1073" i="1" s="1"/>
  <c r="I1076" i="1" s="1"/>
  <c r="J1073" i="1" s="1"/>
  <c r="J1076" i="1" s="1"/>
  <c r="D1718" i="1"/>
  <c r="D1721" i="1" s="1"/>
  <c r="C1718" i="1"/>
  <c r="C1721" i="1" s="1"/>
  <c r="E1718" i="1" s="1"/>
  <c r="E1721" i="1" s="1"/>
  <c r="G184" i="1"/>
  <c r="G187" i="1" s="1"/>
  <c r="F919" i="1"/>
  <c r="F922" i="1" s="1"/>
  <c r="G919" i="1" s="1"/>
  <c r="G922" i="1" s="1"/>
  <c r="H919" i="1" s="1"/>
  <c r="H922" i="1" s="1"/>
  <c r="I919" i="1" s="1"/>
  <c r="I922" i="1" s="1"/>
  <c r="J919" i="1" s="1"/>
  <c r="J922" i="1" s="1"/>
  <c r="K919" i="1" s="1"/>
  <c r="K922" i="1" s="1"/>
  <c r="F901" i="1"/>
  <c r="E901" i="1"/>
  <c r="D901" i="1"/>
  <c r="C898" i="1"/>
  <c r="C901" i="1" s="1"/>
  <c r="B898" i="1"/>
  <c r="B901" i="1" s="1"/>
  <c r="F879" i="1"/>
  <c r="E876" i="1"/>
  <c r="D876" i="1"/>
  <c r="D879" i="1" s="1"/>
  <c r="C876" i="1"/>
  <c r="C879" i="1" s="1"/>
  <c r="B876" i="1"/>
  <c r="B879" i="1" s="1"/>
  <c r="B1584" i="1"/>
  <c r="B1583" i="1" s="1"/>
  <c r="B1564" i="1"/>
  <c r="B1563" i="1" s="1"/>
  <c r="B347" i="1"/>
  <c r="B198" i="1"/>
  <c r="B57" i="1"/>
  <c r="H1329" i="1"/>
  <c r="H1332" i="1" s="1"/>
  <c r="G578" i="1"/>
  <c r="G581" i="1" s="1"/>
  <c r="G563" i="1"/>
  <c r="G566" i="1" s="1"/>
  <c r="F566" i="1"/>
  <c r="F548" i="1"/>
  <c r="G545" i="1"/>
  <c r="G548" i="1" s="1"/>
  <c r="F531" i="1"/>
  <c r="G528" i="1"/>
  <c r="G531" i="1" s="1"/>
  <c r="F491" i="1"/>
  <c r="G488" i="1"/>
  <c r="G491" i="1" s="1"/>
  <c r="G471" i="1"/>
  <c r="G474" i="1" s="1"/>
  <c r="I471" i="1" s="1"/>
  <c r="I474" i="1" s="1"/>
  <c r="F471" i="1"/>
  <c r="F474" i="1" s="1"/>
  <c r="H471" i="1" s="1"/>
  <c r="K437" i="1"/>
  <c r="M434" i="1"/>
  <c r="M437" i="1" s="1"/>
  <c r="K421" i="1"/>
  <c r="K403" i="1"/>
  <c r="K385" i="1"/>
  <c r="K363" i="1"/>
  <c r="K366" i="1" s="1"/>
  <c r="M363" i="1" s="1"/>
  <c r="M366" i="1" s="1"/>
  <c r="M344" i="1"/>
  <c r="M347" i="1" s="1"/>
  <c r="J347" i="1"/>
  <c r="C347" i="1"/>
  <c r="D347" i="1"/>
  <c r="E347" i="1"/>
  <c r="F347" i="1"/>
  <c r="G347" i="1"/>
  <c r="I344" i="1" s="1"/>
  <c r="I347" i="1" s="1"/>
  <c r="K344" i="1" s="1"/>
  <c r="K347" i="1" s="1"/>
  <c r="H347" i="1"/>
  <c r="G679" i="1"/>
  <c r="G682" i="1" s="1"/>
  <c r="H679" i="1"/>
  <c r="H682" i="1" s="1"/>
  <c r="F679" i="1"/>
  <c r="F682" i="1" s="1"/>
  <c r="E679" i="1"/>
  <c r="E682" i="1" s="1"/>
  <c r="D679" i="1"/>
  <c r="D682" i="1" s="1"/>
  <c r="C679" i="1"/>
  <c r="C682" i="1" s="1"/>
  <c r="G671" i="1"/>
  <c r="F1865" i="1"/>
  <c r="F1868" i="1" s="1"/>
  <c r="H1865" i="1" s="1"/>
  <c r="H1868" i="1" s="1"/>
  <c r="D1868" i="1"/>
  <c r="G226" i="1"/>
  <c r="G229" i="1" s="1"/>
  <c r="C226" i="1"/>
  <c r="C229" i="1" s="1"/>
  <c r="D226" i="1"/>
  <c r="D229" i="1" s="1"/>
  <c r="E226" i="1"/>
  <c r="E229" i="1" s="1"/>
  <c r="B226" i="1"/>
  <c r="B229" i="1" s="1"/>
  <c r="F226" i="1"/>
  <c r="F229" i="1" s="1"/>
  <c r="C215" i="1"/>
  <c r="D215" i="1"/>
  <c r="B215" i="1"/>
  <c r="G212" i="1"/>
  <c r="G215" i="1" s="1"/>
  <c r="F212" i="1"/>
  <c r="F215" i="1" s="1"/>
  <c r="E212" i="1"/>
  <c r="E215" i="1" s="1"/>
  <c r="G198" i="1"/>
  <c r="F198" i="1"/>
  <c r="E198" i="1"/>
  <c r="D198" i="1"/>
  <c r="C198" i="1"/>
  <c r="D1824" i="1"/>
  <c r="E1822" i="1"/>
  <c r="E1821" i="1" s="1"/>
  <c r="E1824" i="1" s="1"/>
  <c r="E1803" i="1"/>
  <c r="E1802" i="1" s="1"/>
  <c r="E1805" i="1" s="1"/>
  <c r="H1584" i="1"/>
  <c r="H1529" i="1"/>
  <c r="F2175" i="1"/>
  <c r="E2175" i="1"/>
  <c r="D2175" i="1"/>
  <c r="C2175" i="1"/>
  <c r="D2137" i="1"/>
  <c r="F2113" i="1"/>
  <c r="E2113" i="1"/>
  <c r="C57" i="1"/>
  <c r="G1380" i="1"/>
  <c r="G1361" i="1"/>
  <c r="G1332" i="1"/>
  <c r="F1332" i="1"/>
  <c r="G1320" i="1"/>
  <c r="G1309" i="1"/>
  <c r="G866" i="1"/>
  <c r="F866" i="1"/>
  <c r="E866" i="1"/>
  <c r="D854" i="1"/>
  <c r="G854" i="1"/>
  <c r="E854" i="1"/>
  <c r="H837" i="1"/>
  <c r="H840" i="1" s="1"/>
  <c r="G840" i="1"/>
  <c r="I837" i="1" s="1"/>
  <c r="I840" i="1" s="1"/>
  <c r="G775" i="1"/>
  <c r="I772" i="1"/>
  <c r="I775" i="1" s="1"/>
  <c r="G761" i="1"/>
  <c r="I758" i="1" s="1"/>
  <c r="I761" i="1" s="1"/>
  <c r="K758" i="1" s="1"/>
  <c r="K761" i="1" s="1"/>
  <c r="M758" i="1" s="1"/>
  <c r="D1666" i="1"/>
  <c r="E1663" i="1"/>
  <c r="E1666" i="1" s="1"/>
  <c r="G1918" i="1"/>
  <c r="G1916" i="1"/>
  <c r="F1918" i="1"/>
  <c r="F1916" i="1"/>
  <c r="F1903" i="1"/>
  <c r="F163" i="1"/>
  <c r="F166" i="1" s="1"/>
  <c r="E163" i="1"/>
  <c r="E166" i="1" s="1"/>
  <c r="D166" i="1"/>
  <c r="C166" i="1"/>
  <c r="F146" i="1"/>
  <c r="F149" i="1" s="1"/>
  <c r="E146" i="1"/>
  <c r="E149" i="1" s="1"/>
  <c r="D149" i="1"/>
  <c r="C149" i="1"/>
  <c r="D133" i="1"/>
  <c r="F130" i="1" s="1"/>
  <c r="F133" i="1" s="1"/>
  <c r="E133" i="1"/>
  <c r="C133" i="1"/>
  <c r="D112" i="1"/>
  <c r="C112" i="1"/>
  <c r="E109" i="1" s="1"/>
  <c r="E112" i="1" s="1"/>
  <c r="G1529" i="1"/>
  <c r="F1529" i="1"/>
  <c r="E1529" i="1"/>
  <c r="D1529" i="1"/>
  <c r="F671" i="1"/>
  <c r="H668" i="1" s="1"/>
  <c r="H671" i="1" s="1"/>
  <c r="E671" i="1"/>
  <c r="D671" i="1"/>
  <c r="D1584" i="1"/>
  <c r="D1583" i="1" s="1"/>
  <c r="D1586" i="1" s="1"/>
  <c r="E1584" i="1" s="1"/>
  <c r="E1583" i="1" s="1"/>
  <c r="E1586" i="1" s="1"/>
  <c r="H1583" i="1"/>
  <c r="H1586" i="1" s="1"/>
  <c r="F1583" i="1"/>
  <c r="F1586" i="1" s="1"/>
  <c r="D1566" i="1"/>
  <c r="C1564" i="1"/>
  <c r="C1563" i="1" s="1"/>
  <c r="D545" i="1"/>
  <c r="C1527" i="1"/>
  <c r="C1526" i="1" s="1"/>
  <c r="C1529" i="1" s="1"/>
  <c r="B1527" i="1"/>
  <c r="B1526" i="1" s="1"/>
  <c r="B1529" i="1" s="1"/>
  <c r="C1903" i="1"/>
  <c r="D1903" i="1"/>
  <c r="E1903" i="1"/>
  <c r="M418" i="1" l="1"/>
  <c r="M421" i="1" s="1"/>
  <c r="P1073" i="1"/>
  <c r="P1076" i="1" s="1"/>
  <c r="Q1073" i="1" s="1"/>
  <c r="Q1076" i="1" s="1"/>
  <c r="R1073" i="1" s="1"/>
  <c r="H2243" i="1"/>
  <c r="H2246" i="1" s="1"/>
  <c r="I2243" i="1" s="1"/>
  <c r="I2246" i="1" s="1"/>
  <c r="J2243" i="1" s="1"/>
  <c r="J2246" i="1" s="1"/>
  <c r="K2243" i="1" s="1"/>
  <c r="H1414" i="1"/>
  <c r="H1417" i="1" s="1"/>
  <c r="I1414" i="1" s="1"/>
  <c r="I1417" i="1" s="1"/>
  <c r="J1414" i="1" s="1"/>
  <c r="O1538" i="1"/>
  <c r="O1537" i="1" s="1"/>
  <c r="O1540" i="1" s="1"/>
  <c r="P1538" i="1" s="1"/>
  <c r="P1537" i="1" s="1"/>
  <c r="P1540" i="1" s="1"/>
  <c r="C2010" i="1"/>
  <c r="C2013" i="1" s="1"/>
  <c r="C1566" i="1"/>
  <c r="E1564" i="1" s="1"/>
  <c r="E1563" i="1" s="1"/>
  <c r="E1566" i="1" s="1"/>
  <c r="F1564" i="1" s="1"/>
  <c r="F1563" i="1" s="1"/>
  <c r="F1566" i="1" s="1"/>
  <c r="G1564" i="1" s="1"/>
  <c r="G1563" i="1" s="1"/>
  <c r="G1566" i="1" s="1"/>
  <c r="H1564" i="1" s="1"/>
  <c r="H1563" i="1" s="1"/>
  <c r="H1566" i="1" s="1"/>
  <c r="B1566" i="1"/>
  <c r="D1564" i="1" s="1"/>
  <c r="D941" i="1"/>
  <c r="D944" i="1" s="1"/>
  <c r="F941" i="1" s="1"/>
  <c r="F944" i="1" s="1"/>
</calcChain>
</file>

<file path=xl/sharedStrings.xml><?xml version="1.0" encoding="utf-8"?>
<sst xmlns="http://schemas.openxmlformats.org/spreadsheetml/2006/main" count="19468" uniqueCount="1259">
  <si>
    <t>MAROC</t>
  </si>
  <si>
    <t>Stock :</t>
  </si>
  <si>
    <t>Unités: t</t>
  </si>
  <si>
    <t>Année</t>
  </si>
  <si>
    <t>Limite</t>
  </si>
  <si>
    <t>Limite ajustée (A)</t>
  </si>
  <si>
    <t>Formule *</t>
  </si>
  <si>
    <t>Prise (B)</t>
  </si>
  <si>
    <t>Solde (A-B)</t>
  </si>
  <si>
    <t>Année d'ajustement**</t>
  </si>
  <si>
    <t>Décrire la raison utilisée dans l'application de la sur/sous-consommation</t>
  </si>
  <si>
    <t>Pavillon :</t>
  </si>
  <si>
    <t>Flag:</t>
  </si>
  <si>
    <t>SYRIA</t>
  </si>
  <si>
    <t>Stock:</t>
  </si>
  <si>
    <t>Units: t</t>
  </si>
  <si>
    <t>Year</t>
  </si>
  <si>
    <t>Limit</t>
  </si>
  <si>
    <t>Adjusted limit (A)</t>
  </si>
  <si>
    <t>Formula *</t>
  </si>
  <si>
    <t>Catch (B)</t>
  </si>
  <si>
    <t>Balance (A-B)</t>
  </si>
  <si>
    <t>Adjustment year**</t>
  </si>
  <si>
    <t>Describe the rationale used in the application of overage / underage:</t>
  </si>
  <si>
    <t>Pabellón:</t>
  </si>
  <si>
    <t>MEXICO</t>
  </si>
  <si>
    <t>Unidades: t</t>
  </si>
  <si>
    <t>Año</t>
  </si>
  <si>
    <t>Límite</t>
  </si>
  <si>
    <t>Límite ajustado (A)</t>
  </si>
  <si>
    <t>Fórmula *</t>
  </si>
  <si>
    <t>Captura (B)</t>
  </si>
  <si>
    <t>Saldo (A-B)</t>
  </si>
  <si>
    <t>Año de ajuste**</t>
  </si>
  <si>
    <t>Describir la lógica utilizada en la aplicación de los excesos/remanentes:</t>
  </si>
  <si>
    <t>2010=95t+47.5t-(86.5t to Canada for 2011) por Rec. 08-04</t>
  </si>
  <si>
    <t xml:space="preserve">Desembarque </t>
  </si>
  <si>
    <t>Saldo</t>
  </si>
  <si>
    <t>TUNISIE</t>
  </si>
  <si>
    <t>EUROPEAN UNION</t>
  </si>
  <si>
    <t>Limit+Balance 2012-20</t>
  </si>
  <si>
    <t>Limit*1.25</t>
  </si>
  <si>
    <t>Limit+2014 balance</t>
  </si>
  <si>
    <t>Limit 2017 + 25%  2015 limit</t>
  </si>
  <si>
    <t>Limit 2018 +  2016 balance</t>
  </si>
  <si>
    <t>Limit 2019 +   2017 balance</t>
  </si>
  <si>
    <t>Limit 2020 +   2018 balance</t>
  </si>
  <si>
    <t>NA</t>
  </si>
  <si>
    <t>1470+249</t>
  </si>
  <si>
    <t>Limit 2016 + 25%  2014 limit</t>
  </si>
  <si>
    <t>Limit 2018 + 25%  2016 limit</t>
  </si>
  <si>
    <t>Limit 2019 + 25%  2017 limit</t>
  </si>
  <si>
    <t>Limit 2020 + 25%  2018 limit</t>
  </si>
  <si>
    <t>(Limit*1.25)-470-40</t>
  </si>
  <si>
    <t>(Limit*1.25)-450-50</t>
  </si>
  <si>
    <t>(Limit*1.15)-40-295</t>
  </si>
  <si>
    <t>(2017 limit + 0,15*2015 limit)-300</t>
  </si>
  <si>
    <t>(2018 limit + 0,15*2016 limit)-40-300</t>
  </si>
  <si>
    <t>(2019 limit + 0,15*2017 limit)-40-300</t>
  </si>
  <si>
    <t>Limit +2012 balance</t>
  </si>
  <si>
    <t>Limit + 2013 balance</t>
  </si>
  <si>
    <t>Limit + 2014 balance</t>
  </si>
  <si>
    <t>Limit 2017 +  2015 balance</t>
  </si>
  <si>
    <t xml:space="preserve">Limit 2018 + 2016 balance </t>
  </si>
  <si>
    <t xml:space="preserve">Limit 2019 + 2017 balance </t>
  </si>
  <si>
    <t xml:space="preserve">Limit 2020 +  2018 balance </t>
  </si>
  <si>
    <t>BET</t>
  </si>
  <si>
    <t>Limit*1.3</t>
  </si>
  <si>
    <t>Limit 2016+Limit 2014*0.3</t>
  </si>
  <si>
    <t>Limit 2017+Limit 2015*0.15</t>
  </si>
  <si>
    <t>Limit 2018+Limit 2016*0.15</t>
  </si>
  <si>
    <t>Limit 2019 + 2017 balance</t>
  </si>
  <si>
    <t> 2020</t>
  </si>
  <si>
    <t> 2021</t>
  </si>
  <si>
    <t>BUM</t>
  </si>
  <si>
    <t>2016 Limit + Balance 2014</t>
  </si>
  <si>
    <t>2017 limit + 0.5*Balance 2015</t>
  </si>
  <si>
    <t>2018 limit + 0.5*Balance 2015 + 0,1*2016 limit</t>
  </si>
  <si>
    <t>2019 Limit + 0.1*2017 limit</t>
  </si>
  <si>
    <t>WHM</t>
  </si>
  <si>
    <t>2016 limit +0.5*Balance 2014</t>
  </si>
  <si>
    <t>2017 limit +0.5*Balance 2014</t>
  </si>
  <si>
    <t>2018 limit +0.33*Balance 2015</t>
  </si>
  <si>
    <t>2019 limit +0.33 Balance 2015</t>
  </si>
  <si>
    <t>2020 limit + 0,33*Balance 2015 +0.10*limit 2018</t>
  </si>
  <si>
    <t>CHINESE TAIPEI</t>
  </si>
  <si>
    <t>=3271.7*(1+25%)-100-200</t>
    <phoneticPr fontId="2" type="noConversion"/>
  </si>
  <si>
    <t>=3926+655.62-100-200</t>
    <phoneticPr fontId="2" type="noConversion"/>
  </si>
  <si>
    <t>Regarding Rec.17-04 amends para.4 of Rec.16-06, Chinese Taipei is allocated 3926 t as its 2019 initial catch quota.</t>
    <phoneticPr fontId="2" type="noConversion"/>
  </si>
  <si>
    <t>=9400+2106.75</t>
    <phoneticPr fontId="2" type="noConversion"/>
  </si>
  <si>
    <t>=9400+2350</t>
    <phoneticPr fontId="2" type="noConversion"/>
  </si>
  <si>
    <t>2019 adjusted quota is 11750.00 t (=9400+2350), which was approved by the Commission at the 21st Special Meeting.</t>
    <phoneticPr fontId="2" type="noConversion"/>
  </si>
  <si>
    <t>=270*(1+50%)-35</t>
    <phoneticPr fontId="2" type="noConversion"/>
  </si>
  <si>
    <t>=270*(1+40%)-35</t>
    <phoneticPr fontId="2" type="noConversion"/>
  </si>
  <si>
    <t>Regarding Rec.17-02 replacing Rec.16-03, Chinese Taipei may carryover to the maximum of 40% of its 2017 underage in 2019.</t>
    <phoneticPr fontId="2" type="noConversion"/>
  </si>
  <si>
    <t>=459+128.9</t>
    <phoneticPr fontId="2" type="noConversion"/>
  </si>
  <si>
    <t>=459+76.9</t>
    <phoneticPr fontId="2" type="noConversion"/>
  </si>
  <si>
    <t>=459+57.9</t>
    <phoneticPr fontId="2" type="noConversion"/>
  </si>
  <si>
    <t>Regarding Rec.17-03 replaceing Rec.16-04, Chinese Taipei may carryover to the maximum of 20% of its 2018 underage in 2019.</t>
    <phoneticPr fontId="2" type="noConversion"/>
  </si>
  <si>
    <t>=48.76-10</t>
    <phoneticPr fontId="2" type="noConversion"/>
  </si>
  <si>
    <t>=58.28-10</t>
    <phoneticPr fontId="2" type="noConversion"/>
  </si>
  <si>
    <t>=69.97-10</t>
    <phoneticPr fontId="2" type="noConversion"/>
  </si>
  <si>
    <t>=79-50</t>
    <phoneticPr fontId="2" type="noConversion"/>
  </si>
  <si>
    <t>=84-50</t>
    <phoneticPr fontId="2" type="noConversion"/>
  </si>
  <si>
    <t>2019 adjusted quota is 34 t (=84-50) due to a transfer of 50 t to Korea.</t>
    <phoneticPr fontId="2" type="noConversion"/>
  </si>
  <si>
    <t>=15583*(1+30%)-70</t>
    <phoneticPr fontId="2" type="noConversion"/>
  </si>
  <si>
    <t>=11679+(15583*30%)</t>
    <phoneticPr fontId="2" type="noConversion"/>
  </si>
  <si>
    <t>=11679+(15583*15%)</t>
    <phoneticPr fontId="2" type="noConversion"/>
  </si>
  <si>
    <t>=11679*(1+15%)+223</t>
    <phoneticPr fontId="2" type="noConversion"/>
  </si>
  <si>
    <t>2019 adjusted quota is 13653.85 t (=11679+11679*15%+223) due to the underage of 2017 exceeding 15% of 2019 initial catch limit and a transfer of 223 t from Korea.</t>
    <phoneticPr fontId="2" type="noConversion"/>
  </si>
  <si>
    <t>=150*(1+10%)</t>
    <phoneticPr fontId="2" type="noConversion"/>
  </si>
  <si>
    <t>2019 adjusted quota is 165t (=150+150*10%) due to the underage of 2017 exceeding 15% of 2019 initial catch limit.</t>
    <phoneticPr fontId="2" type="noConversion"/>
  </si>
  <si>
    <t>=50*(1+10%)</t>
    <phoneticPr fontId="2" type="noConversion"/>
  </si>
  <si>
    <t>2019 adjusted quota is 55t (=50+50*10%) due to the underage of 2017 exceeding 10% of 2019 initial catch limit.</t>
    <phoneticPr fontId="2" type="noConversion"/>
  </si>
  <si>
    <t>USA</t>
  </si>
  <si>
    <t>* Adjusted limit = initial limit + available balance (not to exceed 25% of initial quota)</t>
  </si>
  <si>
    <t>Adjusted limit for 2016 = 527 +131.75 = 658.75 t</t>
  </si>
  <si>
    <t>Adjusted limit for 2017 = 527 +131.75 = 658.75 t</t>
  </si>
  <si>
    <t>Adjusted limit for 2018 = 632.4 +131.75 = 764.15***</t>
  </si>
  <si>
    <t>Adjusted limit for 2019 = 632.4 +158.1 = 790.5</t>
  </si>
  <si>
    <t>* Adjusted limit = (initial limit) - (any transfers) + (underharvest from previous year (capped at 15% of baseline))</t>
  </si>
  <si>
    <t>Adjusted limit for 2017 = 3907.0 - (25 t to Mauritania) + (0.15)(3907) = 4468.05 t</t>
  </si>
  <si>
    <t>Adjusted limit for 2018 = 3907.0 + (0.15)(3907) = 4493.05 t</t>
  </si>
  <si>
    <t>Adjusted limit for 2019 = 3907.0 + (0.15)(3907) = 4493.05 t</t>
  </si>
  <si>
    <t>* Adjusted limit = (initial limit) - (any transfers) + (underharvest from previous year (capped at 100 t WW))</t>
  </si>
  <si>
    <t>Adjusted limit for 2017 = 100.0 - (100 t (Namibia (50 t), Cote d'Ivoire (25 t), Belize (25 t)) + 99.94</t>
  </si>
  <si>
    <t>Adjusted limit for 2018 = 100.0 - (100 t (Namibia (50 t), Cote d'Ivoire (25 t), Belize (25 t)) + 99.94</t>
  </si>
  <si>
    <t>Adjusted limit for 2019 = 100.0 - (100 t (Namibia (50 t), Cote d'Ivoire (25 t), Belize (25 t)) + 99.94</t>
  </si>
  <si>
    <t>Adjusted limit for 2016 = 1083.79 + (.1)(1083.79) = 1192.17 t</t>
  </si>
  <si>
    <t>Adjusted limit for 2017 = 1083.79 + (.1)(1083.79) = 1192.17 t</t>
  </si>
  <si>
    <t>Adjusted limit for 2018 = 1272.86 + (.1)(1083.79) = 1381.24 t***</t>
  </si>
  <si>
    <t>Adjusted limit for 2019 = 1272.86 + (.1)(1272.86) = 1400.15 t</t>
  </si>
  <si>
    <t>(200/4)+200</t>
  </si>
  <si>
    <t>(200-184.4)+200</t>
  </si>
  <si>
    <t>(200*0.25)+200</t>
  </si>
  <si>
    <t xml:space="preserve">Underage up to 25% of the initial catch quota has been carried over biennially. </t>
  </si>
  <si>
    <t>-</t>
  </si>
  <si>
    <t>(150*0.25)+140</t>
  </si>
  <si>
    <t>(140*0.25)+140</t>
  </si>
  <si>
    <t>50-4.4</t>
  </si>
  <si>
    <t>50+15.34</t>
  </si>
  <si>
    <t>50+(50*0.5)</t>
  </si>
  <si>
    <t>50+10.7</t>
  </si>
  <si>
    <t>50-2.63</t>
  </si>
  <si>
    <t>50+(50*0.3)</t>
  </si>
  <si>
    <t>(1983*0.3)+1983-20</t>
  </si>
  <si>
    <t>(1983*0.3)+1486</t>
  </si>
  <si>
    <t>(1486*0.15)+1486</t>
  </si>
  <si>
    <t xml:space="preserve">20 tons of Bigeye catch quota had been annually transferred to Ghana until 2015.  </t>
  </si>
  <si>
    <t>(35*0.2)+35</t>
  </si>
  <si>
    <t>Underage up to 20% of the initial catch quota has been carried over to following year.</t>
  </si>
  <si>
    <t>(20*0.2)+20</t>
  </si>
  <si>
    <t>Units : t</t>
  </si>
  <si>
    <t>CHINA</t>
  </si>
  <si>
    <t>Describe the rationale used in the application of over-underharvest:</t>
  </si>
  <si>
    <t>Adjusted Lmit=initial limt +available balance(not to exceed 25% of initial quota)</t>
  </si>
  <si>
    <t>Adjusted limit for 2019=initial quota(200)+200*25%(not exceeding the balance of 2017)=220.05</t>
    <phoneticPr fontId="2" type="noConversion"/>
  </si>
  <si>
    <t>NOTE:pay back plan for the over-harvest of 2015: pay back 12t in 2017, pay back 12t in 2018, pay back 12.726t in 2019</t>
    <phoneticPr fontId="2" type="noConversion"/>
  </si>
  <si>
    <t>Adjusted Lmit=initial limt +available balance(not to exceed 30%of initial quota)</t>
    <phoneticPr fontId="2" type="noConversion"/>
  </si>
  <si>
    <t>Adjusted Lmit=initial limt +available balance(not to exceed 15% of initial quota)</t>
    <phoneticPr fontId="2" type="noConversion"/>
  </si>
  <si>
    <t>Adjusted limite for 2019=initial quota(5376)+5376*15%+1000 ton transfer from japan=7182.4</t>
    <phoneticPr fontId="2" type="noConversion"/>
  </si>
  <si>
    <t>n.a.</t>
  </si>
  <si>
    <t>No adjustment for 2015</t>
  </si>
  <si>
    <t>Adjusted limit for 2019=initial quota(10)+10*20%=12</t>
  </si>
  <si>
    <t>Insuffisance d'activité lié au déploiement de l'armement</t>
  </si>
  <si>
    <t>BRAZIL</t>
  </si>
  <si>
    <t>BELIZE</t>
  </si>
  <si>
    <t>Limit + Underages + Transfer</t>
  </si>
  <si>
    <t xml:space="preserve">2016 = Initial allocation + transfers (from Senegal 125t, Japan 35t, Chinese Taipe 35t, and the EU 295t) + underage from 2014 (202.2t - max. carry forward) </t>
  </si>
  <si>
    <t xml:space="preserve">2017 = Initial allocation + transfers (from Senegal 150t, Japan 35t, Chinese Taipe 35t, and the EU 300t) + underage from 2015 (202.2t - max. carry forward) </t>
  </si>
  <si>
    <t>2018 = Initial allocation + transfers (from Senegal 150t, Japan 35t, Chinese Taipe 35t, and the EU 300t) + underage from 2016 (202.2t - max. carry forward)</t>
  </si>
  <si>
    <t>CANADA</t>
  </si>
  <si>
    <t>TRINIDAD&amp;TOBAGO</t>
  </si>
  <si>
    <t>JAPAN</t>
  </si>
  <si>
    <t xml:space="preserve">JAPAN-N-ALB:is to endeavour to limit North Albacore catches to no more than 4% of its total bigeye tuna catch. </t>
  </si>
  <si>
    <t>For reference</t>
  </si>
  <si>
    <t>% (N-ALB/BET)</t>
  </si>
  <si>
    <t>Year:</t>
  </si>
  <si>
    <t>Catch</t>
  </si>
  <si>
    <t>Describe the rationale used in the application of overage / underage</t>
  </si>
  <si>
    <t xml:space="preserve">JAPAN-S-ALB up to 2013: is to endeavour to limit its total South Albacore catches to no more than 4% of its total bigeye tuna catch in South of 5 degrees North. </t>
  </si>
  <si>
    <t xml:space="preserve">JAPAN-S-ALB: 2014 adjusted limit included 50t transferred from Namibia, 220t transferred from Uruguay and 100t transferred from  Brazil
. </t>
  </si>
  <si>
    <t xml:space="preserve">JAPAN-S-ALB: 2015 adjusted limit included 100t transferred from Brazil amd 100t transferred from South Africa.
. </t>
  </si>
  <si>
    <t>JAPAN-S-ALB: 2016 adjusted limit included 25% of the original limit as carry-over from 2014 underage[Rec.13-06]</t>
  </si>
  <si>
    <t>JAPAN-S-ALB: 2017 adjusted limit included 100t transferred from Brazil amd 100t transferred from Uruguay.[Rec.16-07]</t>
  </si>
  <si>
    <t>JAPAN-S-ALB: 2018 adjusted limit included 100t transferred from Brazil amd 100t transferred from Uruguay.[Rec.16-07]</t>
  </si>
  <si>
    <t>JAPAN-N-SWO: adjusted limit in 2011 excluded 50 t transfered to Morocco. [Rec. 10-02].</t>
  </si>
  <si>
    <t>JAPAN-N-SWO: adjusted limit in 2012 and 2013 excluded 50 t transfered to Morocco, and 35 transferred to Canada. [Rec. 11-02].</t>
  </si>
  <si>
    <t>JAPAN-N-SWO: adjusted limit in 2014, 2015 and 2016 excluded 50 t transfered to Morocco, and 35 transferred to Canada, and 25 transferred to Mauritania. [Rec. 13-02].</t>
  </si>
  <si>
    <t>JAPAN-N-SWO: adjusted limit in 2017 excluded 100 t transfered to Morocco, and 35 transferred to Canada, and 25 transferred to Mauritania. [Rec. 16-03].</t>
  </si>
  <si>
    <t>JAPAN-N-SWO: underage may be added to the subsequent years' catch limits. [Rec. 13-02][Rec. 16-03].</t>
  </si>
  <si>
    <t>JAPAN-N-SWO:400 t of its swordfish catch taken from the South Atlantic management area was counted against its uncaught catch limits in 2015.[Rec.13-02]</t>
  </si>
  <si>
    <t>JAPAN-E-BFT: adjusted quota in 2015 included 45t transferred from Korea.[Rec.14-04]</t>
  </si>
  <si>
    <t>JAPAN-E-BFT: adjusted quota in 2016 excluded 25 t transfered to Korea.[Rec.14-04]</t>
  </si>
  <si>
    <t>JAPAN-E-BFT: adjusted quota in 2017 excluded 20 t transfered to Korea.[Rec.14-04]</t>
  </si>
  <si>
    <t>JAPAN-E-BFT: Current catch for 2017 includes 5.3 t of dead discard as reported in Task I data.</t>
  </si>
  <si>
    <t xml:space="preserve">JAPAN-BIGEYE: adjusted limit of Japan in 2011excludes 3000 t transferred to China and 800 t transferred to Korea [Rec. 10-01].  </t>
  </si>
  <si>
    <t xml:space="preserve">JAPAN-BIGEYE: adjusted limit of Japan in 2012,2013, and 2014 excluded 3000 t transferred to China and 70 t transferred to Ghana [Rec. 11-01].  </t>
  </si>
  <si>
    <t>JAPAN-BUM: the 2015 adjusted limit included 10% of the initial limit as carry-over from 2013 underage[Rec.12-04]</t>
  </si>
  <si>
    <t>JAPAN-BUM: the 2016 adjusted limit included 10% of the initial limit as carry-over from 2014 underage[Rec.15-05].</t>
  </si>
  <si>
    <t xml:space="preserve">Figures up to 2012 are for only White Marlin[Rec.6-9 &amp; 11-07] </t>
  </si>
  <si>
    <t>Figures from 2013 are for both White Marlin and Spearfish[Rec.12-04]</t>
  </si>
  <si>
    <t>BARBADOS</t>
  </si>
  <si>
    <t xml:space="preserve">Stock: </t>
  </si>
  <si>
    <t xml:space="preserve">Flag: </t>
  </si>
  <si>
    <t>SOUTH AFRICA</t>
  </si>
  <si>
    <t>*Belize is carrying forward its underages of 1.56t of its unused catch limit in 2017 to be used in 2019</t>
  </si>
  <si>
    <t xml:space="preserve">*Belize is carrying forward 25% of its initial catch limit (62.5t) from its balance of 93.47t in 2017 to be used in 2019 </t>
  </si>
  <si>
    <t>*Belize is carrying forward 40% of its initial catch limit (65t) from its balance of 197.92t in 2017 to be used in 2019.</t>
  </si>
  <si>
    <t>*Belize is carrying forward 20% of its initial catch limit (25t) from its balance of 108.99t in 2017 to be used in 2019.</t>
  </si>
  <si>
    <t>JAPAN-W-BFT:The underharvest may be added to next year to 10% of the initial quota allocation[Rec.13-09、14-05、17-06]</t>
  </si>
  <si>
    <t>Japan's 2019 adjusted limit = 17,696(Limit)+2,654.4(2018 carry over(17696*15%)(Para8 of Rec16-01)-1000(transfer to China(Para7 of Rec.16-01))-70(transfer to Ghana(Para7 of Rec.16-01))</t>
  </si>
  <si>
    <t>JAPAN-WHM・SPF: the 2015 adjusted limit included 20% of the initial limit as carry-over from 2013 underage[Rec.12-04]</t>
  </si>
  <si>
    <t>JAPAN-WHM・SPF: the 2016 adjusted limit included 20% of the initial limit as carry-over from 2014 underage[Rec.12-04][Rec.15-05]</t>
  </si>
  <si>
    <t>JAPAN-WHM・SPF: the 2017 adjusted limit included 20% of the initial limit as carry-over from 2015 underage[Rec.12-04][Rec.15-05]</t>
  </si>
  <si>
    <t>(1486*0.15)+1486-223</t>
  </si>
  <si>
    <t>(1486*0.15)+1486 - 223</t>
  </si>
  <si>
    <t>SENEGAL</t>
  </si>
  <si>
    <t xml:space="preserve">Déficit de collecte au niveau des sites de débarquement de la pêche artisanale. </t>
  </si>
  <si>
    <t>le calcul du quota ajusté 2019 prend en compte le solde  MAX de 2018 (Limite 2018 * 0.2 = 417*0.2=83.4) auquel est ajouté la limite 2019 (417 t) ce qui donne (83.4+417=500.4) t</t>
  </si>
  <si>
    <t>Japan's 2018 adjusted limit = BET 2018 catch * 4%(Para6 of Rec16-06)</t>
    <phoneticPr fontId="9"/>
  </si>
  <si>
    <t>JAPAN-S-ALB: adjusted limit from 2019 to 2020 included 100t transferred from Brazil amd 100t transferred from South Africa [Rec.16-07].</t>
    <phoneticPr fontId="5" type="noConversion"/>
  </si>
  <si>
    <t>JAPAN-S-ALB: Japan's underage in 2016 was carried over to the 2018 initial limit [Rec.16-07]</t>
    <phoneticPr fontId="9"/>
  </si>
  <si>
    <t>JAPAN-S-ALB: Japan's overage in 2017 was deducted from the 2019 initial limit [Rec.16-07]</t>
    <phoneticPr fontId="9"/>
  </si>
  <si>
    <t>JAPAN-S-ALB: Japan's underage in 2018 was carried over to the 2020 initial limit [Rec.16-07]</t>
    <phoneticPr fontId="9"/>
  </si>
  <si>
    <t>Japan's 2019 adjusted limit = 1355t(Limit)-418.7t(2017 overage(Para5 of Rec16-07))+100t(transfer from Brasil (Para3 of Rec.16-07))+100t(transfer from S.Africa(Para3 of Rec.16-07))+800t(transfer from S.Africa(circular#888/2019))</t>
    <phoneticPr fontId="9"/>
  </si>
  <si>
    <t>JAPAN-N-SWO: As Mauritania did not submit its North Atlantic Swordfish development plan in 2018, the transfers provided for in Rec.17-02 are considered null.</t>
    <phoneticPr fontId="5" type="noConversion"/>
  </si>
  <si>
    <t>JAPAN-N-SWO: adjusted limit from 2019 to 2020 excluded 100t transfered to Morocco, and 35t transferred to Canada , and 25t transferred to Mauritania [Rec. 17-02].</t>
    <phoneticPr fontId="5" type="noConversion"/>
  </si>
  <si>
    <t>Japan's 2019 adjusted limit = 901t(Limit)+340.2t(2017 carry over(Para1(3) of Rec17-03)-50t(transfer to Namibia(Para5 of Rec.17-03))</t>
    <phoneticPr fontId="9"/>
  </si>
  <si>
    <t>Japan's 2020 adjusted limit  = 901t(Limit)+600t(2018 carry over(Para1(3) of Rec17-03))-50t(transfer to Namibia(Para5 of Rec.17-03))</t>
    <phoneticPr fontId="9"/>
  </si>
  <si>
    <t>JAPAN-E-BFT: current catch for 2018 includes 7.42 t of dead discard.</t>
    <phoneticPr fontId="5" type="noConversion"/>
  </si>
  <si>
    <t>Japan's 2019 adjusted limit = 2544.00t(Limit)(Para5 of Rec18-02)</t>
    <phoneticPr fontId="9"/>
  </si>
  <si>
    <t>JAPAN-W-BFT: current catch for 2018 includes 1.10 t of dead discard.</t>
    <phoneticPr fontId="5" type="noConversion"/>
  </si>
  <si>
    <t>Japan's 2018 adjusted limit =15415.88(It was deducted by the "pay back" provision  in para 2(a) of Rec 16-01.)</t>
    <phoneticPr fontId="9"/>
  </si>
  <si>
    <t>JAPAN-BIGEYE: current catch for 2018 includes 26.09 t of dead discard.</t>
    <phoneticPr fontId="5" type="noConversion"/>
  </si>
  <si>
    <t>JAPAN-BIGEYE: the 2015 adjusted limit included 30% of the initial limit as carry-over from 2014 underage and excluded 3000 t  transferred to China and 70 t transferred to Ghana [Rec. 14-01].</t>
  </si>
  <si>
    <t>JAPAN-BIGEYE: the 2016 adjusted limit included 30% of the initial limit as carry-over from 2015 underage and excluded 1000 t transferred to China and 70 t transferred to Ghana. [Rec. 14-01][Rec.15-01]</t>
  </si>
  <si>
    <t>JAPAN-BIGEYE: the 2017 adjusted limit included 15% of the initial limit as carry-over from 2016 underage and excluded 1000 t  transferred to China and 70 t transferred to Ghana [Rec. 16-01]</t>
  </si>
  <si>
    <t>JAPAN-BIGEYE: the 2018 adjusted limit included 15% of the initial limit as carry-over from 2017 underage and excluded 1000 t  transferred to China and 70 t transferred to Ghana [Rec. 16-01]</t>
  </si>
  <si>
    <t>JAPAN-BUM: the 2017 adjusted limit included 10% of the initial limit as carry-over from 2015 underage[Rec.15-05].</t>
    <phoneticPr fontId="9"/>
  </si>
  <si>
    <t>Japan's 2018 adjusted limit = 390t(Limt)+16.6t(2016 carry over(Para3 of Rec15-05))</t>
    <phoneticPr fontId="9"/>
  </si>
  <si>
    <t>Japan's 2018 adjusted limit =35t(Limt)+7t(2016 carry over(35*20%)(Para3 of Rec15-05))</t>
    <phoneticPr fontId="9"/>
  </si>
  <si>
    <t>2017*</t>
  </si>
  <si>
    <t>2018**</t>
  </si>
  <si>
    <t>2019**</t>
  </si>
  <si>
    <t>50+(50*0.4)</t>
  </si>
  <si>
    <t>CÔTE D'IVOIRE</t>
  </si>
  <si>
    <t>200+(200*0.5)</t>
  </si>
  <si>
    <t>200+(200*0.4)</t>
  </si>
  <si>
    <t>GHANA</t>
  </si>
  <si>
    <t>*transfer of 200t from Chinese Taipei to Belize in 2019 and 2020.</t>
  </si>
  <si>
    <t>Les prises accessoires n'ont pas encore été arretées ,</t>
  </si>
  <si>
    <t>*Belize is carrying forward its underages of 1.98t of its unused catch limit in 2018 to be used in 2020.</t>
  </si>
  <si>
    <t>*transfer of 75t from Trinidad &amp; Tobago to Belize in 2019 and 2020.</t>
  </si>
  <si>
    <t>*Belize is carrying forward 40% of its initial catch limit (52t) from its balance of 111.68t in 2018 to be used in 2020.</t>
  </si>
  <si>
    <t>*Belize is carrying forward 20% of its initial catch limit (25t) from its balance of 172.28t in 2018 to be used in 2020.</t>
  </si>
  <si>
    <t>*transfer of 25t from the United States of America to Belize in 2019 and 2020.</t>
  </si>
  <si>
    <t>*transfer of 50t from Brazil to Belize in 2019 and 2020.</t>
  </si>
  <si>
    <t>*transfer of 50t from Uruguay to Belize in 2019 and 2020.</t>
  </si>
  <si>
    <t>EL SALVADOR</t>
  </si>
  <si>
    <t>2019: The 2018 underage is greater than the maximum amount that can be carried over to 2019 (&lt;= 40% of original catch limit); hence the amount carried over is 50 t (0.4*125).
Additionally, 75 t were transferred to Belize; hence 75 is subtracted from the sum of the initial catch limit and the allowed carry over, to arrive at the final adjusted limit of 100 t.</t>
  </si>
  <si>
    <t>NORWAY</t>
  </si>
  <si>
    <t>MIN((A-B), 5% * A)</t>
  </si>
  <si>
    <t>Limit 2021 + 25%  2019 limit</t>
  </si>
  <si>
    <t xml:space="preserve">Limit 2021 +  2019 balance </t>
  </si>
  <si>
    <t>Limit 2020 + 2018 balance + 300¹ t</t>
  </si>
  <si>
    <t>Limit 2021 + 2019 balance</t>
  </si>
  <si>
    <t>2020 Limit + 0.1*2018 limit - 2t</t>
  </si>
  <si>
    <t>2021 Limit + 0.1*2019 limit -2t</t>
  </si>
  <si>
    <t>2021 limit + 0.10*limit 2019</t>
  </si>
  <si>
    <t>JAPAN-N-ALB:Japan's 2019 adjusted limit = BET 2019 catch * 4% (Para6 of Rec16-06)</t>
  </si>
  <si>
    <t>JAPAN-S-ALB: Japan's underage in 2019 was carried over to the 2021 initial limit [Rec.16-07]</t>
  </si>
  <si>
    <t>JAPAN-E-BFT: current catch for 2019 includes  9.25t of dead discard.</t>
  </si>
  <si>
    <t>JAPAN-E-BFT:Japan's 2020 adjusted limit = 2819.00t(Limit)(Para5 of Rec19-04)+20.27t(2019 carry over (Para7 of Rec 19-04))</t>
  </si>
  <si>
    <t>JAPAN-W-BFT:Japan's 2019 adjusted limit = 407.48t(Limit)+1.73t(2018 carry over(Para7a of Rec17-06 )</t>
  </si>
  <si>
    <t>JAPAN-W-BFT: current catch for 2019 includes 0.21 t of dead discard.</t>
  </si>
  <si>
    <t>JAPAN-W-BFT:Japan's 2020 adjusted limit = 407.48t(Limit)+2.92t(2019 carry over(Para7a of Rec17-06 )</t>
  </si>
  <si>
    <t>JAPAN-BIGEYE: current catch for 2019 includes  14.10t of dead discard.</t>
  </si>
  <si>
    <t>JAPAN-BIGEYE: Adjusted catch limit for 2017 does not take into account of the “pay back” stipulated in para 2(a) of Rec 16-01.</t>
  </si>
  <si>
    <t>JAPAN-BUM:Japan's 2019 adjusted limit = 390t(Limit)+39t(2017 carry over(390*10%)(Para3 of Rec15-05))</t>
  </si>
  <si>
    <t>JAPAN-BUM:Japan's 2020 adjusted limit = 328.1t(Limit)+39t(2018 carry over(390*10%)(Para3 of Rec18-04))</t>
  </si>
  <si>
    <t>JAPAN-BUM:Japan's 2021 adjusted limit = 328.1t(Limit)+39t(2019 carry over(390*10%)(Para3 of Rec18-04))</t>
  </si>
  <si>
    <t>JAPAN-WHM・SPF:Japan's 2019 adjusted limit =35t(Limit)+7t(2017 carry over(35*20%)(Para3 of Rec15-05))</t>
  </si>
  <si>
    <t>JAPAN-WHM・SPF:Japan's 2020 adjusted limit =35t(Limit)+7t(2018 carry over(35*20%)(Para3 of Rec18-04))</t>
  </si>
  <si>
    <t>JAPAN-WHM・SPF:Japan's 2021 adjusted limit =35t(Limit)+7t(2019 carry over(35*20%)(Para3 of Rec18-04))</t>
  </si>
  <si>
    <t>8.36+140</t>
  </si>
  <si>
    <t>2020**</t>
  </si>
  <si>
    <t>50+(50*0.2)</t>
  </si>
  <si>
    <t>Until 2016, underage up to 30% of the initial catch quota was carried over to the following year.</t>
  </si>
  <si>
    <t>Since 2017, underage up to 15% of the initial catch quota was carried over to the following year.</t>
  </si>
  <si>
    <t>113.66+25+25</t>
  </si>
  <si>
    <t>136.46+25+20</t>
  </si>
  <si>
    <t>160+50</t>
  </si>
  <si>
    <t>184+50</t>
  </si>
  <si>
    <t>200+50+1.57</t>
  </si>
  <si>
    <t>In 2016, Egypt and Japan transferred 25t of their quota to Korea respectively.</t>
  </si>
  <si>
    <t>In 2017, Egypt and Japan transferred 25t and 20t of their quota to Korea respectively.</t>
  </si>
  <si>
    <t>Since 2018, Chinese Taipei transferred 50t of its quota to Korea every year.</t>
  </si>
  <si>
    <t xml:space="preserve">Korea carried forward its unused quota of 2019(1.57t) to 2020. </t>
  </si>
  <si>
    <t>(35*0.2)+29.4</t>
  </si>
  <si>
    <t>45+(0.4 x 45)=18t</t>
  </si>
  <si>
    <t>Adjusted limit for 2020 = 632.4 +158.1 = 790.5</t>
  </si>
  <si>
    <t>Adjusted limit for 2020 = 3907.0 + (0.15)(3907) = 4493.05 t</t>
  </si>
  <si>
    <t>Adjusted limit for 2020 = 100.0 - (100 t (Namibia (50 t), Cote d'Ivoire (25 t), Belize (25 t)) + 99.94</t>
  </si>
  <si>
    <t>Adjusted limit for 2020 = 1272.86 + (.1)(1272.86) = 1400.15 t</t>
  </si>
  <si>
    <t>2019= (70)+(3)</t>
  </si>
  <si>
    <t>2015=(25)+(-5)+(5)</t>
  </si>
  <si>
    <t>2016=(25)+(-1)</t>
  </si>
  <si>
    <t>2017=No se aplican modificaciones</t>
  </si>
  <si>
    <t>2018=(25)+(4)</t>
  </si>
  <si>
    <t>2019= (25) + (5), 20% Cuota (25t)</t>
  </si>
  <si>
    <t>2015=(70)+(-15)</t>
  </si>
  <si>
    <t>2016=(70)+(-17)+(3)</t>
  </si>
  <si>
    <t>2017=(70)+(-9)</t>
  </si>
  <si>
    <t>2018=(70)+(1)</t>
  </si>
  <si>
    <t>le calcul du quota ajusté 2020 prend en compte le solde  MAX de 2019 (Limite 2019 * 0.2 = 417*0.2=83.4) auquel est ajouté la limite 2020 417 t) ce qui donne (83.4+417=500.4) t</t>
  </si>
  <si>
    <t>200+(0.25*200)</t>
  </si>
  <si>
    <t>2160+(0.25*2160)</t>
  </si>
  <si>
    <t>2160+(0.25*2160)-100</t>
  </si>
  <si>
    <t>2017-2019: 100t transferred to Japan</t>
  </si>
  <si>
    <t>50+(0.5*50)</t>
  </si>
  <si>
    <t>50+(0.5*50)-25</t>
  </si>
  <si>
    <t>50+(0.4*50)-25</t>
  </si>
  <si>
    <t xml:space="preserve">These limits do not apply to Brazil, since Paragraph 9, of Reccomendation 19-05 establishes that: "For CPCs that prohibit dead discards, the landings of blue marlin and white marlin/spearfish that are dead when brought alongside the vessel and that are not sold or entered into commerce shall not count against the limits established in paragraph 2, on the condition that such prohibition be clearly explained in their Annual Report". Brazil prohibited dead discards and selling of white marlins by Normative Instruction 12, of July 14, 2005. </t>
  </si>
  <si>
    <t>3940+(0.3*3940)-50</t>
  </si>
  <si>
    <t>3940+(0.2*3940)-50</t>
  </si>
  <si>
    <t>* Adjusted limit 2019 = initial limit 2019 (4400) + available balance 2017 (not to exceed 25% of initial quota) (1100) - 900t transferred to Japan</t>
  </si>
  <si>
    <t>* Adjusted limit 2020 = initial limit 2020 (4400) + available balance 2018(not to exceed 25% of initial quota) (1100) - 600t transferred to Japan</t>
  </si>
  <si>
    <t>*Adjusted Limit=initial limt +available balance(not to exceed 25% of initial quota)</t>
  </si>
  <si>
    <t>50 + Balance 2018</t>
  </si>
  <si>
    <t>USA: the 2016-2020 adjusted quota reflects transfers to Namibia (50 t), Belize (25 t) and Côte d'Ivoire (25 t) in accordance with Rec. 16-04/17-03.</t>
  </si>
  <si>
    <t>*Underage up to 30% of the initial catch quota has been carried over biennially Rec.15-03 and 16-04. Quota calculated up to 2017</t>
  </si>
  <si>
    <t>**Underage up to 20% of the initial catch quota has been carried over biennially Rec.17-03. Quota calculated from 2018 on</t>
  </si>
  <si>
    <t>125+(125*0.3)</t>
  </si>
  <si>
    <t>125+(125*0.3)+25</t>
  </si>
  <si>
    <t>125+(125*0.2)+25</t>
  </si>
  <si>
    <t>CHINA: In accordance with paragraph 4b of Rec. 16-07, the 25 percent carryover request made by China at the 2017 regular meeting of the Commission has been completed using their underage from 2016 of 30.63 t and 19.37 t of the total underage of the TAC from 2016.</t>
  </si>
  <si>
    <t>Adjusted limit for 2020=initial quota(200)+200*25%(not exceeding the balance of 2018)=250</t>
  </si>
  <si>
    <t>Adjusted limit for 2019=initial quota(100)-12.726(payback quota)+available balance of 2017 (6.69t)=93.964</t>
  </si>
  <si>
    <t>Adjusted limit for 2019=initial quota(313)+313*20%(carryover 2017)=326.76</t>
  </si>
  <si>
    <t>Adjusted limit for 2020=initial quota(313)+313*20%(carryover 2018)= 313+37.05</t>
  </si>
  <si>
    <t>Adjusted limit for 2019=initial limit (45) + available balance of 2017 (not exceeding 20% of 45)=50.27</t>
  </si>
  <si>
    <t>Adjusted limit for 2020=initial limit (37.90) + available balance of 2018 (not exceeding 20% of 37.90)= 41.34t</t>
  </si>
  <si>
    <t>Adjusted limit for 2020=initial quota(10)+10*20%=12</t>
  </si>
  <si>
    <t>Regarding Rec.17-04 amends para.4 of Rec.16-06, Chinese Taipei is allocated 3926 t as its 2020 initial catch quota.</t>
  </si>
  <si>
    <t>2020 adjusted quota is 11550.00 t (=9400*(1+0.25)-200) due to the inclusion of 2018 underage and 2020 initial catch quota and the deduction of transfer of 200t to Japan</t>
  </si>
  <si>
    <t>=9400+2350-200</t>
  </si>
  <si>
    <t>JAPAN-S-ALB: 2020 adjusted limit = 1,355 t(Limit)+239.25 t(2018 carry over (para 4b of Rec. 16-07))+99.5t(complement from underage from the total TAC(Para4b of Rec.16-07)))+100 t(transfer from Brasil (para 3 of Rec. 16-07))+100 t(transfer from S.Africa(para 3 of Rec. 16-07))+500t(transfer from S.Africa (circular#1304/2020))+200t(transfer from Chinese Taipei  (circular#4313/2020))+100t(transfer from Brazil (circular#4498/2020))</t>
  </si>
  <si>
    <t>2019 adjusted quota is 343 t (=270+270*40%-35) due to the underage of 2017 exceeding 40% of 2019 initial catch quota and a transfer of 35 t to Canada.</t>
  </si>
  <si>
    <t>Pursuant to Rec.17-02, Chinese Taipei may carryover to the maximum of 40% of its 2018 underage in 2020.</t>
  </si>
  <si>
    <t>2020 adjusted quota is 323 t (=270+270*40%-35-20) due to the inclusion of 2018 underage and 2020 initial catch quota and the deduction of respective transfers of 35 t to Canada and 20 t to Morocco.</t>
  </si>
  <si>
    <t>=270*(1+40%)-35-20</t>
  </si>
  <si>
    <t>=459*(1+20%)</t>
  </si>
  <si>
    <t>According to Rec.17-03, Chinese Taipei may carryover to the maximum of 20% of its 2019 underage in 2020.</t>
  </si>
  <si>
    <t>2020 adjusted quota is 550.8 t (=459*(1+20%)) due to the inclusion of 2019 underage and 2020 initial catch quota.</t>
  </si>
  <si>
    <t>=90-50</t>
  </si>
  <si>
    <t>2020 adjusted quota is 40 t (=90-50) due to a transfer of 50 t to Korea.</t>
  </si>
  <si>
    <t>2020 adjusted quota is 11201.26 t = 9226.41 (initial quota) + 11679*15% (carry over of 15% of 2018 initial quota pursuant to Rec.16-01) +223 (transfer from Korea)</t>
  </si>
  <si>
    <t>=126.20+150(10%)</t>
  </si>
  <si>
    <t xml:space="preserve">2020 adjusted quota is 141.2 t = 126.2 (initial landing limit in 2020) + 150*10% (2018 carry over pursuant to Rec. 18-04) </t>
  </si>
  <si>
    <t>2020 adjusted quota is 55 t = 50 (initial landing limit in 2020) + 50*10% (2018 carry over pursuant to Rec. 18-04.)</t>
  </si>
  <si>
    <t>FRANCE SPM</t>
  </si>
  <si>
    <t xml:space="preserve">Pas de navire </t>
  </si>
  <si>
    <t>1 : limite 2015 + 50% quota original + 40 tonnes transférées de l'Union Européenne (REC 13-02)</t>
  </si>
  <si>
    <t>2 : limite 2016 + 50% quota original + 40 tonnes transférées de l'Union Européenne (REC 13-02)</t>
  </si>
  <si>
    <t>3 : limite 2017 + 50% limite de capture initiale + 40 tonnes transférées de l'Union Européenne     (REC 13-02 et REC 16-03) + 12,75 tonnes transférées du Vénézuela (accord sur la base de l'article 6     "transferts" de la recommandation 2016 ICCAT sur la préservation de l'espadon de   l'Atlantique Nord : en vertu du paragraphe 2, le Vénézuela peut transférer à la France SPM     15% de son allocation soit 85tx15%=12,75t)=40+(40*0.5)+40+12.75=112.75</t>
  </si>
  <si>
    <t>1 : limite 2015 + 100% quota de capture initial (REC 12-02)</t>
  </si>
  <si>
    <t>2 : limite 2016 + 100% quota de capture initial (REC 14-05)</t>
  </si>
  <si>
    <t>3 : limite 2017 + Solde 2016</t>
  </si>
  <si>
    <t>4 : limite 2018 + solde 2017</t>
  </si>
  <si>
    <t>*Belize is carrying forward 25% of its initial catch limit 2018 (25% 200t = 50t) from its balance of 64.86t in 2018 to be used in 2020.</t>
  </si>
  <si>
    <t>215+(0.25*200)</t>
  </si>
  <si>
    <t>Adjusted limited for 2019=215(initial quota)+200*25%(carryover 2017)=265</t>
  </si>
  <si>
    <t>Adjusted limited for 2020=215(initial quota)+200*25%(carryover 2018)=265</t>
  </si>
  <si>
    <t>RUSSIA</t>
  </si>
  <si>
    <t xml:space="preserve">JAPAN-BIGEYE:Japan's 2020 adjusted limit is 13,079.84t (after transferring 600t to China and 300t to EU). </t>
  </si>
  <si>
    <t>=459+100.9</t>
  </si>
  <si>
    <t>=459+87.80</t>
  </si>
  <si>
    <t>2019 adjusted quota is 546.8 t (=459+87.80) due to the inclusion of 2018 underage.</t>
  </si>
  <si>
    <t>SAINT VINCENT AND THE GRENADINES</t>
  </si>
  <si>
    <t>=200-1.51+100</t>
  </si>
  <si>
    <t>=200+100</t>
  </si>
  <si>
    <t>=200*(1+25% (máx 6.89 from 2016))+100</t>
  </si>
  <si>
    <t>* Adjusted limit = initial limit + available balance (not to exceed 25% of initial quota of the year where the adjustment comes)</t>
  </si>
  <si>
    <t>Japan's 2015 adjusted limit = 842t(Limit)+842*15%-50t(transfer to Morocco(Para2 of Rec.17-02))-35t(transfer to Canada(Para2 of Rec.17-02))-25t(transfer to Mauritania(Para2 of Rec.17-02))</t>
  </si>
  <si>
    <t>Japan's 2016 adjusted limit = 842t(Limit)+406.20 (CO 2015) - 50t(transfer to Morocco(Para2 of Rec.17-02))-35t(transfer to Canada(Para2 of Rec.17-02))-25t(transfer to Mauritania(Para2 of Rec.17-02))</t>
  </si>
  <si>
    <t>Japan's 2017 adjusted limit = 842t(Limit)+740.50 (CO 2016) - 100t(transfer to Morocco(Para2 of Rec.17-02))-35t(transfer to Canada(Para2 of Rec.17-02))-25t(transfer to Mauritania(Para2 of Rec.17-02))</t>
  </si>
  <si>
    <t>Japan's 2018 adjusted limit = 842t(Limit)+842*15%-100t(transfer to Morocco(Para2 of Rec.17-02))-35t(transfer to Canada(Para2 of Rec.17-02))</t>
  </si>
  <si>
    <t>Japan's 2019 adjusted limit = 842t(Limit)+544t(2018 carry over(Para4 of Rec17-02))-100t(transfer to Morocco( Para2 of Rec.17-02))-35t(transfer to Canada(Para2 of Rec.17-02))-25t(transfer to Mauritania(Para2 of Rec.17-02))</t>
  </si>
  <si>
    <t>Japan´s 2020 adjusted limit = 842 t(Limit)+831.01t(2019 carry over(para 4 of Rec. 17-02))-150 t(transfer to Morocco(para 1-a) of Rec. 19-03))-35 t(transfer to Canada(para 2 of Rec. 17-02))-25 t(transfer to Mauritania(para 2 of Rec. 17-02)).</t>
  </si>
  <si>
    <t>2019 = Initial allocation + transfers (from Senegal 125t, Japan 35t, Chinese Taipe 35t, and the EU 300t) + underage from 2017 (202.2t - max. carry forward)</t>
  </si>
  <si>
    <t>=3926+(3271.70*0.25)-200</t>
  </si>
  <si>
    <t>=(3926*1.25)-200</t>
  </si>
  <si>
    <t>2019 adjusted quota is 4443.93 t (=3926+(3271.70*0.25)-200)  due to the inclusion of 2017 underage and 2019 initial catch quota and the transfer of 200 t to Belize.</t>
  </si>
  <si>
    <t>2020 adjusted quota is 4607.5 t (=3926*(1+0.25)-100-200)  due to the inclusion of 2018 underage and 2020 initial catch quota and the deduction of the transfer of 200 t to Belize.</t>
  </si>
  <si>
    <t>=215+25% Quota 2017 (máx 3.80)</t>
  </si>
  <si>
    <t>=215+(MAX. 25% from 2018 quota= 50t)</t>
  </si>
  <si>
    <t>Chinese Taipei has transferred 100t to VCT from 2015 to 2018</t>
  </si>
  <si>
    <t>LIBERIA</t>
  </si>
  <si>
    <t>[1]</t>
  </si>
  <si>
    <t>[2]</t>
  </si>
  <si>
    <t>[3]</t>
  </si>
  <si>
    <t>[4]</t>
  </si>
  <si>
    <t>[1] = 2017 limit + 2016 Balance</t>
  </si>
  <si>
    <t>[2] = 2018 limit + 2017 Balance</t>
  </si>
  <si>
    <t>[3] = 2019 limit + 2018 Balance</t>
  </si>
  <si>
    <t>JAPAN-S-ALB: 2021 adjusted limit = 1,355 t(Limit)+338.75t(2019 carry over(1355*25%) (para 4a of Rec. 16-07))</t>
  </si>
  <si>
    <t>2020=58.9 + (Saldo Máx. 2019 = 10% Q2019) = 58.9 + 7</t>
  </si>
  <si>
    <t>2020= (25) + (5), 20% Cuota (25t)</t>
  </si>
  <si>
    <t>2021= (25) + (5), 20% Cuota (25t)</t>
  </si>
  <si>
    <t>200+(200*0.25)</t>
  </si>
  <si>
    <t>215+(200*0.25)</t>
  </si>
  <si>
    <t>*Belize is carrying forward 25% of its initial catch limit 2019 (25% 215t = 53.75t) from its balance of 200.47t in 2019 to be used in 2021. Receiving a transfer of ALB-N from Chinese Taipei: 200t</t>
  </si>
  <si>
    <t>*Belize is carrying forward 25% of its initial catch limit (62.5t) from its balance of 154.36t in 2019 to be used in 2021</t>
  </si>
  <si>
    <t>*Belize intends to use 52t of its underages from 2019 in 2021 (Rec. 17-02, par. 3); receiving a transfer of N-SWO from Trinidad &amp; Tobago: 75t (Rec. 17-02, par.2b).</t>
  </si>
  <si>
    <t>*Belize intends to use 25 t of its underages from 2019 in 2021 (Rec. 17-03, para 2); receiving a transfer of SWO-S from the United States: 25 t, Brazil: 50 t and Uruguay: 50 t (Rec. 17-03, para 5).</t>
  </si>
  <si>
    <t>JAPAN-SWO-S: adjusted limit in 2011, 2012,2013,2014,2015,2016,2017,2018, 2019, 2020 and 2021 excluded 50 t transfered to Namibia. [Rec.09-03][Rec.12-01][Rec.13-03][Rec.15-03][Rec.16-04][Rec.17-03]</t>
  </si>
  <si>
    <t>JAPAN-SWO-S: underage of 2010 may be carried over to 2012 up to 800t. [Rec. 09-03]</t>
  </si>
  <si>
    <t>JAPAN-SWO-S: overage of 2011 shall be deducted from 2013. [Rec. 09-03]</t>
  </si>
  <si>
    <t>JAPAN-SWO-S:Japan's underage in 2012 was carried over to the 2014 initial limit [Rec. 12-01]</t>
  </si>
  <si>
    <t>JAPAN-SWO-S: overage of 2013 shall be deducted from 2015. [Rec. 12-01]</t>
  </si>
  <si>
    <t>JAPAN-SWO-S:Japan's underage in 2014 was carried over to the 2016 initial limit [Rec. 13-03][Rec15-03]</t>
  </si>
  <si>
    <t>JAPAN-SWO-S:Japan's underage in 2015 was carried over to the 2017 initial limit [Rec.16-04]</t>
  </si>
  <si>
    <t>JAPAN-SWO-S:Japan's underage in 2016 was carried over to the 2018 initial limit [Rec.17-03]</t>
  </si>
  <si>
    <t>JAPAN-SWO-S: 400 t of its swordfish catch taken from the part of the South Atlantic management area was counted against its N-SWO uncaught quota in 2015.[Rec.13-02]</t>
  </si>
  <si>
    <t>JAPAN-SWO-S:Japan's 2021 adjusted limit  = 901t(Limit)+529.16t(2019 carry over(Para1(3) of Rec17-03))-50t(transfer to Namibia(Para5 of Rec.17-03))</t>
  </si>
  <si>
    <t>215+(0.25*215)</t>
  </si>
  <si>
    <t>2020: 100 t (transfer to JPN according to Rec.16-07 Para 3) and  100t (transfer to JPN according to circular#4498/2020, Rec.16-07 Para 6)</t>
  </si>
  <si>
    <t>2160+(0.25*2160)-200</t>
  </si>
  <si>
    <t>* As the balance is negative, Adjusted limit (A) = Year Limit + Balance from the previous limit</t>
  </si>
  <si>
    <t>242+(215*0.25)</t>
  </si>
  <si>
    <t>Adjusted limited for 2021=242(initial quota)+215*25%(carryover 2019)=295.75</t>
  </si>
  <si>
    <t>Adjusted limit for 2021=initial quota(200)+200*25%(not exceeding the balance of 2019)=250</t>
  </si>
  <si>
    <t>Adjusted Limit=initial limt +available balance(not to exceed 50% of initial quota)</t>
  </si>
  <si>
    <t>Adjusted limit for 2020=initial quota(100)+available balance of 2018 (3.95t)=103.95</t>
  </si>
  <si>
    <t>Adjusted limit for 2021=initial quota(100)+available balance of 2019 (2.40t)=102.40</t>
  </si>
  <si>
    <t>Adjusted limit for 2021=initial quota(313)+313*20%(carryover 2019)= 313+62.6</t>
  </si>
  <si>
    <t>Adjusted limite for 2020=initial quota(4462.08)+5376*15%+600 ton transfer from Japan=5868.48</t>
  </si>
  <si>
    <t>Adjusted limit for 2021=initial limit (37.90) + available balance of 2019 (not exceeding 20% of 37.90)= 41.77t</t>
  </si>
  <si>
    <t>Adjusted limit for 2021=initial quota(10)+10*20%=12</t>
  </si>
  <si>
    <t>Pursuant to Rec.20-04 and Rec.20-03, Chinese Taipei is allocated 4416.9 t as its 2021 initial catch quota.</t>
  </si>
  <si>
    <t>2021 adjusted quota is 5198.4 t (=4416.9+3926*0.25-200)  due to the inclusion of 2019 underage and 2021 initial catch quota and the deduction of the transfer of 200 t to Belize.</t>
  </si>
  <si>
    <t>=4416.90+(3926*0.25)-200</t>
  </si>
  <si>
    <t>2021 adjusted quota is 11524.00 t (=9400+2124) due to the inclusion of 2019 underage and 2021 initial catch quota</t>
  </si>
  <si>
    <t>=9400+2124</t>
  </si>
  <si>
    <t>Pursuant to Rec.17-02, Chinese Taipei may carryover to the maximum of 40% of its 2019 underage in 2021.</t>
  </si>
  <si>
    <t>2021 adjusted quota is 323 t (=270+270*40%-35-20) due to the inclusion of 2019 underage and 2021 initial catch quota and the deduction of respective transfers of 35 t to Canada and 20 t to Morocco.</t>
  </si>
  <si>
    <t>Pursuant to Rec.17-03, Chinese Taipei may carryover to the maximum of 20% of its 2020 underage in 2021.</t>
  </si>
  <si>
    <t>2021 adjusted quota is 550.8 t (=459*(1+20%)) due to the inclusion of 2020 underage.</t>
  </si>
  <si>
    <t>2021 adjusted quota is 40 t (=90-50) due to a transfer of 50 t to Korea.</t>
  </si>
  <si>
    <t>=9226.41+(11679*15%)+223</t>
  </si>
  <si>
    <t xml:space="preserve">2021 adjusted quota is 141.2 t = 126.2 (initial landing limit in 2021) + 150*10% (2019 carry over pursuant to Rec. 18-04) </t>
  </si>
  <si>
    <t>2021 adjusted quota is 55 t = 50 (initial landing limit in 2021) + 50*10% (2019 carry over pursuant to Rec. 18-04.)</t>
  </si>
  <si>
    <t>NAMIBIA</t>
  </si>
  <si>
    <t>Underage up to 20% of the initial catch quota has been carried over biennially Rec.17-03. Quota calculated from 2018 on</t>
  </si>
  <si>
    <t>*Underage up to 30% of the initial catch quota has been carried over biennially Rec.16-04. Quota calculated up to 2017</t>
  </si>
  <si>
    <t>=1168+30%1168+50+50+50</t>
  </si>
  <si>
    <t>From 2016 to 2021, Japan has transferred 50t to Namibia in accordance with Rec. 16-04/17-03.</t>
  </si>
  <si>
    <t>From 2016 to 2020, South Africa has transferred 50t to Namibia in accordance with Rec. 16-04/17-03.</t>
  </si>
  <si>
    <t>=1168+20%1168+50+50+50</t>
  </si>
  <si>
    <t>JAPAN-N-ALB:Japan's 2020 adjusted limit = BET 2020 catch * 4% (Para6 of Rec16-06)</t>
  </si>
  <si>
    <t>JAPAN-E-BFT: current catch for 2020 includes  8.16t of dead discard.</t>
  </si>
  <si>
    <t>JAPAN-E-BFT:Japan's 2021 adjusted limit = 2819.00t(Limit)(Para1 of Rec20-07)+57.64t(2020 carry over (Para2 of Rec 20-07))</t>
  </si>
  <si>
    <t>JAPAN-W-BFT: current catch for 2020 includes 0.23 t of dead discard.</t>
  </si>
  <si>
    <t>JAPAN-W-BFT:Japan's 2021 adjusted limit = 407.48t(Limit)+2.82t(2020 carry over(Para7a of Rec17-06 )</t>
  </si>
  <si>
    <t>JAPAN-BUM:Japan's 2022 adjusted limit = 328.1t(Limit)</t>
  </si>
  <si>
    <t>* Adjusted limit 2021 = initial limit 2021 (4400) + available balance 2019(not to exceed 25% of initial quota) (197.13)</t>
  </si>
  <si>
    <t>=1001+30%1001-50</t>
  </si>
  <si>
    <t>=1001+20%1001-50</t>
  </si>
  <si>
    <t xml:space="preserve">The underharvest of the EU in 2018 is of 1007,82 t, which is less than than the maximum allowed of  25% provided in Rec. 16-06. The EU is entitled to carry over 1007,82 t to 2020. </t>
  </si>
  <si>
    <t xml:space="preserve">The EU overharvested -540,04 t in 2019. According to provisions in para 7 of Rec. 16-06 and para 8 of Rec. 17-04, 540,04 t shall be deducted  from the EU quota in 2021. </t>
  </si>
  <si>
    <t>Limit 2021 +   2019 balance - 434,04 t to be transferred to UK</t>
  </si>
  <si>
    <t>Limit 2022 +   2020 balance - 1,52% of the EU limit 2022 to be transferred to UK</t>
  </si>
  <si>
    <t xml:space="preserve">The underharvest of the EU in 2020 is of 1288,72 t, which is less than than the maximum allowed of 25% provided in Rec. 16-06. The EU is entitled to carry over 1288,72 t to 2022. </t>
  </si>
  <si>
    <t>Additionally, the EU will transfer to United Kingdom 434,04t in 2021 and 1,52% of its initial catch limit in 2022.</t>
  </si>
  <si>
    <t xml:space="preserve"> The underharvest of the EU in 2019 was of 1755,77 t.  In line with Rec 16-07, the EU is entitled to carry over  367,5 t to 2021, corresponding to 25% of its initial quota for 2019.</t>
  </si>
  <si>
    <t>The underharvest of the EU in 2018 is of 1734,69 t..  In line with Rec 16-07, the EU is entitled to carry over  367,5 t to 2020, corresponding to 25% of its initial quota for 2018.</t>
  </si>
  <si>
    <t>The underharvest of the EU in 2020 was of 1777,03 t.  In line with Rec 16-07, the EU is entitled to carry over  367,5 t to 2022, corresponding to 25% of its initial quota for 2020.</t>
  </si>
  <si>
    <t>Limit 2022 + 25%  2020 limit</t>
  </si>
  <si>
    <t>The underharvest of the EU in 2018 is of 2419,28 t, which corresponds to more than 15% of its 2018 initial catch limit. In line with Rec. 17-02 the EU can carry over 1007.7 t to 2020.</t>
  </si>
  <si>
    <t>The underharvest of the EU in 2019 is of 1799,51 t, which corresponds to more than 15% of its 2019 initial catch limit. In line with Rec. 17-02 the EU can carry over 1007.7 t to 2021.</t>
  </si>
  <si>
    <t xml:space="preserve">The underharvest of the EU in 2020 is of 1425,44 t, which corresponds to more than 15% of its 2020 initial catch limit. In line with Rec. 17-02 the EU can carry over 1007.7 t to 2022. </t>
  </si>
  <si>
    <t>Additionally, the EU  will transfer to United Kingdom 0,67 t in 2021, and 0,01% of the EU initial catch limit in 2022.</t>
  </si>
  <si>
    <t xml:space="preserve">The adjusted limit for 2022 takes also into account the transfers to Canada (300 t from EU-Spain), and S. Pierre et Miquelon (40 t) as provided for in Rec 17-02. </t>
  </si>
  <si>
    <t>In 2018 the underharvest for the EU was of 187,20 t, which is less than the maximum allowed 20% provided in Rec 17-03. Therefore, the EU is entitled to carry over 187,20 t to 2020.</t>
  </si>
  <si>
    <t>In 2019 the underharvest for the EU was of 256,03 t, which is less than the maximum allowed 20% provided in Rec 17-03. Therefore, the EU is entitled to carry over  256,03 t to 2021.</t>
  </si>
  <si>
    <t xml:space="preserve">In 2020 the underharvest for the EU was of 261 t, which is less than the maximum allowed 20% provided in Rec 17-03. Therefore, the EU is entitled to carry over  261 t to 2022. </t>
  </si>
  <si>
    <t xml:space="preserve">Limit 2022 +  2020 balance </t>
  </si>
  <si>
    <t xml:space="preserve">In 2018 the underharvest for the EU was of 2121,35 t, which is less than the maximum allowed of 15% provided in Rec 16-01. Therefore, the EU is entitled to carry over 2121,35 t to 2020. </t>
  </si>
  <si>
    <t xml:space="preserve">In 2019 the underharvest for the EU was of 246,97 t, which is less than the maximum allowed of 10% provided in Rec 19-02. Therefore, the EU is entitled to carry over 246,97 t to 2021. </t>
  </si>
  <si>
    <t>2022 Limit - 2t</t>
  </si>
  <si>
    <t>In 2018, the underharvest (341,96 t) being over the maximum allowed of 10% provided in Rec. 18-04, the EU is entitled to carry over 48 t to 2020.</t>
  </si>
  <si>
    <t>In 2019, the underharvest (448,38 t) being over the maximum allowed of 10% provided in Rec. 18-04/19-05, the EU is entitled to carry over 48 t to 2021. The calculation takes into account the transfer of 2 t to Trinidad &amp; Tobago as provided by Rec. 19-05.</t>
  </si>
  <si>
    <t xml:space="preserve">In 2015 the quota was exceeded by 67.19 t. The EU proposes a pay-back of this overharvest over 3 years in 2018, 2019, 2020 , which corresponds to 22.4 t per year.                                                                                 </t>
  </si>
  <si>
    <t>In 2018 the underharvest (27,52t) being over the maximum allowed of 10% provided in Rec. 18-04, the EU is entitled to carry over 5 t to 2020.</t>
  </si>
  <si>
    <t>The agreement between UK and EU is to transfer 48.40 t from its quota in 2022, corresponding to 0.25% of its quota prior to any adjustments made and any specific allocation made to the EU for its small-scale fisheries in following years to the United Kingdom.</t>
  </si>
  <si>
    <t xml:space="preserve">This means that the 0,25% is calculated from the 19360 t which is the initial quota of EU without the additional 100t agreed in 2018 for small scale. </t>
  </si>
  <si>
    <t>(200*0.25)+215</t>
  </si>
  <si>
    <t>(215*0.25)+242</t>
  </si>
  <si>
    <t>4.99+140</t>
  </si>
  <si>
    <t>16.91+140</t>
  </si>
  <si>
    <t>6 (A) = Limit 2021 + Carry over from Balance 2019 MAX. 10%4250 (425) Rec. 19-02 Para 12</t>
  </si>
  <si>
    <t>*Underage up to 50% of the initial catch quota has been carried over biennially Rec.16-03. Quota calculated up to 2017</t>
  </si>
  <si>
    <t>**Underage up to 40% of the initial catch quota has been carried over biennially Rec.17-02. Quota calculated from 2018 on</t>
  </si>
  <si>
    <t>2021**</t>
  </si>
  <si>
    <t>Korea carried forward its unused quota of 2020(4.30t) to 2021. Max 5% 2020 quota. Rec 20-07 Para 2</t>
  </si>
  <si>
    <t>200+50+4.30</t>
  </si>
  <si>
    <t>Since 2018, Korea has transferred 223t of its quota to Chinese Taipei every year.</t>
  </si>
  <si>
    <t>(1486*0.15)+1000 - 223</t>
  </si>
  <si>
    <t>Rec. 19-02 Para 12: underage of an annual catch limit in 2019 shall be added to their 2021 annual catch limit, subject to 10% of initial quota restrictions</t>
  </si>
  <si>
    <t>Rec. 19-02 Para 3c): Starting with 2020 catches, any underharvest by a CPC of its annual landings limit may not be carried forward to a subsequent year</t>
  </si>
  <si>
    <t>2020 =  Initial allocation + transfers (from Senegal 125t, Japan 35t, Chinese Taipe 35t, and the EU 100t) + underage from 2018 (202.2t - max. carry forward)</t>
  </si>
  <si>
    <t>2021 =  Initial allocation + transfers (from Senegal 150t, Japan 35t, Chinese Taipe 35t, and the EU 200t) + underage from 2019 (202.2t - max. carry forward)</t>
  </si>
  <si>
    <t xml:space="preserve">Limite ajustée 2018= limite de capture 2018 + ( limite de capture 2017 x 0,4) - transfert (CAN). Limite ajustée 2018  = 250 + (250*0.4) - (125+25) = 200t      </t>
  </si>
  <si>
    <t>Limite ajustee 2019 = Limite 2019 + max. Solde (Limite 2018*0.4) -transfert Canada (125 t) = 250 + (250 * 0.4) -125= 225 t</t>
  </si>
  <si>
    <t>Limite ajustee 2020 = Limite 2020 + max. Solde (Limite 2019*0.4) -transfert Canada (125 t) = 250 + (250 * 0.4) -125= 225 t</t>
  </si>
  <si>
    <t>Limite ajustee 2021 = Limite 2021 + max. Solde (Limite 2020*0.4) -transfert Canada (125 t+25 t) = 250 + (250 * 0.4) -150= 200 t</t>
  </si>
  <si>
    <t>(2020 limit + 0,15*2018 limit)-40-100</t>
  </si>
  <si>
    <t>(2021 limit + 0,15*2019 limit)-40-200-0.67</t>
  </si>
  <si>
    <t xml:space="preserve">For 2020 the adjusted limit is calculated by taking also into account the transfers to Canada (100 t from EU-Spain) and of 40 t to S. Pierre et Miquelon as provided for in Rec 17-02. </t>
  </si>
  <si>
    <t>For 2021 the adjusted limit is calculated by taking also into account the transfers to Canada (200 t from EU-Spain) and of 40 t to S. Pierre et Miquelon as provided for in Rec. 17-02.</t>
  </si>
  <si>
    <t>2020: The 2019 underage is greater than the maximum amount that can be carried over to 2020 (&lt;= 40% of original catch limit); hence the amount carried over is 50 t (0.4*125).
Additionally, 75 t and 25 t were transferred to Belize and Morocco respectively; hence 100 is subtracted from the sum of the initial catch limit and the allowed carry over, to arrive at the final adjusted limit of 75 t.</t>
  </si>
  <si>
    <t>2021: The 2020 underage is greater than the maximum amount that can be carried over to 2021 (&lt;= 40% of original catch limit); hence the amount carried over is 50 t (0.4*125).
Additionally, 75 t and 25 t were transferred to Belize and Morocco respectively; hence 100 is subtracted from the sum of the initial catch limit and the allowed carry over, to arrive at the final adjusted limit of 75 t.</t>
  </si>
  <si>
    <t>1 (A)=IQ2016+Balance2015</t>
  </si>
  <si>
    <t>2 (A)=IQ2017+Balance2016</t>
  </si>
  <si>
    <t>3 (A)=IQ2018+Balance2017</t>
  </si>
  <si>
    <t>4 (A)=IQ2019+Balance2018</t>
  </si>
  <si>
    <t>5 (A)=IQ2020+Balance2019+2t EU transfer provided by Rec. 19-05.</t>
  </si>
  <si>
    <t>5 (A)=IQ2020+Balance2019</t>
  </si>
  <si>
    <t>6 (A)=IQ2021+Balance2020</t>
  </si>
  <si>
    <t>Pour l'année 2020 les prises realisées par les senneurs sont de 2648,138</t>
  </si>
  <si>
    <t>*</t>
  </si>
  <si>
    <t>Adjusted limit for 2021 = 711.5  + (.25)(632.4) = 869.60****</t>
  </si>
  <si>
    <t>*** reflects that 25% of the 2017 initial quota may be carried forward to 2018</t>
  </si>
  <si>
    <t>****  reflects that 25% of the 2020 initial quota may be carried forward to 2021</t>
  </si>
  <si>
    <t>Adjusted limit for 2021 = 3907.0 + (0.15)(3907) = 4493.05 t</t>
  </si>
  <si>
    <t>Adjusted limit for 2021 = 100.0 - (100 t (Namibia (50 t), Cote d'Ivoire (25 t), Belize (25 t)) + 99.94</t>
  </si>
  <si>
    <t>Adjusted limit for 2021 = 1272.86 + (.1)(1272.86) = 1400.15 t</t>
  </si>
  <si>
    <t>* Adjusted limit = initial limit + available balance (not to exceed 10% of initial quota)</t>
  </si>
  <si>
    <t>*** reflects that 10% of the 2017 initial quota may be carried forward to 2018</t>
  </si>
  <si>
    <t>VENEZUELA</t>
  </si>
  <si>
    <t>*De acuerdo a Rec. 16-06 Par 4, en el año 2017 se utilizaron las transferencias de La Unión Europea, Estados Unidos y Taipei Chino  a Venezuela de  60, 150 y 114 t, respectivamente</t>
  </si>
  <si>
    <t>(1) Límite ajustado 2017 = Límite 2017 + Saldo 2016 + (60+150+114)*</t>
  </si>
  <si>
    <t>(1)</t>
  </si>
  <si>
    <t>(2)</t>
  </si>
  <si>
    <t>(3)</t>
  </si>
  <si>
    <t>(2) Límite ajustado 2018 = Límite 2018 + Saldo 2017</t>
  </si>
  <si>
    <t>(3) Límite ajustado 2019 = Límite 2019 + Saldo 2018</t>
  </si>
  <si>
    <t>(4)</t>
  </si>
  <si>
    <t>(4) Límite ajustado 2020 = Límite 2020 + Saldo 2019</t>
  </si>
  <si>
    <t>(5)</t>
  </si>
  <si>
    <t>(5) Límite ajustado 2021 = Límite 2021 + Saldo 2020</t>
  </si>
  <si>
    <t>85+(85*0.5)</t>
  </si>
  <si>
    <t>Los remanentes de captura de esta especie se ajustaron de acuerdo a los años sugeridos por la recomendación  16-03</t>
  </si>
  <si>
    <t>Al límite de captura ajustada para los años 2017 y 2018, se le dedujo las 12,75 t transferidas a Francia (San Pedro y Miquelón) , Rec.16-03 y Rec. 17-02.</t>
  </si>
  <si>
    <t>85+(85*0.5)-12.75</t>
  </si>
  <si>
    <t>85+(85*0.4)-12.75</t>
  </si>
  <si>
    <t>85+(85*0.4)</t>
  </si>
  <si>
    <t>*Underage up to 10% of the initial catch quota has been carried over biennially Rec.15-05 to 18-04 (2016-2019)</t>
  </si>
  <si>
    <t>100+ (0.1*100)</t>
  </si>
  <si>
    <t>100+ (0.1*100) - 30 **</t>
  </si>
  <si>
    <t>**Transferencia de 30 t a la Unión Europea en 2017, Rec.  16-10.</t>
  </si>
  <si>
    <t>84.10+(100*0.1)</t>
  </si>
  <si>
    <t>(1) Límite ajustado 2018 = Límite 2018 + Saldo 2017 +  (Saldo Máx. 2016 = 10% Límite 2016)</t>
  </si>
  <si>
    <t>Catch limit defined according to Rec. 19-02 Para 4</t>
  </si>
  <si>
    <t>[4] = 2020 limit + 2019 Balance</t>
  </si>
  <si>
    <t>[5]</t>
  </si>
  <si>
    <t>[5] = 2021 limit + 2020 Balance</t>
  </si>
  <si>
    <t>*transfer of 200 t from Chinese Taipei to Belize in 2021 and 2022.</t>
  </si>
  <si>
    <t>Japan´s 2021 adjusted limit = 842 t(Limit)+1056.21t(2020 carry over(para 4 of Rec. 17-02))-150 t(transfer to Morocco(para 1-a) of Rec. 20-02)-35 t(transfer to Canada(para 2 of Rec. 17-02))-25 t(transfer to Mauritania(para 2 of Rec. 17-02)).</t>
  </si>
  <si>
    <t>JAPAN-BIGEYE: current catch for 2020 includes  15.20t of dead discard.</t>
  </si>
  <si>
    <t>BSHN</t>
  </si>
  <si>
    <t>2022 Limit</t>
  </si>
  <si>
    <t>*Belize is carrying forward 25% of its initial catch limit (53.75 t) from its balance of 142.7t in 2020 to be used in 2022.</t>
  </si>
  <si>
    <t>*Belize is carrying forward 25% of its initial catch limit (62.5 t) from its balance of 162.13t in 2020 to be used in 2022</t>
  </si>
  <si>
    <t>*Belize is carrying forward 40% of its initial catch limit (52 t) from its balance of 146.27 t in 2020 to be used in 2022; receiving a transfer of N-SWO from Trinidad &amp; Tobago: 75t (Rec. 17-02, par.2b).</t>
  </si>
  <si>
    <t>*Belize is carrying forward 20% of its initial catch limit (25t)  in 2020 to be used in 2022 + transfer of 24.94t from the United States of America + transfer of 50t from Brazil + transfer of 50t from Uruguay to Belize</t>
  </si>
  <si>
    <t>Adjusted limit for 2022 = 100.0 - (99.94 t (Namibia (50 t), Cote d'Ivoire (25 t), Belize (24.94 t)) + 99.94</t>
  </si>
  <si>
    <t>Adjusted limit for 2022=initial quota(200)+200*25%(not exceeding the balance of 2020)=250</t>
  </si>
  <si>
    <t>In 2015 2.29t of dead discards were not included in the catch amount in the compliance table although they were reported in the Task I data</t>
  </si>
  <si>
    <t>In 2015,5.91t of dead discards and/or releases were not included in the catch amount in the compliance table although they were reported in the Task I data</t>
  </si>
  <si>
    <t>In 2015, 1.47t of dead discards were not included in the catch amount in the compliance table although they were reported in the Task I data</t>
  </si>
  <si>
    <t>Limit 2022+limit 2020*0,10</t>
  </si>
  <si>
    <t>In 2020 the underharvest for the EU was of 4557,17 t, which is more than the maximum allowed 10% provided in Rec 21-01. Therefore, the EU is entitled to carry over  1342,13 t to 2022</t>
  </si>
  <si>
    <t>UK</t>
  </si>
  <si>
    <t>2022 adjusted quota is 5198.4 t (=4416.9+3926*0.25-200)  due to the inclusion of 2020 underage and 2022 initial catch quota and the deduction of the transfer of 200 t to Belize.</t>
  </si>
  <si>
    <t>50 + Balance 2019</t>
  </si>
  <si>
    <t>125+(125*0.2)</t>
  </si>
  <si>
    <t>7:  limite 2021+ 100% allocation de quota initiale (MAX Solde 2020=1.53) - CAN transfer (4.78t) = 5.31 + 1.53 - 4.78= 2.06</t>
  </si>
  <si>
    <t>6:  limite 2020+ 100% allocation de quota initiale (MAX Solde 2019=1) - CAN transfer (4.78t) = 5.31 + 1 - 4.78= 1.53</t>
  </si>
  <si>
    <t>Adjusted limite for 2021=initial quota(4390.69)+5376*10%+600 ton transfer from Japan=5528.29</t>
  </si>
  <si>
    <t>JAPAN-BIGEYE:Japan's 2021 adjusted limit = 13756.16+1769.6(2019 carry over(17696*10%)(Para12 of Rec19-02)-600(transfer to China (Footnote2 of Para.8  of Rec.19-02))-300(transfer to Europian Union (Footnote 2 of Para.8 of Rec.19-02))</t>
  </si>
  <si>
    <t>PANAMÁ</t>
  </si>
  <si>
    <t>(1)  Cuota ajustada de 2021= Cuota de 2021 + balance negativo de 2020 (25-6.34)= 18.66t</t>
  </si>
  <si>
    <t>2021(**) (*)</t>
  </si>
  <si>
    <t>Pour l'année 2021 le quota ajusté est de 2755,75  ( le quota initial 2655T+transfert quota syrie (79,2)+quota non consommé  des prises accessoires 2020 (21,55T)</t>
  </si>
  <si>
    <t>5:  limite 2019+ 100% allocation de quota initiale - CAN transfer (9.62) = 2*5.31-9.62=1</t>
  </si>
  <si>
    <t>8:  limite 2022+ 100% allocation de quota initiale (MAX Solde 2021=2.06) - CAN transfer (4.78t) = 6.18+2.06-4.78= 3.46</t>
  </si>
  <si>
    <t>1 (A) = Limit 2016 -337 (payback Rec.15-01 9b) + 70 (Transfer Japan Rec.15-01 7b) + Carry over from Balance 2014 MAX. 15%4722=708.3 (583)</t>
  </si>
  <si>
    <t>2 (A) = Limit 2017 -337 (payback Rec.16-01 9b) + 70 (Transfer Japan Rec.16-01 7b) - 246.60 (Balance 2016) + Carry over from Balance 2015 MAX. 15%4722= 708.3 (696.92)</t>
  </si>
  <si>
    <t>3 (A) = Limit 2018 -337 (payback Rec.16-01 9b) + 70 (Transfer Japan Rec.16-01 7b)</t>
  </si>
  <si>
    <t>4 (A) = Limit 2019 + 70 (Transfer Japan Rec.16-01 7b)  + Carry over from Balance 2017 MAX. 15%4250= 637.50 (347.32). No more payback since 18-01 Para 2</t>
  </si>
  <si>
    <t>5 (A) = Limit 2020 + Carry over from Balance 2018 MAX. 15%4250=637.50(412)</t>
  </si>
  <si>
    <t>CURACAO</t>
  </si>
  <si>
    <t>[6]</t>
  </si>
  <si>
    <t>[6] = 2022 limit + 2021 Balance</t>
  </si>
  <si>
    <t>2022 = Initial allocation + transfers (from Senegal 150t, Japan 35t, Chinese Taipe 35t, and the EU 250t) + underage from 2020 (202.2t - max. carry forward)</t>
  </si>
  <si>
    <t>Initial quota/catch limit includes 15 t allocation for by-catch, as per Rec. 17-06 para 6a &amp; Rec. 20-06 Para 1 (4) &amp;  Rec. 21-07 Para 1 (D)</t>
  </si>
  <si>
    <t>Adjusted limited for 2022=242(initial quota)+215*25%(carryover 2020)=295.75</t>
  </si>
  <si>
    <t>Adjusted limit for 2022=initial quota(100)+available balance of 2020 (7.78t)=107.78</t>
  </si>
  <si>
    <t>Adjusted limit for 2022=initial quota(313)+313*20%(carryover 2020)= 313+62.6</t>
  </si>
  <si>
    <t>Adjusted limite for 2022=initial quota(4426.38)+4462.08*10%+600 ton transfer from Japan=5472.59</t>
  </si>
  <si>
    <t>Adjusted Limit=initial limit +available balance(not to exceed 20% of initial quota), valid up to 2020 (Rec. 19-05 Para 3b))</t>
  </si>
  <si>
    <t>Adjusted Limit=initial limit +available balance(not to exceed 10% of initial quota), valid up to 2020 (Rec. 19-05 Para 3b))</t>
  </si>
  <si>
    <t>COSTA RICA</t>
  </si>
  <si>
    <t>* Límite ajustado = límite inicial + balance disponible (no exceder 25% de cuota inicial)</t>
  </si>
  <si>
    <t>Límite ajustado para 2016 = 200 + 50 = 250 t</t>
  </si>
  <si>
    <t>Límite ajustado para 2017= 200 + 50 = 250 t</t>
  </si>
  <si>
    <t>Límite ajustado para 2018 = 200 + 50 = 250 t</t>
  </si>
  <si>
    <t>Límite ajustado para 2019 = 215 + 50 = 265 t</t>
  </si>
  <si>
    <t>Límite ajustado para 2020 = 215 + 53,75 = 268,75 t</t>
  </si>
  <si>
    <t>Límite ajustado para 2021 = 242 + 53,75 = 295,75 t</t>
  </si>
  <si>
    <t>Límite ajustado para 2022 = 242 + 60,5 = 302,50 t</t>
  </si>
  <si>
    <t>SWON</t>
  </si>
  <si>
    <t>ALBN</t>
  </si>
  <si>
    <t>[7]</t>
  </si>
  <si>
    <t>[1]= Límite de 2016 + balance de 2015</t>
  </si>
  <si>
    <t>[2]= Límite de 2017 + balance de 2016</t>
  </si>
  <si>
    <t>[3]= Límite de 2018 + balance de 2017</t>
  </si>
  <si>
    <t>[4]= Límite de 2019 + balance de 2018</t>
  </si>
  <si>
    <t>[5]= Límite de 2020 + balance de 2019</t>
  </si>
  <si>
    <t>[6]= Límite de 2021 + balance de 2020</t>
  </si>
  <si>
    <t>[7]= Límite de 2022 + balance de 2021</t>
  </si>
  <si>
    <t>[1]= Límite de 2017 + balance de 2016</t>
  </si>
  <si>
    <t>Limit 2023 +   2021 balance - 1,52% of the EU limit 2023 to be transferred to UK</t>
  </si>
  <si>
    <t xml:space="preserve">The underharvest of the EU in 2021 is of 2025,93 t, which is less than than the maximum allowed of 25% provided in Rec. 16-06. The EU is entitled to carry over 2025,93 t to 2023. Additionally, the EU will transfer to United Kingdom 1,52% of its initial catch limit in 2022.
</t>
  </si>
  <si>
    <t xml:space="preserve">The underharvest of the EU in 2021 is of 1862,1 t, which corresponds to more than 15% of its 2021 initial catch limit. In line with Rec. 17-02 the EU can carry over 1007.7 t to 2023 if current management arrangments are maintained. The adjusted limit for 2021 takes also into account the transfers to Canada (200 t in 2021 &amp;nd 250 t in 2022; from EU-Spain), and S. Pierre et Miquelon (40 t) as provided for in Rec 17-02. Additionally, the EU will transfer to United Kingdom 0,01% of the EU initial catch limit in 2022.
</t>
  </si>
  <si>
    <t>2022 limit + 0,15*2020 limit-40-250-0,01% 2022 limit</t>
  </si>
  <si>
    <t>ALBS</t>
  </si>
  <si>
    <t>JAPAN-S-ALB: 2022 adjusted limit = 1,355 t(Limit)+338.75t(2020 carry over(1355*25%) (para 4 of Rec. 16-07))</t>
  </si>
  <si>
    <t>JAPAN-S-SWO:Japan's 2022 adjusted limit  = 901t(Limit)+600.00t(2020 carry over(Para1(3) of Rec21-03))-50t(transfer to Namibia(Para5 of Rec.17-03))</t>
  </si>
  <si>
    <t>SWOS</t>
  </si>
  <si>
    <t>BFTE</t>
  </si>
  <si>
    <t>JAPAN-E-BFT: current catch for 2021 includes  0.68t of dead discard.</t>
  </si>
  <si>
    <t>JAPAN-E-BFT:Japan's 2022 adjusted limit = 2819.00t(Limit)(Para5 of Rec21-08)+96.65t(2021 carry over (Para7 of Rec 21-08))</t>
  </si>
  <si>
    <t>BFTW</t>
  </si>
  <si>
    <t>JAPAN-W-BFT: current catch for 2021 includes 0.00 t of dead discard.</t>
  </si>
  <si>
    <t>JAPAN-BIGEYE: current catch for 2021 includes  5.3t of dead discard.</t>
  </si>
  <si>
    <t>JAPAN-BUM:Japan's 2022 adjusted limit = 328.1t(Limit)(Para3 of Rec19-05)</t>
  </si>
  <si>
    <t>JAPAN-WHM・SPF:Japan's 2022 adjusted limit =35t(Limit)(Para3 of Rec19-05)</t>
  </si>
  <si>
    <t>JAPAN-N-BSH:Japan's 2020 adjusted limit = 4,010t(Para3 of Rec19-07)</t>
  </si>
  <si>
    <t>JAPAN-N-BSH:Japan's 2021 adjusted limit = 4,010t(Para3 of Rec19-07)</t>
  </si>
  <si>
    <t>242+(0.25*215)</t>
  </si>
  <si>
    <t>242+(0.25*242)</t>
  </si>
  <si>
    <t>The applied methodology is described in Recs. 19-02, 16-01, 2021-01.</t>
  </si>
  <si>
    <t>2022 adjusted quota is 323 t (=270+270*40%-35-20) due to the inclusion of 2020 underage and 2022 initial catch quota and the deduction of respective transfers of 35 t to Canada and 20 t to Morocco.</t>
  </si>
  <si>
    <t>2022 adjusted quota is 477.8 t (=459 + 18.8) due to the inclusion of 2021 underage and 2022 initial catch quota.</t>
  </si>
  <si>
    <t>2022 adjusted quota is 40 t (=90-50) due to the transfer of 50t to Korea.</t>
  </si>
  <si>
    <t>2022 adjusted quota is 126.2 t in accordance with para 3 c) of Rec. 19-05.</t>
  </si>
  <si>
    <t>2022 adjusted quota is 50 t in accordance with para 3 c) of Rec. 19-05.</t>
  </si>
  <si>
    <t>2022 adjusted limit: Egypt intends to transfer 259.62 ton from fishing vessel "Golovik" AT000EGY00020 to 2 authorized Moroccan Tuna traps</t>
  </si>
  <si>
    <t>2022: The 2021 underage is greater than the maximum amount that can be carried over to 2022 (&lt;= 40% of original catch limit); hence the amount carried over is 50 t (0.4*125).
Additionally, 75 t and 25 t were transferred to Belize and Morocco respectively; hence 100 is subtracted from the sum of the initial catch limit and the allowed carry over, to arrive at the final adjusted limit of 75 t.</t>
  </si>
  <si>
    <t>2018: The 2017 underage is greater than the maximum amount that can be carried over to 2018 (&lt;= 40% of original catch limit); hence the amount carried over is 50 t (0.4*125). Additionally, 75 t were transferred to Belize; hence 75 is subtracted from the sum of the initial catch limit and the allowed carry over, to arrive at the final adjusted limit of 100 t.</t>
  </si>
  <si>
    <t>7(A)=IQ2022+2t EU transfer provided by Rec. 19-05.</t>
  </si>
  <si>
    <t>6 (A)=IQ2021+Balance2020+2t EU transfer provided by Rec. 19-05.</t>
  </si>
  <si>
    <t>7 (A)=IQ2022+Balance2021</t>
  </si>
  <si>
    <t>Adjusted limit for 2022 = 711.5  + (.25)(711.5) = 889.38</t>
  </si>
  <si>
    <t>Adjusted limit for 2022 = 3907.0 + (0.15)(3907) = 4493.05 t</t>
  </si>
  <si>
    <t>=1168+20%1168+50+50</t>
  </si>
  <si>
    <t>Adjusted limit for 2022 = 1341.14 + (.1)(1272.86) = 1468.43 t****</t>
  </si>
  <si>
    <t>****reflects that 10% of the 2021 initial quota may be carried forward to 2022</t>
  </si>
  <si>
    <t>Belize is carrying forward 25% of its initial catch limit (60.5t) from its balance of 268.10t in 2021 to be used in 2023</t>
  </si>
  <si>
    <t>Limit + Underages</t>
  </si>
  <si>
    <t>Republic of Korea</t>
  </si>
  <si>
    <t>Flag</t>
  </si>
  <si>
    <t>2022**</t>
  </si>
  <si>
    <t>Korea carried forward its unused quota of 2021(10t) to 2022. Max 5% 2021 quota. Rec 21-08 Para 7</t>
  </si>
  <si>
    <t>200+50+10</t>
  </si>
  <si>
    <t>(1486*0.10)+984- 223</t>
  </si>
  <si>
    <t>(1000*0.10)+992 - 223</t>
  </si>
  <si>
    <t>Rec.21-01 Para 12: underage of an annual catch limit in 2020 shall be added to their 2022 annual catch limit, subject to 10% of initial quota restrictions</t>
  </si>
  <si>
    <t>=IQ2023+MAX. 0.25*IQ2021</t>
  </si>
  <si>
    <t>=IQ2022+MAX. 0.25*IQ2020</t>
  </si>
  <si>
    <t>=IQ2021+MAX. 0.20*IQ2019</t>
  </si>
  <si>
    <t>=IQ2022+MAX. 0.20*IQ2020</t>
  </si>
  <si>
    <t>IQ2021+53.75</t>
  </si>
  <si>
    <t>IQ2023+MAX 25% IQ2021</t>
  </si>
  <si>
    <t>IQ2022+53.75</t>
  </si>
  <si>
    <t>IQ2023+MAX 40% IQ2021</t>
  </si>
  <si>
    <t xml:space="preserve">The UK's quota for S.ATL SWO is 25t  for 2021. The UK's catches in 2021 were 0t, consequently the UK has a remaining balance of 25t. The UK is permitted to transfer a maximum of 20% of unused quota to 2023. When the 20% is applied to the IQ2021 and the quota for 2023 is added, the adjusted quota for 2023 is 30t. </t>
  </si>
  <si>
    <t xml:space="preserve">The EU transfer's 48.4t of Eastern Bluefin Tuna to the UK. The UK's catches in 2021 were 2.92t, consequently the UK has a remaining balance of 45.48t. The UK is permitted to transfer a maximum of 5% of unused quota to 2022. When the 5% is applied to the Initial quota for 2021 and the quota for 2022 is added, the adjusted quota for 2022 is 50.82t. </t>
  </si>
  <si>
    <t xml:space="preserve">The UK's quota for W.BFT for 2021 is 5.31. The UK carried over 5.31t of w.BFT quota from 2020. The UK's catches in 2021 were 0.71t which was taken off the carry over quota. As the 2021 catches were less then the carry over the UK had a remaining quota of 5.31t. The UK is permitted to transfer a maximum of 100% of 2021 Initial Quota to 2022. When the UK's carry over amount is combined with the UK's TAC for 2022 of 6.18t the figure for he adjusted quota for 2022 is 11.49t. </t>
  </si>
  <si>
    <t xml:space="preserve">2021: The EU transfers to the UK 434.04t of N.ALB quota for 2021 (circ. 4088/21). The UK OT's had previously carried over 53.75t. When combined the adjust quota for 2021 was 487.79 . </t>
  </si>
  <si>
    <t>(6)</t>
  </si>
  <si>
    <t>(6) Límite ajustado 2022 = Límite 2022 + Saldo 2021</t>
  </si>
  <si>
    <t xml:space="preserve">(1) Límite ajustado 2017 = Límite 2017 + Saldo 2016 </t>
  </si>
  <si>
    <t>=215+(MAX. 25% from 2020 quota= 13.27t)</t>
  </si>
  <si>
    <t>=215+(MAX. 25% from 2019 quota= 38.35t)</t>
  </si>
  <si>
    <t>le calcul du quota ajusté 2022 prend en compte le solde  MAX de 2021 (Limite 2021 * 0.2 = 417*0.2=83.4) auquel est ajouté la limite 2022 417 t) ce qui donne (83.4+417=500.4) t</t>
  </si>
  <si>
    <t>le calcul du quota ajusté 2021 prend en compte le solde  MAX de 2020 (Limite 2020 * 0.2 = 417*0.2=83.4) auquel est ajouté la limite 2021 417 t) ce qui donne (83.4+417=500.4) t</t>
  </si>
  <si>
    <t>2022: Initial Quota 2022 + CO from 2020 (25% 215t). When combined the adjust quota for 2022 was 496</t>
  </si>
  <si>
    <t>2023: The UK's catches in 2021 were 169.39. Consequently the UK has a remaining balance of 326.86t. The UK is allowed to carry over unused quota to 2023 at the max carry over rate of 25% of its IQ2021 (108.51). When the 25% is applied to the IQ2021 and the quota for 2023 is added, the adjusted quota for 2023 is 550.76</t>
  </si>
  <si>
    <t>2021: The EU transfers to the UK 0.67 quota for 2021 (circ. 4088/21). The UK OT's had previously carried over 15t (MAX. 40% IQ 2019). When combined the adjust quota for 2021 was 35+14+0.67</t>
  </si>
  <si>
    <t>IQ2021+MAX 40% IQ2019+ EU Transfer</t>
  </si>
  <si>
    <t>IQ2022+MAX 40% IQ2020+ EU Transfer</t>
  </si>
  <si>
    <t>2023:  The UK OT's had previously carried over 15t (MAX. 40% IQ 2021). When combined the adjust quota for 2023 is 35+14</t>
  </si>
  <si>
    <t>2022: The EU transfers to the UK 0.67 quota for 2022 (Rec. 21-02 Para 1). The UK OT's had previously carried over 15t (MAX. 40% IQ 2020). When combined the adjust quota for 2021 was 35+14+0.67</t>
  </si>
  <si>
    <t>EGYPT</t>
  </si>
  <si>
    <t>JAPAN-N-ALB:Japan's 2021 adjusted limit = BET 2021 catch * 4.5% (Para8 of Rec21-04)</t>
  </si>
  <si>
    <t>Japan´s 2022 adjusted limit = 842 t(Limit)+1400.81 t(2021 carry over(para 1C of Rec.21-02))-150 t(transfer to Morocco(para 1A) of Rec. 21-02)-35 t(transfer to Canada(para 1A of Rec. 21-02))-25 t(transfer to Mauritania(para 1A of Rec. 21-02)).</t>
  </si>
  <si>
    <t>JAPAN-BIGEYE:Japan's 2022 adjusted limit = 13868.00(Para 4 of Rec.21-01)+1397.9(2020 carry over(13979.84*10%)(Para12 of Rec21-01)-600(transfer to China (Footnote2 of Para.8  of Rec.21-01))-300(transfer to Europian Union (Footnote 2 of Para.8 of Rec.21-01))</t>
  </si>
  <si>
    <t>Limit 2023 + 25%  2021 limit</t>
  </si>
  <si>
    <t>The underharvest of the EU in 2021 was of 1766.56 t.  In line with Rec 16-07, the EU is entitled to carry over  367,5 t to 2023, corresponding to 25% of its initial quota for 2021.</t>
  </si>
  <si>
    <t>=9400+1699+85</t>
  </si>
  <si>
    <t>2022 adjusted quota is 11244.00 t (=9400+1699) due to the inclusion of 2020 underage and 2021 initial catch quota + 85t (Rec. 16-07 Para 4b) as complement from total underage from the TAC, where 85t  is what is left from the total underage from the TAC from 2020, minus the underages to be used by those CPCs wishing to do so</t>
  </si>
  <si>
    <t>IQ2022 + 2020 balance</t>
  </si>
  <si>
    <t>IQ2023 + 2021 balance</t>
  </si>
  <si>
    <t xml:space="preserve">De las 25.00 t de atún blanco del Atlántico Sur asignadas a Panamá para 2020, hubo una captura de 31.34 t, dando como resultado un excedente de 6.34t. El excedente fue saldado en 2021, ya que de las 25.00t asignadas para 2021, solo hubo una captura de 17.22t quedando un remanente preliminar para 2021 de 7.78t de las cuales se dedujo el excedente de 6.34t de 2020, quedando 2021 con un remanente de 1.44t. </t>
  </si>
  <si>
    <t>2011=95t+42t (No transfer to Canada for 2011)</t>
  </si>
  <si>
    <t>2012=95t+36.5t -86.50t ( transfer to CAN from 2012 quota) por Rec. 10-03</t>
  </si>
  <si>
    <t>2013=95t+52.90t (No transfer to Canada for 2013) por Rec.12-02</t>
  </si>
  <si>
    <t>2014=95t+95t-86.5t (transfer to Canada for 2014) por Rec. 13-09</t>
  </si>
  <si>
    <t>2015=108.98+52.50-86.50 (transfer to Canada for 2015) por Rec. 14-05</t>
  </si>
  <si>
    <t>2016=108.98+21.98-51.98 (transfer to Canada) por Rec. 14-05</t>
  </si>
  <si>
    <t>2017=108.98+23.98-55.98(transfer to Canada) por Rec. 16-08</t>
  </si>
  <si>
    <t>2018=128.44+42.98-73.98 (transfer to Canada) por Rec. 17-06</t>
  </si>
  <si>
    <t>2019=128.44+17.44-60.44 (transfer to Canada) por Rec. 17-06</t>
  </si>
  <si>
    <t>2020= 128.44+46.44-79.44 (transfer to Canada) por Rec. 17-06</t>
  </si>
  <si>
    <t>2021= 128.44+67.44-transfer to Canada (100.44t) por Rec. 20-06</t>
  </si>
  <si>
    <t>2018 = Initial allocation +Mexican transfer (73.98) + underharvest from 2017 (MAX 10% IQ 2017)</t>
  </si>
  <si>
    <t>2019 = Initial allocation +Mexican transfer (60.44) + SPM transfer (9.62)+ underharvest from 2018 (53.06 = 10% of 2018 initial)</t>
  </si>
  <si>
    <t>2020 = Initial allocation +Mexican transfer (79.44) + SPM transfer (4.78)+ underharvest from 2019 (20.84)</t>
  </si>
  <si>
    <t>2021 = Initial allocation +Mexican transfer (100.44) + SPM transfer (4.78) + underharvest from 2020 (44.05)</t>
  </si>
  <si>
    <r>
      <rPr>
        <vertAlign val="superscript"/>
        <sz val="10"/>
        <rFont val="Cambria"/>
        <family val="1"/>
      </rPr>
      <t>1</t>
    </r>
    <r>
      <rPr>
        <sz val="10"/>
        <rFont val="Cambria"/>
        <family val="1"/>
      </rPr>
      <t xml:space="preserve"> Transfer from Japan</t>
    </r>
  </si>
  <si>
    <t>13.97+170</t>
  </si>
  <si>
    <t xml:space="preserve">The UK's quota for S.ATL ALB is 100t  for 2021. The UK's catches in 2021 were 0, consequently the UK has a remaining balance of 100t. The UK is allowed to carry over unused quota to 2023 at the max carry over rate of 25% of its year´s Initial Quota. When the 25% is applied to the IQ and the quota for 2023 is added the adjusted quota for 2023 is 145t. </t>
  </si>
  <si>
    <t>7 (A) = Limit 2022 + Carry over from Balance 2020 MAX. 10%3968.23 (396.82) Rec. 21-01 Para 12</t>
  </si>
  <si>
    <t>2020 catch limit for Ghana has been corrected from 3716.00 to 3968.23 as the former one was reported by Ghana applying a payback condoned in Rec. 18-01 para 2</t>
  </si>
  <si>
    <t>Quota ajustée 2020: 265 tonnes  = quota initial alloué au Maroc 2020 (215 t) + 50 tonnes ( reliquat= 25% du quota initial (200)). Recommandation ICCAT 17-04</t>
  </si>
  <si>
    <t>Quota ajustée 2021: 295,75 tonnes  = quota initial alloué au Maroc 2021 (242 t) + 53,75 tonnes ( reliquat= 25% du quota initial 2019 (215 tonnes) ). Rec ICCAT 17-04, 20-04</t>
  </si>
  <si>
    <t>Quota ajustée 2022: 295,75 tonnes  = quota initial alloué au Maroc 2022 (242 t) + 53,75 tonnes ( reliquat= 25% du quota initial 2020 (215 tonnes) ). Rec ICCAT 17-04, 20-04</t>
  </si>
  <si>
    <t>Quota ajustée 2023: 302,50 tonnes  = quota initial alloué au Maroc 2023 (242 t) + 60,50 tonnes ( reliquat= 25% du quota initial 2021 (242 tonnes) ). Rec ICCAT 21-04</t>
  </si>
  <si>
    <t>Quota ajustée 2018 : 900 tonnes = 950 (quota initial 850+100 tranféré du japon) - 50 de surconsommation de 2016</t>
  </si>
  <si>
    <t>Quota ajustée 2019: 1000 tonnes = quota initial alloué au Maroc 2019 (850t)+ 100t (transférées par le Japon au Maroc) + 50 de sousconsommation de 2017</t>
  </si>
  <si>
    <t>Quota ajustée 2020: 995 tonnes = quota initial alloué au Maroc 2020 (850t) + 150t (transférées par le Japon au Maroc)+20t (transférée par le Taipei Chinois)+ 25t (transférée par le Trinité-et-Tobago) - 50 de surconsommation de 2018</t>
  </si>
  <si>
    <t>Quota ajustée 2021: 1095 tonnes = quota initial alloué au Maroc 2020 (850t) + 150t (transférées par le Japon au Maroc)+20t (transférée par le Taipei Chinois)+ 25t (transférée par le Trinité-et-Tobago) + 50 de sousconsommation de 2019</t>
  </si>
  <si>
    <t>Quota ajusté 2022: 1104,18 tonnes = quota initial alloué au Maroc (850t)+ 150t (transférées par le Japon au Maroc)+20t (transférée par le Taipei Chinois)+ 25t (transférée par le Trinité-et-Tobago) + 59,18 (15% du quota initail) de sousconsommation de 2020</t>
  </si>
  <si>
    <t>Quota ajusté 2023:  1172,50 tonnes = quota initial alloué au Maroc (850t) + 127,50 (15% du quota initail) de sousconsommation de 2021+ 150t (transférées par le Japon au Maroc)+20t (transférée par le Taipei Chinois)+ 25t (transférée par le Trinité-et-Tobago) . Rec ICCAT 21-02</t>
  </si>
  <si>
    <t>Quota ajustée 2023: 3703 tonnes = quota initial alloué au Maroc 2023 (3700 t) + 3 tonnes (reliquat de l'année 2022) Rec. 22-08</t>
  </si>
  <si>
    <t>Quota ajustée 2020: 3488.62 = quota initial alloué au Maroc 2020 (3284 t) + 204.62 t (transféré par l'Egypte au Maroc). Recommandation ICCAT 19-04</t>
  </si>
  <si>
    <t>Quota ajustée 2021: 3318,91 tonnes = quota initial alloué au Maroc 2020 (3284 t) + 34,91 tonnes (reliquat de l'année 2020). Rec. 20-07</t>
  </si>
  <si>
    <t>Quota ajustée 2022: 3568,27 tonnes = quota initial alloué au Maroc 2020 (3284 t) + 24,65 tonnes (reliquat de l'année 2021) transfert de l'Egypte (259,62 tonnes) Rec. 21-08</t>
  </si>
  <si>
    <t>Quota ajustée 2024: -02 tonnes = quota initial alloué au Maroc 2021 (10t) -12 tonnes (surconsommation). Recommandation ICCAT 19-05/para 3 amendant la Rec 15-05</t>
  </si>
  <si>
    <t>Quota ajustée 2020: -42 tonnes = quota initial alloué au Maroc 2020 (10t) - 52 t (surconsommation). Recommandation ICCAT 19-05/para 3 amendant la Rec 15-05</t>
  </si>
  <si>
    <t>Quota ajustée 2021: -32 tonnes = quota initial alloué au Maroc 2021 (10t) - 42 tonnes (surconsommation). Recommandation ICCAT 19-05/para 3 amendant la Rec 15-05</t>
  </si>
  <si>
    <t>Quota ajustée 2022: -22 tonnes = quota initial alloué au Maroc 2022 (10t) - 32 tonnes (surconsommation). Recommandation ICCAT 19-05/para 3 amendant la Rec 15-05</t>
  </si>
  <si>
    <t>Quota ajustée 2023: -12 tonnes = quota initial alloué au Maroc 2023 (10t) -22 tonnes (surconsommation). Recommandation ICCAT 19-05/para 3 amendant la Rec 15-05</t>
  </si>
  <si>
    <t>ALBANIA</t>
  </si>
  <si>
    <t>Q2022+5%Q2021=170+0.05*170</t>
  </si>
  <si>
    <t>2022: Current catches for the year 2021 were 148.4 ton (underharvest) and we used the total amount of 5% of the quota of previues year (8.5 t). 1t dedicated to bycacth aacording to Albania´s 2022 BFTE Fishing plan</t>
  </si>
  <si>
    <t>IQ2019+25%Q2017</t>
  </si>
  <si>
    <t>IQ2020+25%Q2018</t>
  </si>
  <si>
    <t>IQ2021+25%Q2019</t>
  </si>
  <si>
    <t>IQ2022+25%Q2020</t>
  </si>
  <si>
    <t>IQ2023+25%Q2021</t>
  </si>
  <si>
    <t>Belize is carrying forward 25% of its initial catch limit (60.5t) from its balance of 283.42t in 2022 to be used in 2024</t>
  </si>
  <si>
    <t>*Belize is carrying forward 25% of its initial balance (62.5 t) from its balance of 281.66 in 2021 to be used in 2023</t>
  </si>
  <si>
    <t>*Belize is carrying forward 40% of its initial limit (52 t) from its initial balance of 163 t in 2021 to be used in 2023. Transfer of 75 t from Trinidad and Tobago to Belize</t>
  </si>
  <si>
    <t>*Belize is carrying forward 40% of its initial limit (52 t) from its initial balance of 187.26 t in 2022 to be used in 2024. Transfer of 75 t from Trinidad and Tobago to Belize</t>
  </si>
  <si>
    <t>2023 = Initial allocation + transfers (from Senegal 125t, Japan 35t, Chinese Taipe 35t, and the EU 327t) + underage from 2021 (202.2t - max. carry forward)</t>
  </si>
  <si>
    <t>2022 = Initial allocation + Mexican transfer (60) + SPM transfer (4.78) + underharvest from 2021 (51.33)</t>
  </si>
  <si>
    <t>Adjusted limited for 2023=242(initial quota)+4.43(carryover 2021)=246.43</t>
  </si>
  <si>
    <t>Adjusted limit for 2023=initial quota(240)+200*25%(not exceeding the balance of 2021)=290</t>
  </si>
  <si>
    <t>Adjusted limit for 2023=initial quota(100)+available balance of 2021 (100*15%=15t)=115t</t>
  </si>
  <si>
    <t>Adjusted limit for 2023=initial quota(313)+313*10%(carryover 2021)= 344.3</t>
  </si>
  <si>
    <t>Adjusted limite for 2023=initial quota(4426.38)+4390.69*10%+600 ton transfer from Japan=5465.45</t>
  </si>
  <si>
    <t>According to Rec. 19-05 Para 3c): “Starting with 2020 catches, any underharvest by a CPC of its annual landings limit may not be carried forward to a subsequent year.”</t>
  </si>
  <si>
    <t>2023 adjusted quota is 5321.13 t (=4416.9+4416.9*0.25-200)  due to the inclusion of 2021 underage and 2023 initial catch quota and the deduction of transfers of 200 t to Belize.</t>
  </si>
  <si>
    <t>=4416.9+4416.9*0.25-200</t>
  </si>
  <si>
    <t xml:space="preserve">2023 adjusted quota is 323 t (=270+270*40%-35-20) due to the inclusion of 2021 underage and 2023 initial catch quota and the deduction of respective transfers of 35 t to Canada and 20 t to Morocco. </t>
  </si>
  <si>
    <t>=459+459*10%</t>
  </si>
  <si>
    <t>2023 adjusted quota is 504.9 t (=459 + 459*10%) due to the inclusion of 2022 underage and 2023 initial catch quota.</t>
  </si>
  <si>
    <t>=101-50</t>
  </si>
  <si>
    <t>2023 adjusted quota is 51 t (=101-50) due to the transfer of 50t to Korea.</t>
  </si>
  <si>
    <t>Límite ajustado para 2023 = 242 + 60,5 = 302,50 t</t>
  </si>
  <si>
    <t>[8]</t>
  </si>
  <si>
    <t>[8]= Límite de 2023 + balance de 2022</t>
  </si>
  <si>
    <t xml:space="preserve">** Durante los años anteriores a 2020, El Salvador no estaba sujeto a límite (Rec. 16-01, Par 34.a), sino a una expectativa de pesca, por ello No Aplica los límites, limites ajustados ni saldos. Para el año 2020 (Rec. 19-02) se reconoce un límite.																										</t>
  </si>
  <si>
    <t>* De acuerdo a la Rec. 19-02 Para 3 el TAC de BET se reduce de 62500t en 2020 a 61500t en 2021, esto representa una disminución del 1.6%. La Secretaría ha aplicado esta reducción a todas las cuotas/límites de captura/umbrales calculados para 2020 con el fin de obtener los valores proporcionales para 2021.</t>
  </si>
  <si>
    <t>2022(***)</t>
  </si>
  <si>
    <t>*** De conformidad con el párrafo 3 de la Rec. 21-01 el TAC de patudo se reduce, pasando de 62.500 t en 2020 a 62.000 t en 2022, esto representa una disminución del 0.8 %. La Secretaría ha aplicado esta reducción a todas las cuotas/límites de captura calculados para 2020 con el fin de obtener los valores proporcionales para 2022.</t>
  </si>
  <si>
    <t>=215+(MAX. 25% from 2021 quota= 13.27t)</t>
  </si>
  <si>
    <t>The applied methodology is described in Recs. 13-06, 16-07, 20-05, 21-05, 22-06</t>
  </si>
  <si>
    <t>The applied methodology is described in Recs. 16-03, 17-02, 19-03, 20-02, 21-02, 22-03</t>
  </si>
  <si>
    <t>2 : limite 2015 + 25% quota de capture initial 2014 (REC 11-04 et REC 13-05)</t>
  </si>
  <si>
    <t>3 : limite 2016 + 25% quota de capture initial 2015 (REC 13-05)</t>
  </si>
  <si>
    <t>4 : limite 2017 + 25% quota de capture initial 2016 (REC 13-05 et REC 16-06)</t>
  </si>
  <si>
    <t>5 : limite 2018 + 25% quota de capture initial 2017 (REC 16-06 et REC 17-04)</t>
  </si>
  <si>
    <t>6 : limite 2019 + 25% quota de capture initial 2018 (REC 16-06 et REC 17-04)</t>
  </si>
  <si>
    <t>7 : limite 2020 + 25% quota de capture initial 2019 (REC 16-06 et REC 17-04)</t>
  </si>
  <si>
    <t>8 : limite 2021 + 25% quota de capture initial 2020 (REC 20-03)</t>
  </si>
  <si>
    <t>9 : limite 2022 + 25% quota de capture initial 2021 (REC 20-03)</t>
  </si>
  <si>
    <t>10 : limite 2023 + 25% quota de capture initial 2022 (REC 20-03)</t>
  </si>
  <si>
    <t>9:  limite 2023+ 100% allocation de quota initiale (MAX Solde 2022=3.46) - CAN transfer (5.18t)  = 6.18+3.46-5.18= 4.46</t>
  </si>
  <si>
    <t>242+(242*0.25)</t>
  </si>
  <si>
    <t>2022= 149.34+33.44-transfer to Canada (60t) por Rec. 21-07</t>
  </si>
  <si>
    <t>JAPAN-N-ALB:Japan's 2022 adjusted limit = BET 2022 catch * 4.5% (Para8 of Rec21-04)</t>
  </si>
  <si>
    <t>JAPAN-S-ALB: 2023 adjusted limit = 1,630t(Limit)+206.15t(2021 carry over (para 4 of Rec. 22-06))+100(transfer from Brazil (para 3 of Rec. 22-06))+100(transfer from Uruguay(para 3 of Rec. 22-06))+100(transfer from South Africa (para 3 of Rec. 22-06))</t>
  </si>
  <si>
    <t>JAPAN-S-SWO:Japan's 2023 adjusted limit  = 901t(Limit)+600.00t(2021 carry over(Para1(2) of Rec22-04))-50t(transfer to Namibia(Para5 of Rec.17-03))</t>
  </si>
  <si>
    <t>JAPAN-E-BFT:Japan's 2023 adjusted limit = 3114.00t(Limit)(Para4 of Rec22-08)+44.4t(2022 carry over (Para6 of Rec 22-08))</t>
  </si>
  <si>
    <t>JAPAN-W-BFT:Japan's 2022 adjusted limit = 664.52t(Limit)+0.73t(2021 carry over(Para7a of Rec17-06 )</t>
  </si>
  <si>
    <t>JAPAN-W-BFT:Japan's 2023 adjusted limit = 664.52t(Limit)+7.45t(2022 carry over(Para6a of Rec22-10 )</t>
  </si>
  <si>
    <t>JAPAN-BIGEYE:Japan's 2023 adjusted limit = 13868.00(Para 4 of Rec.21-01)+1375.61 (2021 carry over(13756.16*10%)(Para12 of Rec21-01)-600(transfer to China (Footnote2 of Para.8  of Rec.22-01))-300(transfer to Europian Union (Footnote 2 of Para.8 of Rec.22-01))</t>
  </si>
  <si>
    <t>JAPAN-BUM:Japan's 2023 adjusted limit = 328.1t(Limit)(Para2 of Rec19-05)</t>
  </si>
  <si>
    <t>JAPAN-WHM・SPF:Japan's 2023 adjusted limit =35t(Limit)(Para2 of Rec19-05)</t>
  </si>
  <si>
    <t>JAPAN-N-BSH: current catch for 2021 includes  21.9t of dead discard.</t>
  </si>
  <si>
    <t>JAPAN-N-BSH:Japan's 2022 adjusted limit = 4,010t(Para1 of Rec21-10)</t>
  </si>
  <si>
    <t>JAPAN-N-BSH:Japan's 2023 adjusted limit = 4,010t(Para1 of Rec21-10)</t>
  </si>
  <si>
    <t>* Adjusted limit 2023 = initial limit 2023 (5280) + available balance 2021(not to exceed 25% of initial quota) (674.61) -100t transferred to JPN</t>
  </si>
  <si>
    <t>URUGUAY</t>
  </si>
  <si>
    <t>* Adjusted limit 2023 = initial limit 2023 (530) + available balance 2021(not to exceed 25% of initial quota) (110) - 100t transferred to JPN</t>
  </si>
  <si>
    <t>2023: IQ2023 + 25% MAX2020 - 100t transferred to JPN</t>
  </si>
  <si>
    <t>2600+(0.25*2160)-100</t>
  </si>
  <si>
    <t>(242*0.25)+242</t>
  </si>
  <si>
    <t>2023**</t>
  </si>
  <si>
    <t>**Underage up to 20% of the initial catch quota has been carried over biennially Rec.17-03. Quota calculated from 2018 to 2022</t>
  </si>
  <si>
    <t>Rec.22-04 the maximum underage that a party may carryover in any given year shall not exceed 10%of the quota of the previous year.</t>
  </si>
  <si>
    <t>50+(50*0.1)</t>
  </si>
  <si>
    <t>Rec 22-08 para 4 : Depending on availability, Chinese Taipai may transfer up to 50t of its quota to Korea in 2023 to 2025.</t>
  </si>
  <si>
    <t>Korea carried forward its unused quota of 2022(7.72t) to 2023 which is under 5% of 2022 quota (Rec 22-08 Para 6)</t>
  </si>
  <si>
    <t>200+50+7.72</t>
  </si>
  <si>
    <t>Rec.22-01 para12:underage of an annual catch limit in 2021 shall be added to their 2023 annual catch limit, subject to 10% of initial quota restrictions</t>
    <phoneticPr fontId="7" type="noConversion"/>
  </si>
  <si>
    <t>* Information and explanation regarding Korea`s 2023 catch limit are available in Document PA1_11 and PA1_35, submitted for the March PA1 meeting in 2023.</t>
    <phoneticPr fontId="7" type="noConversion"/>
  </si>
  <si>
    <t>(984*0.10)+992 - 223</t>
  </si>
  <si>
    <t>From 2016 to 2023, USA has transferred 50t to Namibia in accordance with Rec. 16-04/17-03.</t>
  </si>
  <si>
    <t>=1168+20%1168+50</t>
  </si>
  <si>
    <t>=1168+10%1168+50</t>
  </si>
  <si>
    <t>Underage up to 10% of the initial catch quota has been carried over biennially Rec.22-04. Quota calculated from 2023 on</t>
  </si>
  <si>
    <t>=3600+25%3600</t>
  </si>
  <si>
    <t>=4320+25%3600</t>
  </si>
  <si>
    <t>2023*</t>
  </si>
  <si>
    <t>2024*</t>
  </si>
  <si>
    <t>2025*</t>
  </si>
  <si>
    <t>*Rec 22.06 para 5: Overharvest in 2022 deducted in 2024 and no underages can be carried over from 2023 to 2025</t>
  </si>
  <si>
    <t>=4320 - overharvest 2022</t>
  </si>
  <si>
    <t>no carry over from 2023 due to overharvest 2022</t>
  </si>
  <si>
    <t>Limite ajustee 2022 = Limite 2022 + max. Solde (Limite 2021*0.4) -transfert Canada (125 t+25 t) = 250 + (250 * 0.4) -150= 200 t</t>
  </si>
  <si>
    <t>Limite ajustee 2023 = Limite 2023 + max. Solde (Limite 2022*0.4) -transfert Canada (125 t) = 250 + (250 * 0.4) -125= 200 t</t>
  </si>
  <si>
    <t>le calcul du quota ajusté 2023 prend en compte le solde  MAX de 2022 (Limite 2022 * 0.1 = 417*0.1=41.7) auquel est ajouté la limite 2023 417 t) ce qui donne (41.7+417=458.7) t</t>
  </si>
  <si>
    <t>2023: The 2022 underage is greater than the maximum amount that can be carried over to 2023 (&lt;= 40% of original catch limit); hence the amount carried over is 50 t (0.4*125).
Additionally, 75 t and 25 t were transferred to Belize and Morocco respectively; hence 100 is subtracted from the sum of the initial catch limit and the allowed carry over, to arrive at the final adjusted limit of 75 t.</t>
  </si>
  <si>
    <t>8(A)=IQ2023+2t EU transfer provided by Rec. 19-05.</t>
  </si>
  <si>
    <t>Pour l'année 2023 le quota ajusté est de 3020  ( le quota initial 3000T+quota non consommé  des prises accessoires 2022 (20T)</t>
  </si>
  <si>
    <t>(7)</t>
  </si>
  <si>
    <t>(7) Límite ajustado 2023 = Límite 2023 + Saldo 2022</t>
  </si>
  <si>
    <t>IQ2024+MAX 25% IQ2022</t>
  </si>
  <si>
    <t>IQ2024+MAX 40% IQ2022</t>
  </si>
  <si>
    <t>IQ2022+Max5%IQ2021</t>
  </si>
  <si>
    <t>IQ2023+Max5%IQ2022</t>
  </si>
  <si>
    <t>IQ2024+Max5%IQ2023</t>
  </si>
  <si>
    <t xml:space="preserve">2023: The UK's IQ in 2023 is 63t. The UK's catches in 2022 were 4.61t,. The UK wants to carry over 5% of 2022 quota to 2023. Thus the UK's adjusted limit in 2023 is 65.42t. </t>
  </si>
  <si>
    <t>IQ2022+MAX100%IQ2021</t>
  </si>
  <si>
    <t>IQ2023+MAX100%IQ2022</t>
  </si>
  <si>
    <t>IQ2024+MAX100%IQ2023</t>
  </si>
  <si>
    <t xml:space="preserve">2023: The UK's quota for W.BFT for 2023 is 6.18. The UK's catches in 2022 were 0.t . The UK is permitted to transfer a maximum of 100% of 2022 Initial Quota to 2023. When the UK's carry over amount is combined with the UK's TAC for 2023. The adjusted quota for 2023 is 12.36t. </t>
  </si>
  <si>
    <t>TÜRKIYE</t>
  </si>
  <si>
    <t>ALBMed</t>
  </si>
  <si>
    <t>(*)</t>
  </si>
  <si>
    <t>(*) Türkiye transfers to EU 75 t in 2023, 75 t in 2024 and for the following years, any part of the ünüsed qüota üp to maximüm of 75 t.</t>
  </si>
  <si>
    <t>Adjusted limit for 2023 = 711.5  + (.25)(711.5) = 889.38</t>
  </si>
  <si>
    <t>Adjusted limit for 2023 = 3907.0 + (0.15)(3907) = 4493.05 t</t>
  </si>
  <si>
    <t>Adjusted limit for 2023 = 100.0 - (100 t (Namibia (50 t), Cote d'Ivoire (25 t), Belize (25 t)) + 100.0</t>
  </si>
  <si>
    <t>Adjusted limit for 2023 = 1341.14 + 106.54 = 1447.68 t****</t>
  </si>
  <si>
    <t>Initial quota/catch limit includes 25 t allocation for by-catch, as per Rec. 16-08 para 6a, Rec. 17-06 para 6a, Rec. 20-06 Para 1(4), Rec. 21-07 Para 1(D), and Rec. 22-10 para 5a.</t>
  </si>
  <si>
    <t>=10340+1005</t>
  </si>
  <si>
    <t>2023 adjusted quota is 11345.00 t (=10340+1005) due to the inclusion of 2021 underage and 2023 initial catch quota + 0 t (Rec. 22-06 Para 4b) as complement from total underage from the TAC</t>
  </si>
  <si>
    <t xml:space="preserve">In 2020 the underharvest for the EU was of 325,97 t, which is less than the maximum allowed 5% provided in Rec 19-04. Therefore, the EU is entitled to carry over  325,97 t to 2021. </t>
  </si>
  <si>
    <t>Limit 2021 + MAX5% 2020 (325.97) - 48.40 to UK</t>
  </si>
  <si>
    <t>Limit 2022 + MAX5% 2021 (573.90) - 48.40 to UK</t>
  </si>
  <si>
    <t>In Addition, the EU will transfer to United Kingdom 0,25% of its initial quota (corresponding to 19360 t) in 2021 and 2022. (48.40t)</t>
  </si>
  <si>
    <t xml:space="preserve">In 2021 the underharvest for the EU was of 573.90 t, which is less than the maximum allowed 5% provided in Rec 19-04. Therefore, the EU is entitled to carry over  573.90 t to 2022 if the current management arrangments are maintained. In Addition, the EU will transfer to United Kingdom 48,40t in 2022. </t>
  </si>
  <si>
    <t>Limit 2023+limit 2021*0,10</t>
  </si>
  <si>
    <t>In 2021 the underharvest for the EU was of 548,06 t, which is greater than the maximum allowed 10% provided in Rec 22-04. Therefore, the EU is entitled to carry over  482.4 t to 2023</t>
  </si>
  <si>
    <t>Limit 2023 +  10% Limit 2021</t>
  </si>
  <si>
    <t>2023 Limit - 2t</t>
  </si>
  <si>
    <t>50 + Balance 2020</t>
  </si>
  <si>
    <t>50 + Balance 2021</t>
  </si>
  <si>
    <t xml:space="preserve">
**Underage up to 40% of the initial catch quota has been carried over biennially Rec.17-02. Quota calculated from 2018 on</t>
  </si>
  <si>
    <t>2023 = Initial allocation + SPM transfer (5.18) + underharvest from 2022 (39.59) + Mexican transfer (60t)</t>
  </si>
  <si>
    <t>2023= 149.34+62.78-transfer to Canada (60t) por Rec. 22-10</t>
  </si>
  <si>
    <t>JAPAN-BUM:Japan's 2024 adjusted limit = 328.1t - overharvest 2022</t>
  </si>
  <si>
    <t>= 140 + MAX 25% IQ 2020</t>
  </si>
  <si>
    <t>= 170 + MAX 25% IQ 2021</t>
  </si>
  <si>
    <t>[6]= Límite de 2022 + 125% BALANCE de 2021</t>
  </si>
  <si>
    <t>[7]= Límite de 2023 + 125% BALANCE de 2022</t>
  </si>
  <si>
    <t>[2]= Límite de 2018 + balance de 2017</t>
  </si>
  <si>
    <t>[3]= Límite de 2019 + balance de 2018</t>
  </si>
  <si>
    <t>[4]= Límite de 2020 + balance de 2019</t>
  </si>
  <si>
    <t>[5]= Límite de 2021 + BALANCE de 2020</t>
  </si>
  <si>
    <t>[6] = 2022 limit + 125% 2021 Balance</t>
  </si>
  <si>
    <t>[7] = 2023 limit + 125% 2022 Balance</t>
  </si>
  <si>
    <t>SAO TOMÉ AND PRÍNCIPE</t>
  </si>
  <si>
    <t>[2] = 2018 limit + MAX 20% 2017 Balance</t>
  </si>
  <si>
    <t>[3] = 2019 limit + MAX 20% 2018 Balance</t>
  </si>
  <si>
    <t>[1] = 2017 limit + MAX 20% 2016 Balance</t>
  </si>
  <si>
    <t>[4] = 2020 limit + MAX 20% 2019 Balance</t>
  </si>
  <si>
    <t>[5] = 2021 limit</t>
  </si>
  <si>
    <t>(6) Límite ajustado 2022 = Límite 2022 + 125% Saldo 2021</t>
  </si>
  <si>
    <t>(7) Límite ajustado 2023 = Límite 2023 + 125% Saldo 2022</t>
  </si>
  <si>
    <t>* Adjusted limit 2022 = initial limit 2022 (4400) + available balance 2020(not to exceed 25% of initial quota) (874.08) - ZAF will invoke para 4f of the ICCAT Rec. 16-07, supplemented by ICCAT Rec. 21-05 to cover the over shooting of its catch limits (URY: 52.95  BRA: 259.96t)</t>
  </si>
  <si>
    <t>* Adjusted limit 2022 = initial limit 2022 (440) + available balance 2020(not to exceed 25% of initial quota) (110) - 52.95t [ZAF will invoke para 4f of the ICCAT Rec. 16-07, supplemented by ICCAT Rec. 21-05 to cover the over shooting of its catch limits (URY: 52.95  BRA: 259.96t]</t>
  </si>
  <si>
    <t>2022: IQ2022 + 25% MAX2020 - 129.95t [South Africa will invoke para 4f of the ICCAT Rec. 16-07, supplemented by ICCAT Rec. 21-05 to cover the over shooting of its catch limits (URY: 52.95  BRA: 259.96t)]</t>
  </si>
  <si>
    <t>2160+(0.25*2160)-259.96</t>
  </si>
  <si>
    <t>IQ(2015)+BALANCE(2013)</t>
  </si>
  <si>
    <t>IQ(2016)+BALANCE(2014)</t>
  </si>
  <si>
    <t>IQ(2017)+BALANCE(2015)</t>
  </si>
  <si>
    <t>IQ(2018)+BALANCE(2016)</t>
  </si>
  <si>
    <t>IQ(2019)+BALANCE(2017)</t>
  </si>
  <si>
    <t>IQ(2020)+BALANCE(2018)</t>
  </si>
  <si>
    <t>IQ(2021)+BALANCE(2019)</t>
  </si>
  <si>
    <t>IQ(2022)+125% BALANCE(2020)</t>
  </si>
  <si>
    <t>IQ(2023)+125% BALANCE(2021)</t>
  </si>
  <si>
    <t>IQ(2015)+ MAX 20% INITIAL QUOTA(2013)</t>
  </si>
  <si>
    <t>IQ(2016)+ MAX 20% INITIAL QUOTA(2014)</t>
  </si>
  <si>
    <t>IQ(2017)+MAX 20% INITIAL QUOTA(2015)</t>
  </si>
  <si>
    <t>*Belize is carrying forward 25% of its initial balance (62.5 t) from its balance of 299.76 in 2022 to be used in 2024.   As total 2022 underage is only 153.83t, pro rata carry over is 3.72t</t>
  </si>
  <si>
    <t>Adjusted limit for 2024=initial quota(240) +  2.98. As total 2022 underage is only 153.83t, pro rata carry over is 2.98t</t>
  </si>
  <si>
    <t>=10340+139.98</t>
  </si>
  <si>
    <t>=120+1.49</t>
  </si>
  <si>
    <t>2024 adjusted quota is 120+1.49 due to the inclusion of 2022 underage and 2024 initial catch quota.  As total 2022 underage is only 153.83t, pro rata carry over is 1.49</t>
  </si>
  <si>
    <t>2.08+170</t>
  </si>
  <si>
    <t xml:space="preserve"> As total 2022 underage is only 153.83t, pro rata carry over is 2.08t</t>
  </si>
  <si>
    <t>= 170 + 2.08</t>
  </si>
  <si>
    <t>=IQ2024+1.49</t>
  </si>
  <si>
    <t>2024: The UK's balance for 2022 was 125t,  As total 2022 underage is only 153.83t, pro rata carry over is 1.49t</t>
  </si>
  <si>
    <t>(1) Actual catch amount made by Türkiye in 2022 correspond to 2294.85 t (out of 2305 t). 10.15 t of underharvest from the year 2022 is to be carried-over. Adjusted quota for 2023 = 2600 t (Quota) +10.15 t (carried-over amount) + (440.79+67.08) from EGY + 128 from SYR = 3246.02</t>
  </si>
  <si>
    <t>(1) Curacao agreed on a payback plan for blue marlin of 2.5 tons per year from 2022 on. First year 2.53t. (Approved)</t>
  </si>
  <si>
    <t>*Senegal agreed on a payback plan for 2020 bigeye overharvest of 1377.77 t: 137.77 tons per year from 2023 to 2032 on. (Approved)</t>
  </si>
  <si>
    <t>The overharvest of bigeye tuna of 1,587.34 t for 2022 shall be paid back over a period of 5 years, from 2024 to 2028, in the following way: 2024: 355.34 t 2025 to 2028: 308 t</t>
  </si>
  <si>
    <t>IQ2024- 355.34</t>
  </si>
  <si>
    <t>IQ2027 -308</t>
  </si>
  <si>
    <t>IQ2028 -308</t>
  </si>
  <si>
    <r>
      <t>Data obtained from Task 1 whenever no data was reported in the Compliance Tables are shown in</t>
    </r>
    <r>
      <rPr>
        <sz val="11"/>
        <rFont val="Cambria"/>
        <family val="1"/>
      </rPr>
      <t xml:space="preserve"> </t>
    </r>
    <r>
      <rPr>
        <b/>
        <sz val="11"/>
        <rFont val="Cambria"/>
        <family val="1"/>
      </rPr>
      <t>bold</t>
    </r>
    <r>
      <rPr>
        <b/>
        <sz val="10"/>
        <rFont val="Cambria"/>
        <family val="1"/>
      </rPr>
      <t xml:space="preserve"> / </t>
    </r>
    <r>
      <rPr>
        <sz val="10"/>
        <rFont val="Cambria"/>
        <family val="1"/>
      </rPr>
      <t xml:space="preserve">Les données obtenues dans le cadre de la tâche 1 lorsqu'aucune donnée n'a été déclarée dans les tableaux d’application figurent en </t>
    </r>
    <r>
      <rPr>
        <b/>
        <sz val="11"/>
        <rFont val="Cambria"/>
        <family val="1"/>
      </rPr>
      <t>gras</t>
    </r>
    <r>
      <rPr>
        <sz val="10"/>
        <rFont val="Cambria"/>
        <family val="1"/>
      </rPr>
      <t xml:space="preserve"> / En </t>
    </r>
    <r>
      <rPr>
        <b/>
        <sz val="11"/>
        <rFont val="Cambria"/>
        <family val="1"/>
      </rPr>
      <t>negrita</t>
    </r>
    <r>
      <rPr>
        <sz val="10"/>
        <rFont val="Cambria"/>
        <family val="1"/>
      </rPr>
      <t xml:space="preserve"> datos obtenidos de Tarea I cuando no se han reportado datos en las tablas de Cumplimiento</t>
    </r>
  </si>
  <si>
    <t>Quota ajustée 2024: 362,50 tonnes  = quota initial alloué au Maroc 2024 (302 t) + 60,50 tonnes ( reliquat= 25% du quota initial 2022 (242 tonnes) ). Rec ICCAT 21-04, 23-05</t>
  </si>
  <si>
    <t>2024: For 2024 the UK's intial quota is 752.8t of N.ALB. The UK's catches in 2022 were 125.35. Consequently the UK has a remaining balance of 370.65t. The UK is allowed to carry over unused quota to 2024 at the max carry over rate of 25% of its IQ2022 (110.56). When the 25% is applied to the IQ2022 and the quota for 2024 is added, the adjusted quota for 2024 is 863.36t</t>
  </si>
  <si>
    <t>GRENADA</t>
  </si>
  <si>
    <t>IQ(2017)+BALANCE(2016)</t>
  </si>
  <si>
    <t>IQ(2018)+BALANCE(2017)</t>
  </si>
  <si>
    <t>IQ(2019)+BALANCE(2018)</t>
  </si>
  <si>
    <t>IQ(2020)+BALANCE(2019)</t>
  </si>
  <si>
    <t>IQ(2021)+BALANCE(2020)</t>
  </si>
  <si>
    <t>IQ(2022)+125% BALANCE(2021)</t>
  </si>
  <si>
    <t>IQ(2023)+125% BALANCE(2022)</t>
  </si>
  <si>
    <t>IQ(2022)+ BALANCE(2021)</t>
  </si>
  <si>
    <t>IQ(2023)+ BALANCE(2022)</t>
  </si>
  <si>
    <t>Limit 2023 + MAX5% 2022 (973t)</t>
  </si>
  <si>
    <t>Pour l'année 2022 , le quota ajusté est de 2679.72  ( le quota initial 2655T+quota non consommé  des prises accessoires 2021 (24,72T), les prises réalisées par les senneurs  en 2022 est de 2652,762 t , les prises accessoires ( 26,55T) n'ont pas encore été arrétées</t>
  </si>
  <si>
    <t>(1) In accordance with Rec. 19-04 Para 10, Syria will transfer 79.2 t to Tunisia to be caught by vessel (MOHAMED ESSADOK,  AT000TUN00051) for only this fishing season 2021</t>
  </si>
  <si>
    <t>(2) In accordance with Rec. 22-08 Para 8, Syria will transfer 128t to TUR to be caught by vessel (Tuncay Sagun 2	AT000TUR00455) for only this fishing season 2023</t>
  </si>
  <si>
    <t>(3) In accordance with Rec. 22-08 Para 8, Syria will transfer 128t to TUR to be caught by vessels (BANDIRMA BALIKÇILIK AT000TUR08044 39630 kg, KORKMAZLAR BALIKÇILIK AT000TUR07905 88370 kg) for only this fishing season 2024</t>
  </si>
  <si>
    <t>2024 adjusted limit: Egypt intends to transfer 507.87 ton from its quota to Türkiye</t>
  </si>
  <si>
    <t>(2) Adjusted quota for 2024 = 2600 t (Quota) -35.13t overharvest in 2023 + 128t from SYR + 507.87t from EGY = 3200.74t</t>
  </si>
  <si>
    <t>2024 adjusted quota is 51 t (=101-50) due to the transfer of 50t to Korea.</t>
  </si>
  <si>
    <t>Quota ajustée 2025: 362,50 tonnes  = quota initial alloué au Maroc 2024 (302 t) + 60,50 tonnes ( reliquat= 25% du quota initial 2022 (242 tonnes) ). Rec ICCAT 21-04, 23-05</t>
  </si>
  <si>
    <t>Quota ajusté 2024:  1261,83 tonnes = quota initial alloué au Maroc (850 t) + 18,81 t (reliquat= 15% du quota initial 2022 (850 t) + 150 t (transférées par le Japon au Maroc)+20 t (transférée par le Taipei Chinois)+ 25 t (transférée par le Trinité-et-Tobago) + 200 T (Transfrt des Etats Unies dés la soumission du plan de pêche). Rec ICCAT 21-02, 23-04</t>
  </si>
  <si>
    <t>Quota ajusté 2025: 1272,43 tonnes = quota initial alloué au Maroc (850 t) + 27,43 t (reliquat= 15% du quota initial 2022 (850 t) + 150 t (transférées par le Japon au Maroc)+20 t (transférée par le Taipei Chinois)+ 25 t (transférée par le Trinité-et-Tobago) + 200 T (Transfrt des Etats Unies dés la soumission du plan de pêche). Rec ICCAT 21-02, 23-04</t>
  </si>
  <si>
    <t>Quota ajustée 2024: 3739 tonnes = quota initial alloué au Maroc 2024 (3700 t) + 39 tonnes (reliquat de l'année 2023) Rec. 22-08, 23-06</t>
  </si>
  <si>
    <t>2015 = Initial allocation + Mexican transfer (86.50) + underage from 2014 (24.4)</t>
  </si>
  <si>
    <t>2016 = Initial allocation  + mexican transfer (51.98) + underage from 2014 (30.03)</t>
  </si>
  <si>
    <t>2017 = Initial allocation  + 55.98 (transfer from MEX) Rec. 16-08 + underharvest from 2016 (MAX 10% IQ 2016)</t>
  </si>
  <si>
    <t>2024 adjusted quota is 6425.33 t (=5521.1+4416.9*0.25-200)  due to the inclusion of 2022 underage and 2024 initial catch quota and the deduction of transfers of 200 t to Belize.</t>
  </si>
  <si>
    <t>=5521.1+4416.9*0.25-200</t>
  </si>
  <si>
    <t xml:space="preserve">2024 adjusted quota is 323 t (=270+270*40%-35-20) due to the inclusion of 2022 underage and 2024 initial catch quota and the deduction of respective transfers of 35 t to Canada and 20 t to Morocco. </t>
  </si>
  <si>
    <t>11 : limite 2024 + 25% quota de capture initial 2023 (REC 23-05)</t>
  </si>
  <si>
    <t>8 : limite 2022 + 40% limite de capture initiale (Rec.21-02) + 40 tonnes transférées de l'Union Européenne (REC 17-02)=40+(40*0.4)+40=96</t>
  </si>
  <si>
    <t>7 : limite 2021 + 40% limite de capture initiale (Rec.20-02) + 40 tonnes transférées de l'Union Européenne (REC 17-02)+ 12,75 tonnes transférées du Vénézuela (REC 17-02)=40+(40*0.4)+40+12.75=108.75</t>
  </si>
  <si>
    <t>6 : limite 2020 + 40% limite de capture initiale (Rec.19-03) + 40 tonnes transférées de l'Union Européenne (REC 17-02)+ 12,75 tonnes transférées du Vénézuela (REC 17-02)=40+(40*0.4)+40+12.75=108.75</t>
  </si>
  <si>
    <t>5 : limite 2019 + 40% limite de capture initiale (Rec.17-02) + 40 tonnes transférées de l'Union Européenne (REC 17-02)+ 12,75 tonnes transférées du Vénézuela (REC 17-02)=40+(40*0.4)+40+12.75=108.75</t>
  </si>
  <si>
    <t>4 : limite 2018 + 40% limite de capture initiale (Rec.17-02) + 40 tonnes transférées de l'Union Européenne (REC 17-02)+ 12,75 tonnes transférées du Vénézuela (REC 17-02)=40+(40*0.4)+40+12.75=108.75</t>
  </si>
  <si>
    <t>10 : limite 2024 + 40% limite de capture initiale (Rec.23-04) + 40 tonnes transférées de l'Union Européenne (REC 17-02)=40+(40*0.4)+40=96</t>
  </si>
  <si>
    <t>10:  limite 2024+ 100% allocation de quota initiale (MAX Solde 2023=4.46) = 6.18+4.46= 10.64</t>
  </si>
  <si>
    <t>2024 = Initial allocation + Mexican transfer (60t) + underharvest from 2023 (53.10)</t>
  </si>
  <si>
    <t>2024 = Initial allocation + transfers (from Senegal 125t, Japan 35t, Chinese Taipe 35t, and the EU 280t) + underage from 2022 (202.2t - max. carry forward)</t>
  </si>
  <si>
    <t>8 (A) = Limit 2023 + Carry over from Balance 2021 MAX. 10%3904.74 (390.47) Rec. 22-01 Para 12</t>
  </si>
  <si>
    <t>ALGERIE</t>
  </si>
  <si>
    <t>Q2024+ max 5%Q2023=2023+23</t>
  </si>
  <si>
    <t>2024: In accordance with paragraph 6 of Rec. 22-08, Algeria requests a transfer of 23 t (1.14%) of its 2023 unused quota to 2024. therefore, the total adjusted national quota will be 2,046 t</t>
  </si>
  <si>
    <t>IQ2024+25%Q2022</t>
  </si>
  <si>
    <t>REC: 17-04, 21-04, 23-05</t>
  </si>
  <si>
    <t>RECs: 17-02, 19-03,21-02,22-03, 23-04</t>
  </si>
  <si>
    <t>IQ(2024)+125% BALANCE(2022)</t>
  </si>
  <si>
    <t xml:space="preserve">Belize is carrying forward 25% of its initial catch limit (60.5t) from its balance of 121.85t in 2023 to be used in 2025. </t>
  </si>
  <si>
    <t xml:space="preserve">*Belize is carrying forward 25% of its initial balance (75 t) from its balance of 362.5 in 2023 to be used in 2025.  </t>
  </si>
  <si>
    <t>*Belize is carrying forward 40% of its initial limit (52 t) from its initial balance of 180.25 t in 2023 to be used in 2025. Transfer of 75 t from Trinidad and Tobago to Belize</t>
  </si>
  <si>
    <t>*Belize is carrying forward 10% of its initial limit (125 t) from its balance of 274.94 t in 2022 to be used in 2024.Transfer of 25 t from USA to Belize. Transfer of 50 t from Brazil to Belize.Transfer of 50 t from Uruguay to Belize</t>
  </si>
  <si>
    <t>*Belize is carrying forward 10% of its initial limit (25 t) from its balance of 245.92 t in 2021 to be used in 2023.Transfer of 25 t from USA to Belize. Transfer of 50 t from Brazil to Belize.Transfer of 50 t from Uruguay to Belize</t>
  </si>
  <si>
    <t>*Belize is carrying forward 10% of its initial limit (125 t) from its balance of 262.5 t in 2023 to be used in 2025.Transfer of 25 t from USA to Belize. Transfer of 50 t from Brazil to Belize.Transfer of 50 t from Uruguay to Belize</t>
  </si>
  <si>
    <t>2024 adjusted quota is 10479.98 t (=10340+139.98) due to the inclusion of 2022 prorata underage and 2024 initial catch quota. As total 2022 underage is only 153.83t, pro rata carry over is 139.98t</t>
  </si>
  <si>
    <t>Adjusted limited for 2024=302(initial quota)+55.88(carryover 2022)=357.88</t>
  </si>
  <si>
    <t>Adjusted limit for 2024=initial quota(100)+available balance of 2022 (100*15%=15t)=115t</t>
  </si>
  <si>
    <t>Adjusted limit for 2024=initial quota(313)+313*10%(carryover 2022)= 344.3</t>
  </si>
  <si>
    <t>Adjusted limite for 2024=initial quota(4426.38)+ (IQ2022) 4226.38*10%+600 ton transfer from Japan=5469.02</t>
  </si>
  <si>
    <t>Límite ajustado para 2024 = 302 + 60,5 = 362,50 t</t>
  </si>
  <si>
    <t>[9]</t>
  </si>
  <si>
    <t>[9]= Límite de 2024 + balance de 2023</t>
  </si>
  <si>
    <t>[8]= Límite de 2024 + 125% BALANCE de 2023</t>
  </si>
  <si>
    <t xml:space="preserve">The underharvest of the EU in 2021 is of 1862,1 t, which corresponds to more than 15% of its 2021 initial catch limit (1007.7t). In line with Rec. 17-02 the EU can carry over 1007.7 t to 2023 if current management arrangments are maintained. The adjusted limit for 2023 takes also into account the transfers to Canada (327t) as provided for in Rec 17-02. </t>
  </si>
  <si>
    <t>Limit 2024 + 2022 balance</t>
  </si>
  <si>
    <t>2023 limit + 0,15*2021 limit -327 CAN</t>
  </si>
  <si>
    <t xml:space="preserve">The underharvest of the EU in 2022 is of 1907,35 t, which corresponds to more than 15% of its 2022 initial catch limit. In line with Rec. 17-02 the EU can carry over 1007.6 t to 2024 if current management arrangements are maintained. The adjusted limit for 2022 takes also into account the transfers to Canada (280) and S. Pierre et Miquelon  (40) as provided for in Rec 17-02. </t>
  </si>
  <si>
    <t xml:space="preserve">In 2022 the underharvest for the EU was of 1282,88 t, which is more than the maximum allowed 10% (482,4t) provided in Rec 22-04. Therefore, the EU is entitled to carry over 482,4 t to 2024 if current management arrangmments are maintained. </t>
  </si>
  <si>
    <t>Limit 2024 +  10% Limit 2022</t>
  </si>
  <si>
    <t>Limit 2024 + MAX5% 2023 (1075,15)</t>
  </si>
  <si>
    <t>In 2022 the underharvest for the EU was of 1034.60 t, which is more than the maximum allowed 5% provided in Rec 22-08. Therefore, the EU is entitled to carry over  973t t to 2023 if the current management arrangments are maintained.</t>
  </si>
  <si>
    <t>In 2023 the underharvest for the EU was of 1371.77 t, which is more than the maximum allowed 5% provided in Rec 22-08. Therefore, the EU is entitled to carry over  1075.15t t to 2024 if the current management arrangments are maintained.</t>
  </si>
  <si>
    <t>Limit 2024+limit 2022*0,10</t>
  </si>
  <si>
    <t>2024 Limit - 2t</t>
  </si>
  <si>
    <t xml:space="preserve">2023 adjusted limit: Egypt intends to transfer 507.87 ton from its quota to Türkiye. Egypt didn’t engage in the BFT fishing season for 2023 due to the transferred amount of 507.87 t from Egypt to Türkiye	</t>
  </si>
  <si>
    <t>ALBM</t>
  </si>
  <si>
    <t>2024 adjusted limit = 2024 limit + 2023 negative balance (-13.73) according to Rec. 00-14</t>
  </si>
  <si>
    <t>(*) LBR has no quota for SWO, adjuted limit = negative balance from previous year - year catches</t>
  </si>
  <si>
    <t>(8)</t>
  </si>
  <si>
    <t>(8) Límite ajustado 2024 = Límite 2024 + Saldo 2023 (hasta MAX 25% Q2023)</t>
  </si>
  <si>
    <t>(8) Límite ajustado 2024 = Límite 2024 + 125% Saldo 2023</t>
  </si>
  <si>
    <t>Adjusted limit for 2024 = 889.4  + (.25)(711.5) = 1067.3*****</t>
  </si>
  <si>
    <t>***** reflects that 25% of the 2023 initial quota may be carried forward to 2024</t>
  </si>
  <si>
    <t>Adjusted limit for 2024 = 3907.0 - (200 t to Morocco) + (0.15)(3907)  = 4293.05 t</t>
  </si>
  <si>
    <t>Adjusted limit for 2024 = 100.0 - (100 t (Namibia (50 t), Cote d'Ivoire (25 t), Belize (25 t)) + 100.0</t>
  </si>
  <si>
    <t>Adjusted limit for 2024 = 1341.14 + 134.11 = 1475.25 t*****</t>
  </si>
  <si>
    <t>*****reflects that 10% of the 2023 initial quota may be carried forward to 2024</t>
  </si>
  <si>
    <t>[8] = 2024 limit + 125% 2023 Balance</t>
  </si>
  <si>
    <t>2023-2026: Brazil transfer 100 t to Japan (according to Para 3a of Rec. 22-06).</t>
  </si>
  <si>
    <t>(1) EU did not inform during the 2023 COMM regarding the amount of their 2022 underage they intend to use in 2024 as stated in Rec. 22-06 Para 4b)</t>
  </si>
  <si>
    <t>(1) Brazil did not inform during the 2023 COMM regarding the amount of their 2022 underage they intend to use in 2024 as stated in Rec. 22-06 Para 4b)</t>
  </si>
  <si>
    <t>2600-100 (1)</t>
  </si>
  <si>
    <t>The applied methodology is described in Recs. 15-03, 16-04, 17-03, 2021-03, 22-04 with reduction of TAC.</t>
  </si>
  <si>
    <t>2014-2022: 50t transferred to Belize (The quota transfers shall be reviewed annually in response to a request from an involved CPC).</t>
  </si>
  <si>
    <t>302+(0.25*242)</t>
  </si>
  <si>
    <t>IQ2025 -308-balance 2023</t>
  </si>
  <si>
    <t>JAPAN-N-ALB:Japan's 2023 adjusted limit = BET 2023 catch * 4.5% (Para8 of Rec21-04)</t>
  </si>
  <si>
    <t>JAPAN-S-ALB: 2024 adjusted limit = 1,630t(Limit)-47.45t(overage in 2022)(Para5 of Rec 22-06)+100(transfer from Brazil (Para 3 of Rec. 22-06))+100(transfer from Uruguay(Para 3 of Rec. 22-06))+100(transfer from South Africa (Para 3 of Rec. 22-06))</t>
  </si>
  <si>
    <t>JAPAN-N-SWO:Japan’s 2023 adjusted limit = 842t(Limit)+1587.81t(2022 carry over(Para 1C of Rec22-03)-150t(transfer to Morocco(Para 1A) of Rec 22-03)-35t (transfer to Canada((Para 1A of Rec. 22-03))-25t(transfer to Mauritania(Para 1A of Rec. 22-03)).</t>
  </si>
  <si>
    <t>JAPAN-N-SWO: adjusted limit in 2018 excluded 100 t transfered to Morocco, and 35 transferred to Canada [Rec. 17-02].</t>
  </si>
  <si>
    <t>JAPAN-S-SWO:Japan's 2024 adjusted limit  = 901t(Limit)+600.00t(2022 carry over(Para1(2) of Rec22-04))-50t(transfer to Namibia(Para5 of Rec.17-03))</t>
  </si>
  <si>
    <t>JAPAN-BIGEYE:Japan's 2024 adjusted limit = 13868.00(Para 4 of Rec.22-01)+1386.8(2022 carry over(13868*10%)(Para12 of Rec22-01)-600(transfer to China (Footnote2 of Para.8  of Rec.22-01))-300(transfer to European Union (Footnote 2 of Para.8 of Rec.22-01))</t>
  </si>
  <si>
    <t>JAPAN-N-BSH:Japan's 2024 adjusted limit = 3,055t(Para3 of Rec23-10)-43t(transfer to Morocco(Para3 of Rec23-10))</t>
  </si>
  <si>
    <t xml:space="preserve">Note: Because the 2023 Japanese fishing season is from August 1, 2023 to July 31,2024, all the figures for the 2023 catches are preliminary and do not include a part of the data in the 2023 fishing season. Japan will submit the final figures before the Compliance Committee in November that include all the catches. </t>
  </si>
  <si>
    <t>2024**</t>
  </si>
  <si>
    <t>(992*0.10)+992 - 223</t>
  </si>
  <si>
    <t>a) According to Recommendation 19-04 paragraph 5, Norway was initially  allocated a quota of 300 tonnes eastern BFT in 2020. Referring to Recommendation 19-04 Paragraph 7, Norway requested in panel 2 to transfer a maximum of 5 % of its 2019 quota to 2020. A total of 49,3 tonnes of the Norwegian catch quota (239 tonnes) was utilised in 2019, and 11,95 tonnes (5 % of 239 tonnes) may, according to Paragraph 7, be transferred to 2020.</t>
  </si>
  <si>
    <t>b) According to Recommendation 20-07 paragraph 1, Norway was initially  allocated a quota of 300 tonnes eastern BFT in 2021. Referring to Recommendation 20-04 Paragraph 2, Norway requested in panel 2 to transfer a maximum of 5 % of its 2020 quota to 2021. A total of 194.39 tonnes of the Adjusted Norwegian catch quota (311.95 tonnes) was utilised in 2020, and 15 tonnes (5 % of 300 tonnes) may, according to Paragraph 2, be transferred to 2021.</t>
  </si>
  <si>
    <t>c) According to Recommendation 21-08 paragraph 5, Norway was initially  allocated a quota of 300 tonnes eastern BFT in 2022. Referring to Recommendation 21-08 Paragraph 7, Norway requested in panel 2 to transfer a maximum of 5 % of its 2021 quota to 2022. A total of 157,68 tonnes of the Adjusted Norwegian catch quota (315 tonnes) was utilised in 2021, and 15 tonnes (5 % of 300 tonnes) may, according to Paragraph 7, be transferred to 2022.</t>
  </si>
  <si>
    <t>d) According to Recommendation 22-08 paragraph 4, Norway was initially  allocated a quota of 368 tonnes eastern BFT in 2023. Referring to Recommendation 22-08 Paragraph 6, Norway requested in panel 2 to transfer a maximum of 5 % of its 2022 quota to 2023. A total of 123,17 tonnes of the Adjusted Norwegian catch quota (315 tonnes) was utilised in 2022, and 15 tonnes (5 % of 300 tonnes) may, according to Paragraph 7, be transferred to 2023.</t>
  </si>
  <si>
    <t>302+(242*0.25)</t>
  </si>
  <si>
    <t>2024= 149.34 + 113.12 - transfer to Canada (60t) por Rec. 22-10</t>
  </si>
  <si>
    <t>=1168+50+50</t>
  </si>
  <si>
    <t>In 2024 USA transfers 50t to NAM and JPN transfers 50to to NAM</t>
  </si>
  <si>
    <t>SMAS</t>
  </si>
  <si>
    <t>Retention allowance</t>
  </si>
  <si>
    <t>Adjusted Retention allowance (A)</t>
  </si>
  <si>
    <t>[1] = 2024 limit + 2023 Balance</t>
  </si>
  <si>
    <t>Describe the rationale used in the application of overage / underage: Rec. 22-11 Para 12</t>
  </si>
  <si>
    <t>Limite ajustee 2024= Limite 2024+ max. Solde (Limite 2024*0.4) -transfert Canada (125 t) = 250 + (250 * 0.4) -125= 225 t</t>
  </si>
  <si>
    <t>le calcul du quota ajusté 2024 prend en compte le solde  MAX de 2022 (Limite 2022 * 0,1 = 417*0,1=41.7) auquel est ajouté la limite 2023 de 417 t) ce qui donne (41.7+417=458.70) t</t>
  </si>
  <si>
    <t>* (1)</t>
  </si>
  <si>
    <t>(1) 2025 Adjusted limit considers payback plan and 2023 overharvest</t>
  </si>
  <si>
    <t>* Adjusted limit 2024 = initial limit 2023 (5280) + available balance 2022 (0 as the 2022 overharvest was covered by BRA &amp; URY according to para 4f of the ICCAT Rec. 16-07, supplemented by ICCAT Rec. 21-05 ) -100t transferred to JPN</t>
  </si>
  <si>
    <t>* Adjusted limit 2025 = initial limit 2023 (5280) + available balance 2023(not to exceed 25% of initial quota) (1320) -100t transferred to JPN</t>
  </si>
  <si>
    <t>=1001+10%1001-50</t>
  </si>
  <si>
    <t>=302+(MAX. 25% from 2022 quota= 60.5t)</t>
  </si>
  <si>
    <t>= 170 + MAX 25% IQ 2023</t>
  </si>
  <si>
    <t xml:space="preserve">2024: The 2023 underage is greater than the maximum amount that can be carried over to 2024 (&lt;= 40% of original catch limit); hence the amount carried over is 50 t (0.4*125).Additionally, 75 t and 25 t were transferred to Belize and Morocco respectively; hence 100 is subtracted from the sum of the initial catch limit and the allowed carry over, to arrive at the final adjusted limit of 75 t. </t>
  </si>
  <si>
    <t>The calculation of the adjusted quota for 2022, 2023, 2024 takes into account the transfer of 2 t to Trinidad &amp; Tobago as provided by Rec. 19-05.</t>
  </si>
  <si>
    <t>9(A)=IQ2024+2t EU transfer provided by Rec. 19-05.</t>
  </si>
  <si>
    <t>Pour l'année 2024 le quota ajusté est de 3030  ( le quota initial 3000T+quota non consommé  des prises accessoires 2023 (30T)</t>
  </si>
  <si>
    <t>IQ2025+MAX 25% IQ2023</t>
  </si>
  <si>
    <t>2025: For 2025 the UK's initial quota is 752.8t. The UK's catches in 2023 were 112.47t. As a result the UK has a remaining balance of 438.29. The UK is permitted to carry over to 2025 25% of its intitial 2023 quota which equals 110.56. The quota for 2025 is therefore 752.8+110.56=863.36</t>
  </si>
  <si>
    <t>2025: The UK wishes to carry over 25% of its 2023 quota into 2025, 25% of 120 is 30 with the adjusted quota for 2025 therefore being 120+30=150.</t>
  </si>
  <si>
    <t>=IQ2025+MAX. 0.25*IQ2023</t>
  </si>
  <si>
    <t xml:space="preserve">2024: The UK's adjusted quota for N.ATL SWO is 49.67t in 2022. The UK's catches in 2022 were 3.35t. The UK will bank 40% (14t) of IQ in 2022 and carry this over to 2024. Therefore the adjusted limit in 2024 is 49.67t. </t>
  </si>
  <si>
    <t>2025: The UK will carry over 40% of its 2023 quota 14.7t into 2025 which means 14.7 + 35.67 = 49.94</t>
  </si>
  <si>
    <t>IQ2025+MAX 40% IQ2023</t>
  </si>
  <si>
    <t>=IQ2023+MAX. 0.10*IQ2021</t>
  </si>
  <si>
    <t>=IQ2024+MAX. 0.10*IQ2022</t>
  </si>
  <si>
    <t>=IQ2025+MAX. 0.10*IQ2023</t>
  </si>
  <si>
    <t xml:space="preserve">2024: The UK's quota for S.ATL SWO is 25t  for 2022. The UK's catches in 2022 were 0t, consequently the UK has a remaining balance of 25t. The UK is permitted to transfer a maximum of 10% of unused quota to 2024. When the 10% is applied to the IQ2022 and the quota for 2024 is added, the adjusted quota for 2024 is 27.50t. </t>
  </si>
  <si>
    <t>2025: The UK will carry over 10% of its 2023 quota into 2025 this results in an adjusted quota of 30t. Initial quota of 25+2.5=27.5</t>
  </si>
  <si>
    <t>IQ2025+Max5%IQ2024</t>
  </si>
  <si>
    <t>2024: The UK's initial quota for 2024 was 63t and this was supplemented by 5% of the UK's 2023 quota which equals 3.15 giving a total of 66.15t</t>
  </si>
  <si>
    <t>IQ2025+MAX100%IQ2024</t>
  </si>
  <si>
    <t xml:space="preserve">2024: The UK's initial quota for W.BFT in 2024 is 6.18. The UK can carry over 100% of the 2023 quota over in to 2024 this means 6.18+6.18=12.36. </t>
  </si>
  <si>
    <t>JAPAN-N-SWO: Japan’s 2024 adjusted limit = 842t(Limit)+1723.51t(2023 carry over(Para 1A of Rec23-04))-150t(transfer to Morocco(Para 1A of Rec 23-04))-35t(transfer to Canada(Para 1A of Rec. 23-04))-25t(transfer to Mauritania(Para 1A of Rec. 23-04))</t>
  </si>
  <si>
    <t>JAPAN-S-SWO: Japan's 2025 adjusted limit  = 901t(Limit)+600.00t(2023 carry over(Para 1(2) of Rec22-04))-50t(transfer to Namibia(Para 5 of Rec.17-03))</t>
  </si>
  <si>
    <t>JAPAN-E-BFT: Japan's 2024 adjusted limit = 3114.00t(Limit)(Para 4 of Rec22-08)+70.40t(2023 carry over (Para 6 of Rec. 22-08))</t>
  </si>
  <si>
    <t>JAPAN-N-BSH:Japan's 2025 adjusted limit = 3,055t(Para3 of Rec23-10)-43t(transfer to Morocco(Para3 of Rec23-10))</t>
  </si>
  <si>
    <t>JAPAN-S-SMA: Japan's 2024 adjusted limit = 62t(Para 2 of Rec22-11)</t>
    <phoneticPr fontId="1" type="noConversion"/>
  </si>
  <si>
    <t>JAPAN-W-BFT: Japan's 2024 adjusted limit = 664.52t(Limit)+47.28t(2023 carry over(Para 6 of Rec. 22-10)</t>
  </si>
  <si>
    <t>IQ(2024)+ BALANCE(2023)</t>
  </si>
  <si>
    <t>[1] = 2017 limit + balance 2016</t>
  </si>
  <si>
    <t>[2] = 2018 limit + balance 2017</t>
  </si>
  <si>
    <t>[3] = 2019 limit + balance 2018</t>
  </si>
  <si>
    <t>[4] = 2020 limit + balance 2019</t>
  </si>
  <si>
    <t>[5] = 2021 limit + balance 2020</t>
  </si>
  <si>
    <t>* Adjusted limit 2024 = initial limit 2024 (530) - 100t transferred to JPN. URY did not inform during the 2023 COMM regarding the amount of their 2022 underage they intend to use in 2024 as stated in Rec. 22-06 Para 4b)</t>
  </si>
  <si>
    <t>* Adjusted limit 2025 = initial limit 2025 (530) + available balance 2023 (not to exceed 25% of initial quota) (132.5) - 100t transferred to JPN</t>
  </si>
  <si>
    <t>2025: IQ2025 + 25% MAX2023 - 100t transferred to JPN</t>
  </si>
  <si>
    <t>=120+30</t>
  </si>
  <si>
    <t xml:space="preserve">2025 adjusted quota is 120+30 due to the inclusion of 2023 underage (MAX 25% IQ 2023) and 2025 initial catch quota.  </t>
  </si>
  <si>
    <t>Limit 2025 + 25%  2023 limit</t>
  </si>
  <si>
    <t>The underharvest of the EU in 2023 was of 2090.79t.  In line with Rec 22-06, the EU is entitled to carry over  441.25 t to 2025, corresponding to 25% of its initial quota for 2023.</t>
  </si>
  <si>
    <t>42.5+170</t>
  </si>
  <si>
    <t>The applied methodology is described in Recs. 13-05, 16-06, 17-04, 20-03/04, 21-04, 23-05</t>
  </si>
  <si>
    <t>New REC 23-05 / annual TAC of 47,251 t is established for the management period 2024-2026. CPCs other than those mentioned in paragraph 6 shall limit their annual catches to 302 t (Brazil).</t>
  </si>
  <si>
    <t xml:space="preserve">2015-2023: 25t transferred to Mauritania (on the condition that Mauritania submit its development plan per paragraph 5 of Re. 22-03). </t>
  </si>
  <si>
    <t>Rec 16-04, 17-03, 22-04: Brazil may harvest up to 200 t of its annual catch limit from SWO_S within the area between 5 degrees North latitude and 15 degrees North latitude</t>
  </si>
  <si>
    <t>New Rec 23-04: Brazil 50 t; Brazil transfer 25 t to Mauritania (2024)</t>
  </si>
  <si>
    <t>50+(0.40*50)-25</t>
  </si>
  <si>
    <t>3940+(0.1*3940)-50</t>
  </si>
  <si>
    <t>Adjusted limit for 2025=initial quota(240)+240*25%(not exceeding the balance of 2023)=300</t>
  </si>
  <si>
    <t>IQ2025+25%Q2023</t>
  </si>
  <si>
    <r>
      <t>2020</t>
    </r>
    <r>
      <rPr>
        <b/>
        <vertAlign val="superscript"/>
        <sz val="10"/>
        <rFont val="Cambria"/>
        <family val="1"/>
      </rPr>
      <t>a</t>
    </r>
  </si>
  <si>
    <r>
      <t>2021</t>
    </r>
    <r>
      <rPr>
        <b/>
        <vertAlign val="superscript"/>
        <sz val="10"/>
        <rFont val="Cambria"/>
        <family val="1"/>
      </rPr>
      <t>b</t>
    </r>
  </si>
  <si>
    <r>
      <t>2022</t>
    </r>
    <r>
      <rPr>
        <b/>
        <vertAlign val="superscript"/>
        <sz val="10"/>
        <rFont val="Cambria"/>
        <family val="1"/>
      </rPr>
      <t>c</t>
    </r>
  </si>
  <si>
    <r>
      <t>2023</t>
    </r>
    <r>
      <rPr>
        <b/>
        <vertAlign val="superscript"/>
        <sz val="10"/>
        <rFont val="Cambria"/>
        <family val="1"/>
      </rPr>
      <t>d</t>
    </r>
  </si>
  <si>
    <t>Adjusted limited for 2025=302(initial quota)+55.93(carryover 2023)=357.93</t>
  </si>
  <si>
    <t>2025 adjusted quota is 6425.33 t (=5521.1+4416.9*0.25-200)  due to the inclusion of 2022 underage and 2024 initial catch quota and the deduction of transfers of 200 t to Belize.</t>
  </si>
  <si>
    <t>Limit 2025 + 2023 balance</t>
  </si>
  <si>
    <t>(9)</t>
  </si>
  <si>
    <t>Adjusted limit for 2025 = 889.4  + (.25)(889,4) = 1111.75******</t>
  </si>
  <si>
    <t>******reflects that 25% of the 2024 initial quota may be carried forward to 2025</t>
  </si>
  <si>
    <t>(9) Límite ajustado 2025 = Límite 2025 + Saldo 2024 (hasta MAX 25% Q2024)</t>
  </si>
  <si>
    <t>Limit 2025 + MAX5% 2023 (1075,15)</t>
  </si>
  <si>
    <t>Limit 2026 + 25%  2024 limit</t>
  </si>
  <si>
    <t>2026*</t>
  </si>
  <si>
    <t>?</t>
  </si>
  <si>
    <t>IQ(2025)+125% BALANCE(2023)</t>
  </si>
  <si>
    <t>[9] = 2025 limit + 125% 2024 Balance</t>
  </si>
  <si>
    <t>[9]= Límite de 2025 + 125% BALANCE de 2024</t>
  </si>
  <si>
    <t>IQ(2025)+ BALANCE(2024)</t>
  </si>
  <si>
    <t>(9) Límite ajustado 2025 = Límite 2025 + 125% Saldo 2024</t>
  </si>
  <si>
    <r>
      <t>Limit 202</t>
    </r>
    <r>
      <rPr>
        <sz val="10"/>
        <color rgb="FFFF0000"/>
        <rFont val="Cambria"/>
        <family val="1"/>
      </rPr>
      <t>5</t>
    </r>
    <r>
      <rPr>
        <sz val="10"/>
        <rFont val="Cambria"/>
        <family val="1"/>
      </rPr>
      <t xml:space="preserve"> + MAX5% 2023 (1075,15)</t>
    </r>
  </si>
  <si>
    <t>2025: In accordance with paragraph 6 of Rec. 22-08, Algeria requests a transfer of 29,65 t (1.44%) of its 2024 unused quota to 2025. therefore, the total adjusted national quota will be 2,052,65 t</t>
  </si>
  <si>
    <t>Q2025+ max 5%Q2024=2023+34,65</t>
  </si>
  <si>
    <t>n.a</t>
  </si>
  <si>
    <t>JAPAN-E-BFT: Japan's 2025 adjusted limit = 3114.00t(Limit)(Para 4 of Rec.24-05)+155.7t(2024 carry over (Para 6 of Rec. 24-05))</t>
  </si>
  <si>
    <t>JAPAN-W-BFT: Japan's 2025 adjusted limit = 664.52t(Limit)+19.14t(2024 carry over(Para 6 of Rec. 22-10))</t>
    <phoneticPr fontId="1" type="noConversion"/>
  </si>
  <si>
    <t>221+50+(278.72-273.55)</t>
  </si>
  <si>
    <t>221+50+(276.17-267.99)</t>
  </si>
  <si>
    <t>Quota ajusté 2025: 3870 tonnes = quota initial alloué au Maroc 2025 (3700 t) + 120 tonnes (reliquat de l'année 2024) + 50 t (transféré de la Namibie au Maroc) Rec. 22-08, 23-06</t>
  </si>
  <si>
    <t>Pour l'année 2025, le quota ajusté est de 3030 (le quota initial 3000T+quota non consommé  des prises accessoires 2024 (20,62T)</t>
  </si>
  <si>
    <t>=10340+450+2135-1425.02</t>
  </si>
  <si>
    <t>2025 adjusted quota is 11499.98 t (=10340+450) due to the inclusion of 2023 underage and 2025 initial catch quota + 2135 t (Rec. 22-06 Para 4b) as complement from total underage from the TAC - 1425.02 t (overage in 2024)</t>
  </si>
  <si>
    <t xml:space="preserve">9 : limite 2023 + 40% limite de capture initiale (Rec.22-03) + 40 tonnes transférées de l'Union Européenne (REC 17-02)=40+(40*0.4)+40=96 </t>
  </si>
  <si>
    <t>IQ(2025)+125% BALANCE(2024)</t>
  </si>
  <si>
    <t>Transfer of 200t from Chinese Taipei to Belize in 2022, 2023 and 2024</t>
  </si>
  <si>
    <t>50+(0.40*50)</t>
  </si>
  <si>
    <t>IQ2026 -308-balance 2024</t>
  </si>
  <si>
    <t>SMA</t>
  </si>
  <si>
    <t>2025 = Initial allocation + underharvest from 2024 (49.814)</t>
  </si>
  <si>
    <t>Adjusted limit for 2025=initial quota(111)+available balance of 202 (10t)=121t</t>
  </si>
  <si>
    <t>Adjusted limit for 2025=initial quota(313)+313*10%(carryover 2023)= 344.3</t>
  </si>
  <si>
    <t>Adjusted limit for 2025=initial quota(4624.07)+ (IQ2023)50.15+350 t transfer from Japan=5024.22</t>
  </si>
  <si>
    <t>=270*(1+40%)</t>
  </si>
  <si>
    <t>2025 adjusted quota is 378 t (=270+270*40%) due to the inclusion of 2023 underage and 2025 initial catch quota.</t>
  </si>
  <si>
    <t>No carryover from 2025 underage to 2027 (Rec 22-06, para 5)</t>
  </si>
  <si>
    <t>2024 adjusted quota is 504.9 t (=459 + 459*10%) due to the inclusion of 2023 underage and 2024 initial catch quota.</t>
  </si>
  <si>
    <t>2025 adjusted quota is 504.9 t (=459 + 459*10%) due to the inclusion of 2024 underage and 2025 initial catch quota.</t>
  </si>
  <si>
    <t>'=101-50</t>
  </si>
  <si>
    <t>2025 adjusted quota is 51 t (=101-50) due to the transfer of 50t to Korea.</t>
  </si>
  <si>
    <t>=9226.41+(11679*10%)+223</t>
  </si>
  <si>
    <t>=9226.41+(9226.41*10%)+223</t>
  </si>
  <si>
    <t>2021 adjusted quota is 10671.31 t = 9226.41 (initial quota) + 11679*10% (carry over of 10% of 2019 initial quota pursuant to Rec.19-02) +223 (transfer from Korea)</t>
  </si>
  <si>
    <t>2022 adjusted quota is 10372.05 t = 9226.41 (initial quota) + 9226.41*10% (carry over of 10% of 2020 initial quota pursuant to Rec.21-01) +223 (transfer from Korea).</t>
  </si>
  <si>
    <t>2023 adjusted quota is 10372.05 t = 9226.41 (initial quota) + 9226.41*10% (carry over of 10% of 2021 initial quota pursuant to Rec.22-01) +223 (transfer from Korea).</t>
  </si>
  <si>
    <t>2024 adjusted quota is 10372.05 t = 9226.41 (initial quota) + 9226.41*10% (carry over of 10% of 2022 initial quota pursuant to Rec.23-01) +223 (transfer from Korea).</t>
  </si>
  <si>
    <t>[10]</t>
  </si>
  <si>
    <t>[10]= Límite de 2025 + trasferencia de Estados Unidos (300 t) + balance de 2024</t>
  </si>
  <si>
    <t>50 + Balance 2022</t>
  </si>
  <si>
    <t>2023(***)</t>
  </si>
  <si>
    <t>2024(***)</t>
  </si>
  <si>
    <t>2025(***)</t>
  </si>
  <si>
    <t>2024 limit + 0,15*2022 limit - 40t SPM -280 CAN</t>
  </si>
  <si>
    <t>2025 limit + 2023 balance - 40t SPM -200 CAN</t>
  </si>
  <si>
    <t xml:space="preserve">Limit 2025 +  2023 balance </t>
  </si>
  <si>
    <t>In 2024, the underharvest for the EU was 1712,73 t, which is more than the maximum allowed 5% provided in the Rec. 22-08. Therefore, the EU is entitled to carry over 1075,15t to 2025 if the current management arrangments are maintained.</t>
  </si>
  <si>
    <t>2025 Limit - 2t</t>
  </si>
  <si>
    <t>9(A) = Limit 2024 + Carry over from Balance 2022 MAX. 10% 393.648 (393.648) Rec. 22-01 Para 12</t>
  </si>
  <si>
    <t>JAPAN-N-ALB: Japan's 2024 adjusted limit = BET 2024 catch * 4.5% (Para 8 of Rec.23-05)</t>
  </si>
  <si>
    <t>JAPAN-N-ALB: Japan's 2025 adjusted limit = BET 2025 catch * 4.5% (Para 8 of Rec.23-05)</t>
  </si>
  <si>
    <t>JAPAN-S-ALB: 2025 adjusted limit = 1,630t(Limit)+259.35t(2023 carry over(Para 4 of Rec. 22-06))+100t(transfer from Brazil (Para 3 of Rec. 22-06))+100t(transfer from Uruguay(Para 3 of Rec. 22-06))+100t(transfer from South Africa (Para 3 of Rec. 22-06))+148.15t(up to 25% of initial quita(407.5-259.35)(Para 4b) of Rec. 22-06))</t>
  </si>
  <si>
    <t>JAPAN-N-SWO: Japan’s 2025 adjusted limit = 842t(Limit)+1,991.26t(2024 carry over(Para 12 of Rec.24-10))-150t(transfer to Morocco(Para 7 of Rec. 24-10))-25t(transfer to Mauritania(Para 7 of Rec. 24-10))</t>
  </si>
  <si>
    <t>JAPAN-BUM: Japan's 2025 adjusted limit = 328.1t(Limit)(Para 2 of Rec.19-05)</t>
  </si>
  <si>
    <t>JAPAN-WHM・SPF: Japan's 2024 adjusted limit =35t(Limit)(Para 2 of Rec.19-05)</t>
  </si>
  <si>
    <t>JAPAN-WHM・SPF: Japan's 2025 adjusted limit =35t(Limit)(Para 2 of Rec.19-05)</t>
  </si>
  <si>
    <t>JAPAN-S-SMA: Japan's 2025 adjusted limit = 62t(Para 2 of Rec.22-11)</t>
  </si>
  <si>
    <t>2025**</t>
    <phoneticPr fontId="24" type="noConversion"/>
  </si>
  <si>
    <t>50+(50*0.4)</t>
    <phoneticPr fontId="1" type="noConversion"/>
  </si>
  <si>
    <t>50+(50*0.1)</t>
    <phoneticPr fontId="1" type="noConversion"/>
  </si>
  <si>
    <t>2025*</t>
    <phoneticPr fontId="1" type="noConversion"/>
  </si>
  <si>
    <t>Quota ajusté 2026: 377,50 tonnes  = quota initial alloué au Maroc 2026 (302 t) + 75,50 tonnes ( reliquat= 25% du quota initial 2024 (302 tonnes) ). Rec ICCAT 21-04, 23-05</t>
  </si>
  <si>
    <t>Quota ajusté 2026: 1488,5 tonnes = quota initial alloué au Maroc (1186 t) + 127,5 t (reliquat= 15% du quota initial 2024 (850 t) + 150 t (transférées par le Japon au Maroc)+ 25 t (transférées par le Trinité-et-Tobago). Rec ICCAT  24-10</t>
  </si>
  <si>
    <t>Quota ajusté 2025: 08 tonnes = quota initial alloué au Maroc 2025 (10t) -02 tonnes (surconsommation). Recommandation ICCAT 19-05/para 3 amendant la Rec 15-05</t>
  </si>
  <si>
    <t>Q31+P35</t>
  </si>
  <si>
    <t>2025= 149.34+186.46-transfer to Canada (***) por Rec. 22-10</t>
  </si>
  <si>
    <t>2021=(58.90)</t>
  </si>
  <si>
    <t>2022=(58.90)</t>
  </si>
  <si>
    <t>2023=(58.90)</t>
  </si>
  <si>
    <t>2024=(58.90)</t>
  </si>
  <si>
    <r>
      <t>2024</t>
    </r>
    <r>
      <rPr>
        <b/>
        <vertAlign val="superscript"/>
        <sz val="10"/>
        <rFont val="Cambria"/>
        <family val="1"/>
      </rPr>
      <t>e</t>
    </r>
  </si>
  <si>
    <t>e) According to Recommendation 22-08 paragraph 4, Norway was initially  allocated a quota of 368 tonnes eastern BFT in 2024. Referring to Recommendation 22-08 Paragraph 6, Norway requested in panel 2 to transfer a maximum of 5 % of its 2023 quota to 2024. A total of 117,44 tonnes of the Adjusted Norwegian catch quota (368 tonnes) was utilised in 2023, and 18,4 tonnes (5 % of 368 tonnes) may, according to Paragraph 6, be transferred to 2024.</t>
  </si>
  <si>
    <t>le calcul du quota ajusté 2025 prend en compte le solde  MAX de 2024 (Limite 2024 * 0.2 = 417*0,1=41.7) auquel est ajouté la limite 2025 (417 t) ce qui donne (41,7+417=458,70) t</t>
  </si>
  <si>
    <t>le calcul du quota ajusté 2025 prend en compte le solde  MAX de 2024 (Limite 2024 * 0.2 = 417*0.2=83.4) auquel est ajouté la limite 2025 (417 t) ce qui donne (83.4+417=500.4) t</t>
  </si>
  <si>
    <t>Limite ajustée 2025: limite initiale (2546, t) à laquelle est soustraite 137, 77 t en application pour 2025 du plan de remboursement de 137,77 t sur 10 ans (2023-2032): 1322,73 t-137, 77 t= 2408, 23 t</t>
  </si>
  <si>
    <t>[1] = QI2025-Balance2024</t>
  </si>
  <si>
    <t>* Adjusted limit 2026 = initial limit 2026 (5280) + available balance 2024(not to exceed 25% of initial quota, i.e. max.25% of 5280t = 1320t) (297.7) - 100t transferred to Japan</t>
  </si>
  <si>
    <r>
      <t>From 2016 to</t>
    </r>
    <r>
      <rPr>
        <sz val="10"/>
        <color rgb="FFFF0000"/>
        <rFont val="Cambria"/>
        <family val="1"/>
      </rPr>
      <t xml:space="preserve"> 2024</t>
    </r>
    <r>
      <rPr>
        <sz val="10"/>
        <rFont val="Cambria"/>
        <family val="1"/>
      </rPr>
      <t>, South Africa has transferred 50t to Namibia in accordance with Recs. 16-04/17-03/22-04.</t>
    </r>
  </si>
  <si>
    <t>(**) Türkiye transfers to EU 0.5 t in 2025</t>
  </si>
  <si>
    <t>(**)</t>
  </si>
  <si>
    <t>2026: For 2026 the UK's initial quota is 752.8t. The UK's catches in 2024 were 8.23t. As a result, the UK has a remaining balance of 855.13. The UK is permitted to carry over to 2026 25% of its initial 2024 quota which equals 188.2. The quota for 2026 is therefore 752.8+188.2 = 941</t>
  </si>
  <si>
    <t>2026</t>
  </si>
  <si>
    <t>IQ2026+MAX 25% IQ 2024</t>
  </si>
  <si>
    <t>2026: The UK wishes to carry over 25% of its 2024 quota into 2026, 25% of 120 is 30 with the adjusted quota for 2025 therefore being 120+30=150</t>
  </si>
  <si>
    <t>=IQ2026+MAX. 0.25*IQ2024</t>
  </si>
  <si>
    <t>IQ2025+MAX 40% IQ 2024</t>
  </si>
  <si>
    <t>2026: The UK will carry over 40% of its 2024 quota 14.7t into 2025 which means 14.7 + 35.67 = 49.94</t>
  </si>
  <si>
    <t>2026: The UK will carry over 10% of its 2023 quota into 2025 this results in an adjusted quota of 30t. Initial quota of 25+2.5=27.5</t>
  </si>
  <si>
    <t xml:space="preserve">2025: The UK’s initial quota for 2025 was 63t and this was supplemented by 5% of the UK’s 2024 quota which equals 3.15 giving a total of 66.15t. </t>
  </si>
  <si>
    <t>=IQ2025+MAX. 0.10*IQ2024</t>
  </si>
  <si>
    <t>IQ2026+IQ2025</t>
  </si>
  <si>
    <t>IQ2025+MAX 40% IQ 2025</t>
  </si>
  <si>
    <t xml:space="preserve">2025: The UK's initial quota for BFT-W in 2025 is 6.18. The UK can carry over 100% of the 2024 quota over in to 2025 this means 6.18+6.18=12.36. </t>
  </si>
  <si>
    <t>Adjusted limit for 2025 = 3907.0 - (300 t to Costa Rica) + (0.15)(3907)  = 4193.05 t</t>
  </si>
  <si>
    <t>Adjusted limit for 2025 = 100.0 - (100 t (Namibia (50 t), Cote d'Ivoire (25 t), Belize (25 t)) + 100.0</t>
  </si>
  <si>
    <t>Adjusted limit for 2025 = 1341.14 - 141.18 = 1,199.96 t</t>
  </si>
  <si>
    <t>2025 adjusted quota is 10283.48 t = 9152.6 (initial quota) +9152.6*10% (carry over of 10% of 2022 initial quota pursuant to Rec.22-01) +223 (transfer from Korea).</t>
  </si>
  <si>
    <t>=9151.19+9.48+223</t>
  </si>
  <si>
    <t>Limit 2025+limit 2023*0,10</t>
  </si>
  <si>
    <t>JAPAN-BIGEYE:Japan's 2025 adjusted limit = 13865.86(Para 4 of Rec.22-01)+984.02(2023 carry over)(Para12 of Rec22-01)-350(transfer to China (Para.12 of Rec.24-01))</t>
  </si>
  <si>
    <t>[2] IQ(2025)+125% BALANCE(2024)</t>
  </si>
  <si>
    <t>(1) Límite ajustado en 2026 = Límite 2024 + Saldo 2024 (hasta 25% limite original de 2024)</t>
  </si>
  <si>
    <t>(2) Límite ajustado en 2026 = Límite 2024 + Saldo 2024 (hasta 25% limite original de 2024)</t>
  </si>
  <si>
    <t>JAPAN-N-ALB: Japan's 2026 adjusted limit = BET 2026 catch * 4.5% (Para 8 of Rec.23-05)</t>
    <phoneticPr fontId="1" type="noConversion"/>
  </si>
  <si>
    <t>JAPAN-S-ALB: 2026 adjusted limit = 1,630t(Limit)+21.05t(2024 carry over(Para 4 of Rec. 22-06))+100t(transfer from Brazil (Para 3 of Rec. 22-06))+100t(transfer from Uruguay(Para 3 of Rec. 22-06))+100t(transfer from South Africa (Para 3 of Rec. 22-06))+386.45t(up to 25% of initial quita(407.5-21.05)(Para 4b) of Rec. 22-06))</t>
  </si>
  <si>
    <t>JAPAN-N-SWO: Japan’s 2026 adjusted limit = 842t(Limit)+NAt(2025 carry over(Para 12 of Rec.24-10))-150t(transfer to Morocco(Para 7 of Rec. 24-10))-25t(transfer to Mauritania(Para 7 of Rec. 24-10))</t>
    <phoneticPr fontId="1" type="noConversion"/>
  </si>
  <si>
    <t>JAPAN-N-BSH: Japan's 2026 adjusted limit = 3,055t(Para 3 of Rec.23-10)-43t(transfer to Morocco(Para 3 of Rec.23-10))</t>
    <phoneticPr fontId="1" type="noConversion"/>
  </si>
  <si>
    <t>JAPAN-S-SMA: Japan's 2026 adjusted limit = 62t(Para 2 of Rec.22-11)</t>
    <phoneticPr fontId="1" type="noConversion"/>
  </si>
  <si>
    <t>S-BSH</t>
  </si>
  <si>
    <t>JAPAN-S-BSH: Japan's 2026 adjusted limit = 1,520t (para 4 a) of Rec. 23-11)</t>
  </si>
  <si>
    <t>(3) Adjusted quota for 2025 = 2600 t (Quota) + 128t from SYR = 2728.00t</t>
  </si>
  <si>
    <r>
      <t>2025</t>
    </r>
    <r>
      <rPr>
        <b/>
        <vertAlign val="superscript"/>
        <sz val="10"/>
        <rFont val="Cambria"/>
        <family val="1"/>
      </rPr>
      <t>f</t>
    </r>
  </si>
  <si>
    <t>SWOMed</t>
  </si>
  <si>
    <t>=AQ2024-catches2024+1/2reserve2024</t>
  </si>
  <si>
    <t>=AQ2023-catches2023+1/2reserve2023</t>
  </si>
  <si>
    <t>=1/2reserve2022-catches2022</t>
  </si>
  <si>
    <t xml:space="preserve">COC-304/25 Annex 1_REV4: APPLICATION OF OVER/UNDERHARVEST / APPLICATION DE SUR/SOUSONSOMMATION / APLICACIÓN DE EXCESO/REMANENTE DE CAPTURA </t>
  </si>
  <si>
    <t>LIBYA</t>
  </si>
  <si>
    <t>=1/2reserve2019-catches2019</t>
  </si>
  <si>
    <t>=AQ2020-catches2020+1/2reserve2020</t>
  </si>
  <si>
    <t>=AQ2021-catches2021+1/2reserve2021</t>
  </si>
  <si>
    <t>=AQ2022-catches2022+1/2reserve2022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</si>
</sst>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1" formatCode="_-* #,##0_-;\-* #,##0_-;_-* &quot;-&quot;_-;_-@_-"/>
    <numFmt numFmtId="43" formatCode="_-* #,##0.00_-;\-* #,##0.00_-;_-* &quot;-&quot;??_-;_-@_-"/>
    <numFmt numFmtId="164" formatCode="0.0_ "/>
    <numFmt numFmtId="165" formatCode="#,##0.00_ "/>
    <numFmt numFmtId="166" formatCode="0.0%"/>
    <numFmt numFmtId="167" formatCode="0.00_);[Red]\(0.00\)"/>
    <numFmt numFmtId="168" formatCode="0.00_);\(0.00\)"/>
    <numFmt numFmtId="169" formatCode="0.000"/>
  </numFmts>
  <fonts count="31" x14ac:knownFonts="1">
    <font>
      <sz val="11"/>
      <color theme="1"/>
      <name val="Calibri"/>
      <family val="2"/>
      <scheme val="minor"/>
    </font>
    <font>
      <sz val="10"/>
      <name val="Arial"/>
      <family val="2"/>
    </font>
    <font>
      <sz val="12"/>
      <name val="Times New Roman"/>
      <family val="1"/>
    </font>
    <font>
      <sz val="10"/>
      <color rgb="FF000000"/>
      <name val="Arial"/>
      <family val="2"/>
    </font>
    <font>
      <sz val="10"/>
      <name val="Arial"/>
      <family val="2"/>
    </font>
    <font>
      <b/>
      <sz val="10"/>
      <name val="Cambria"/>
      <family val="1"/>
    </font>
    <font>
      <sz val="10"/>
      <color rgb="FFFF0000"/>
      <name val="Cambria"/>
      <family val="1"/>
    </font>
    <font>
      <sz val="10"/>
      <color theme="1"/>
      <name val="Cambria"/>
      <family val="1"/>
    </font>
    <font>
      <sz val="10"/>
      <name val="Arial"/>
      <family val="2"/>
    </font>
    <font>
      <sz val="11"/>
      <color theme="1"/>
      <name val="Calibri"/>
      <family val="2"/>
      <scheme val="minor"/>
    </font>
    <font>
      <sz val="8"/>
      <name val="Calibri"/>
      <family val="2"/>
      <scheme val="minor"/>
    </font>
    <font>
      <sz val="10"/>
      <name val="Cambria"/>
      <family val="1"/>
    </font>
    <font>
      <sz val="10"/>
      <name val="Times New Roman"/>
      <family val="1"/>
    </font>
    <font>
      <b/>
      <sz val="10"/>
      <name val="Times New Roman"/>
      <family val="1"/>
    </font>
    <font>
      <vertAlign val="superscript"/>
      <sz val="10"/>
      <name val="Cambria"/>
      <family val="1"/>
    </font>
    <font>
      <sz val="11"/>
      <name val="Times New Roman"/>
      <family val="1"/>
    </font>
    <font>
      <sz val="11"/>
      <name val="Calibri"/>
      <family val="2"/>
      <scheme val="minor"/>
    </font>
    <font>
      <b/>
      <sz val="10"/>
      <name val="Calibri"/>
      <family val="2"/>
      <scheme val="minor"/>
    </font>
    <font>
      <sz val="11"/>
      <name val="Cambria"/>
      <family val="1"/>
    </font>
    <font>
      <b/>
      <sz val="11"/>
      <name val="Cambria"/>
      <family val="1"/>
    </font>
    <font>
      <sz val="10"/>
      <name val="Calibri Light"/>
      <family val="1"/>
      <scheme val="major"/>
    </font>
    <font>
      <strike/>
      <sz val="10"/>
      <name val="Cambria"/>
      <family val="1"/>
    </font>
    <font>
      <b/>
      <sz val="12"/>
      <name val="Cambria"/>
      <family val="1"/>
    </font>
    <font>
      <b/>
      <vertAlign val="superscript"/>
      <sz val="10"/>
      <name val="Cambria"/>
      <family val="1"/>
    </font>
    <font>
      <b/>
      <sz val="10"/>
      <color theme="1"/>
      <name val="Cambria"/>
      <family val="1"/>
    </font>
    <font>
      <b/>
      <sz val="10"/>
      <name val="Cambria"/>
      <family val="1"/>
      <charset val="1"/>
    </font>
    <font>
      <sz val="10"/>
      <name val="Cambria"/>
      <family val="1"/>
      <charset val="1"/>
    </font>
    <font>
      <sz val="11"/>
      <color rgb="FFFF0000"/>
      <name val="Calibri"/>
      <family val="2"/>
      <scheme val="minor"/>
    </font>
    <font>
      <sz val="10"/>
      <color rgb="FFFF0000"/>
      <name val="Times New Roman"/>
      <family val="1"/>
    </font>
    <font>
      <sz val="11"/>
      <color rgb="FFFF0000"/>
      <name val="Cambria"/>
      <family val="1"/>
    </font>
    <font>
      <sz val="10"/>
      <color rgb="FFFF0000"/>
      <name val="Calibri Light"/>
      <family val="1"/>
      <scheme val="major"/>
    </font>
  </fonts>
  <fills count="2">
    <fill>
      <patternFill patternType="none"/>
    </fill>
    <fill>
      <patternFill patternType="gray125"/>
    </fill>
  </fills>
  <borders count="44">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style="thin">
        <color indexed="64"/>
      </left>
      <right/>
      <top/>
      <bottom/>
      <diagonal/>
    </border>
    <border>
      <left style="hair">
        <color indexed="64"/>
      </left>
      <right style="thin">
        <color indexed="64"/>
      </right>
      <top style="thin">
        <color indexed="64"/>
      </top>
      <bottom style="thin">
        <color indexed="64"/>
      </bottom>
      <diagonal/>
    </border>
    <border>
      <left style="thin">
        <color theme="1"/>
      </left>
      <right style="thin">
        <color theme="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right/>
      <top style="thin">
        <color rgb="FF000000"/>
      </top>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right style="thin">
        <color indexed="8"/>
      </right>
      <top style="thin">
        <color indexed="8"/>
      </top>
      <bottom/>
      <diagonal/>
    </border>
  </borders>
  <cellStyleXfs count="11">
    <xf numFmtId="0" fontId="0" fillId="0" borderId="0"/>
    <xf numFmtId="0" fontId="1" fillId="0" borderId="0"/>
    <xf numFmtId="0" fontId="1" fillId="0" borderId="0"/>
    <xf numFmtId="0" fontId="1" fillId="0" borderId="0"/>
    <xf numFmtId="0" fontId="3" fillId="0" borderId="0"/>
    <xf numFmtId="0" fontId="4" fillId="0" borderId="0"/>
    <xf numFmtId="0" fontId="8" fillId="0" borderId="0"/>
    <xf numFmtId="0" fontId="1" fillId="0" borderId="0"/>
    <xf numFmtId="41" fontId="9" fillId="0" borderId="0" applyFont="0" applyFill="0" applyBorder="0" applyAlignment="0" applyProtection="0"/>
    <xf numFmtId="38" fontId="1" fillId="0" borderId="0" applyFont="0" applyFill="0" applyBorder="0" applyAlignment="0" applyProtection="0">
      <alignment vertical="center"/>
    </xf>
    <xf numFmtId="0" fontId="9" fillId="0" borderId="0"/>
  </cellStyleXfs>
  <cellXfs count="723">
    <xf numFmtId="0" fontId="0" fillId="0" borderId="0" xfId="0"/>
    <xf numFmtId="0" fontId="17" fillId="0" borderId="0" xfId="0" applyFont="1"/>
    <xf numFmtId="0" fontId="5" fillId="0" borderId="0" xfId="0" applyFont="1"/>
    <xf numFmtId="0" fontId="11" fillId="0" borderId="0" xfId="0" applyFont="1"/>
    <xf numFmtId="0" fontId="11" fillId="0" borderId="0" xfId="0" applyFont="1" applyAlignment="1">
      <alignment wrapText="1"/>
    </xf>
    <xf numFmtId="0" fontId="20" fillId="0" borderId="0" xfId="0" applyFont="1" applyAlignment="1">
      <alignment horizontal="left" wrapText="1"/>
    </xf>
    <xf numFmtId="0" fontId="5" fillId="0" borderId="1" xfId="0" applyFont="1" applyBorder="1"/>
    <xf numFmtId="0" fontId="5" fillId="0" borderId="2" xfId="0" applyFont="1" applyBorder="1"/>
    <xf numFmtId="0" fontId="11" fillId="0" borderId="0" xfId="1" applyFont="1"/>
    <xf numFmtId="0" fontId="5" fillId="0" borderId="4" xfId="0" applyFont="1" applyBorder="1"/>
    <xf numFmtId="0" fontId="11" fillId="0" borderId="1" xfId="0" applyFont="1" applyBorder="1"/>
    <xf numFmtId="0" fontId="11" fillId="0" borderId="4" xfId="0" applyFont="1" applyBorder="1"/>
    <xf numFmtId="2" fontId="11" fillId="0" borderId="4" xfId="0" applyNumberFormat="1" applyFont="1" applyBorder="1"/>
    <xf numFmtId="1" fontId="11" fillId="0" borderId="4" xfId="0" applyNumberFormat="1" applyFont="1" applyBorder="1"/>
    <xf numFmtId="1" fontId="11" fillId="0" borderId="4" xfId="0" applyNumberFormat="1" applyFont="1" applyBorder="1" applyAlignment="1">
      <alignment wrapText="1"/>
    </xf>
    <xf numFmtId="2" fontId="5" fillId="0" borderId="4" xfId="0" applyNumberFormat="1" applyFont="1" applyBorder="1"/>
    <xf numFmtId="0" fontId="11" fillId="0" borderId="7" xfId="0" applyFont="1" applyBorder="1"/>
    <xf numFmtId="0" fontId="11" fillId="0" borderId="15" xfId="0" applyFont="1" applyBorder="1"/>
    <xf numFmtId="0" fontId="11" fillId="0" borderId="34" xfId="0" applyFont="1" applyBorder="1"/>
    <xf numFmtId="0" fontId="11" fillId="0" borderId="36" xfId="0" applyFont="1" applyBorder="1"/>
    <xf numFmtId="0" fontId="17" fillId="0" borderId="36" xfId="0" applyFont="1" applyBorder="1"/>
    <xf numFmtId="0" fontId="5" fillId="0" borderId="37" xfId="0" applyFont="1" applyBorder="1"/>
    <xf numFmtId="0" fontId="11" fillId="0" borderId="6" xfId="0" applyFont="1" applyBorder="1" applyAlignment="1">
      <alignment horizontal="left" wrapText="1"/>
    </xf>
    <xf numFmtId="0" fontId="17" fillId="0" borderId="6" xfId="0" applyFont="1" applyBorder="1"/>
    <xf numFmtId="0" fontId="5" fillId="0" borderId="3" xfId="0" applyFont="1" applyBorder="1"/>
    <xf numFmtId="0" fontId="6" fillId="0" borderId="4" xfId="0" applyFont="1" applyBorder="1"/>
    <xf numFmtId="2" fontId="6" fillId="0" borderId="4" xfId="0" applyNumberFormat="1" applyFont="1" applyBorder="1"/>
    <xf numFmtId="2" fontId="24" fillId="0" borderId="4" xfId="0" applyNumberFormat="1" applyFont="1" applyBorder="1"/>
    <xf numFmtId="1" fontId="24" fillId="0" borderId="4" xfId="0" applyNumberFormat="1" applyFont="1" applyBorder="1" applyAlignment="1">
      <alignment wrapText="1"/>
    </xf>
    <xf numFmtId="0" fontId="11" fillId="0" borderId="38" xfId="0" applyFont="1" applyBorder="1"/>
    <xf numFmtId="0" fontId="11" fillId="0" borderId="39" xfId="0" applyFont="1" applyBorder="1"/>
    <xf numFmtId="0" fontId="17" fillId="0" borderId="33" xfId="0" applyFont="1" applyBorder="1"/>
    <xf numFmtId="0" fontId="11" fillId="0" borderId="0" xfId="0" applyFont="1" applyAlignment="1">
      <alignment horizontal="left" wrapText="1"/>
    </xf>
    <xf numFmtId="0" fontId="5" fillId="0" borderId="6" xfId="0" applyFont="1" applyBorder="1"/>
    <xf numFmtId="0" fontId="11" fillId="0" borderId="6" xfId="0" applyFont="1" applyBorder="1"/>
    <xf numFmtId="0" fontId="6" fillId="0" borderId="0" xfId="0" applyFont="1" applyAlignment="1">
      <alignment horizontal="left" wrapText="1"/>
    </xf>
    <xf numFmtId="0" fontId="11" fillId="0" borderId="5" xfId="0" applyFont="1" applyBorder="1"/>
    <xf numFmtId="0" fontId="11" fillId="0" borderId="2" xfId="0" applyFont="1" applyBorder="1"/>
    <xf numFmtId="0" fontId="6" fillId="0" borderId="2" xfId="0" applyFont="1" applyBorder="1"/>
    <xf numFmtId="0" fontId="11" fillId="0" borderId="12" xfId="0" applyFont="1" applyBorder="1"/>
    <xf numFmtId="0" fontId="6" fillId="0" borderId="10" xfId="0" applyFont="1" applyBorder="1"/>
    <xf numFmtId="0" fontId="11" fillId="0" borderId="11" xfId="0" applyFont="1" applyBorder="1"/>
    <xf numFmtId="0" fontId="6" fillId="0" borderId="11" xfId="0" applyFont="1" applyBorder="1"/>
    <xf numFmtId="0" fontId="6" fillId="0" borderId="6" xfId="0" applyFont="1" applyBorder="1"/>
    <xf numFmtId="0" fontId="6" fillId="0" borderId="3" xfId="0" applyFont="1" applyBorder="1"/>
    <xf numFmtId="0" fontId="6" fillId="0" borderId="0" xfId="0" applyFont="1"/>
    <xf numFmtId="0" fontId="11" fillId="0" borderId="8" xfId="0" applyFont="1" applyBorder="1"/>
    <xf numFmtId="0" fontId="11" fillId="0" borderId="9" xfId="0" applyFont="1" applyBorder="1"/>
    <xf numFmtId="0" fontId="11" fillId="0" borderId="3" xfId="0" applyFont="1" applyBorder="1"/>
    <xf numFmtId="0" fontId="11" fillId="0" borderId="0" xfId="0" applyFont="1" applyAlignment="1">
      <alignment vertical="center"/>
    </xf>
    <xf numFmtId="0" fontId="16" fillId="0" borderId="0" xfId="0" applyFont="1"/>
    <xf numFmtId="0" fontId="11" fillId="0" borderId="4" xfId="0" applyFont="1" applyBorder="1" applyAlignment="1">
      <alignment vertical="center"/>
    </xf>
    <xf numFmtId="0" fontId="11" fillId="0" borderId="4" xfId="0" applyFont="1" applyBorder="1" applyAlignment="1">
      <alignment horizontal="right" vertical="center"/>
    </xf>
    <xf numFmtId="0" fontId="11" fillId="0" borderId="36" xfId="0" applyFont="1" applyBorder="1" applyAlignment="1">
      <alignment vertical="center"/>
    </xf>
    <xf numFmtId="0" fontId="16" fillId="0" borderId="36" xfId="0" applyFont="1" applyBorder="1"/>
    <xf numFmtId="0" fontId="16" fillId="0" borderId="37" xfId="0" applyFont="1" applyBorder="1"/>
    <xf numFmtId="0" fontId="11" fillId="0" borderId="12" xfId="0" applyFont="1" applyBorder="1" applyAlignment="1">
      <alignment vertical="center"/>
    </xf>
    <xf numFmtId="0" fontId="16" fillId="0" borderId="10" xfId="0" applyFont="1" applyBorder="1"/>
    <xf numFmtId="0" fontId="11" fillId="0" borderId="6" xfId="0" applyFont="1" applyBorder="1" applyAlignment="1">
      <alignment vertical="center"/>
    </xf>
    <xf numFmtId="0" fontId="16" fillId="0" borderId="6" xfId="0" applyFont="1" applyBorder="1"/>
    <xf numFmtId="0" fontId="16" fillId="0" borderId="3" xfId="0" applyFont="1" applyBorder="1"/>
    <xf numFmtId="0" fontId="11" fillId="0" borderId="8" xfId="0" applyFont="1" applyBorder="1" applyAlignment="1">
      <alignment vertical="center"/>
    </xf>
    <xf numFmtId="0" fontId="11" fillId="0" borderId="35" xfId="0" applyFont="1" applyBorder="1"/>
    <xf numFmtId="0" fontId="11" fillId="0" borderId="37" xfId="0" applyFont="1" applyBorder="1"/>
    <xf numFmtId="0" fontId="11" fillId="0" borderId="10" xfId="0" applyFont="1" applyBorder="1"/>
    <xf numFmtId="0" fontId="5" fillId="0" borderId="24" xfId="1" applyFont="1" applyBorder="1"/>
    <xf numFmtId="0" fontId="5" fillId="0" borderId="2" xfId="1" applyFont="1" applyBorder="1"/>
    <xf numFmtId="0" fontId="5" fillId="0" borderId="4" xfId="1" applyFont="1" applyBorder="1"/>
    <xf numFmtId="0" fontId="11" fillId="0" borderId="1" xfId="1" applyFont="1" applyBorder="1"/>
    <xf numFmtId="0" fontId="11" fillId="0" borderId="4" xfId="1" applyFont="1" applyBorder="1"/>
    <xf numFmtId="0" fontId="5" fillId="0" borderId="5" xfId="1" applyFont="1" applyBorder="1"/>
    <xf numFmtId="2" fontId="11" fillId="0" borderId="5" xfId="1" applyNumberFormat="1" applyFont="1" applyBorder="1"/>
    <xf numFmtId="2" fontId="11" fillId="0" borderId="4" xfId="1" applyNumberFormat="1" applyFont="1" applyBorder="1"/>
    <xf numFmtId="0" fontId="11" fillId="0" borderId="7" xfId="1" applyFont="1" applyBorder="1"/>
    <xf numFmtId="0" fontId="11" fillId="0" borderId="15" xfId="1" applyFont="1" applyBorder="1"/>
    <xf numFmtId="0" fontId="11" fillId="0" borderId="8" xfId="1" applyFont="1" applyBorder="1"/>
    <xf numFmtId="0" fontId="11" fillId="0" borderId="7" xfId="1" applyFont="1" applyBorder="1" applyAlignment="1">
      <alignment horizontal="left"/>
    </xf>
    <xf numFmtId="0" fontId="11" fillId="0" borderId="8" xfId="1" applyFont="1" applyBorder="1" applyAlignment="1">
      <alignment horizontal="left"/>
    </xf>
    <xf numFmtId="0" fontId="12" fillId="0" borderId="12" xfId="0" applyFont="1" applyBorder="1" applyAlignment="1">
      <alignment horizontal="left"/>
    </xf>
    <xf numFmtId="0" fontId="12" fillId="0" borderId="0" xfId="0" applyFont="1" applyAlignment="1">
      <alignment horizontal="left"/>
    </xf>
    <xf numFmtId="0" fontId="11" fillId="0" borderId="0" xfId="1" applyFont="1" applyAlignment="1">
      <alignment horizontal="left"/>
    </xf>
    <xf numFmtId="0" fontId="12" fillId="0" borderId="12" xfId="0" applyFont="1" applyBorder="1"/>
    <xf numFmtId="0" fontId="28" fillId="0" borderId="12" xfId="0" applyFont="1" applyBorder="1"/>
    <xf numFmtId="0" fontId="12" fillId="0" borderId="0" xfId="0" applyFont="1"/>
    <xf numFmtId="0" fontId="12" fillId="0" borderId="11" xfId="0" applyFont="1" applyBorder="1"/>
    <xf numFmtId="0" fontId="11" fillId="0" borderId="6" xfId="1" applyFont="1" applyBorder="1"/>
    <xf numFmtId="0" fontId="28" fillId="0" borderId="0" xfId="0" applyFont="1"/>
    <xf numFmtId="0" fontId="11" fillId="0" borderId="24" xfId="1" applyFont="1" applyBorder="1"/>
    <xf numFmtId="0" fontId="11" fillId="0" borderId="33" xfId="0" applyFont="1" applyBorder="1"/>
    <xf numFmtId="2" fontId="11" fillId="0" borderId="16" xfId="1" applyNumberFormat="1" applyFont="1" applyBorder="1"/>
    <xf numFmtId="0" fontId="11" fillId="0" borderId="32" xfId="0" applyFont="1" applyBorder="1"/>
    <xf numFmtId="0" fontId="11" fillId="0" borderId="25" xfId="1" applyFont="1" applyBorder="1"/>
    <xf numFmtId="0" fontId="11" fillId="0" borderId="34" xfId="1" applyFont="1" applyBorder="1"/>
    <xf numFmtId="0" fontId="11" fillId="0" borderId="36" xfId="1" applyFont="1" applyBorder="1"/>
    <xf numFmtId="0" fontId="11" fillId="0" borderId="12" xfId="1" applyFont="1" applyBorder="1"/>
    <xf numFmtId="0" fontId="11" fillId="0" borderId="11" xfId="1" applyFont="1" applyBorder="1"/>
    <xf numFmtId="2" fontId="11" fillId="0" borderId="1" xfId="1" applyNumberFormat="1" applyFont="1" applyBorder="1"/>
    <xf numFmtId="2" fontId="11" fillId="0" borderId="2" xfId="1" applyNumberFormat="1" applyFont="1" applyBorder="1"/>
    <xf numFmtId="0" fontId="5" fillId="0" borderId="1" xfId="1" applyFont="1" applyBorder="1"/>
    <xf numFmtId="39" fontId="11" fillId="0" borderId="4" xfId="1" applyNumberFormat="1" applyFont="1" applyBorder="1"/>
    <xf numFmtId="39" fontId="11" fillId="0" borderId="2" xfId="1" applyNumberFormat="1" applyFont="1" applyBorder="1"/>
    <xf numFmtId="43" fontId="11" fillId="0" borderId="4" xfId="1" applyNumberFormat="1" applyFont="1" applyBorder="1"/>
    <xf numFmtId="1" fontId="11" fillId="0" borderId="15" xfId="1" applyNumberFormat="1" applyFont="1" applyBorder="1"/>
    <xf numFmtId="0" fontId="5" fillId="0" borderId="11" xfId="1" applyFont="1" applyBorder="1"/>
    <xf numFmtId="0" fontId="5" fillId="0" borderId="3" xfId="1" applyFont="1" applyBorder="1"/>
    <xf numFmtId="0" fontId="5" fillId="0" borderId="16" xfId="1" applyFont="1" applyBorder="1"/>
    <xf numFmtId="168" fontId="11" fillId="0" borderId="4" xfId="1" applyNumberFormat="1" applyFont="1" applyBorder="1"/>
    <xf numFmtId="168" fontId="11" fillId="0" borderId="2" xfId="1" applyNumberFormat="1" applyFont="1" applyBorder="1"/>
    <xf numFmtId="43" fontId="11" fillId="0" borderId="4" xfId="1" applyNumberFormat="1" applyFont="1" applyBorder="1" applyAlignment="1">
      <alignment wrapText="1"/>
    </xf>
    <xf numFmtId="0" fontId="11" fillId="0" borderId="12" xfId="1" applyFont="1" applyBorder="1" applyAlignment="1">
      <alignment horizontal="left"/>
    </xf>
    <xf numFmtId="0" fontId="11" fillId="0" borderId="11" xfId="1" applyFont="1" applyBorder="1" applyAlignment="1">
      <alignment horizontal="left"/>
    </xf>
    <xf numFmtId="0" fontId="11" fillId="0" borderId="6" xfId="1" applyFont="1" applyBorder="1" applyAlignment="1">
      <alignment horizontal="left"/>
    </xf>
    <xf numFmtId="0" fontId="13" fillId="0" borderId="32" xfId="0" applyFont="1" applyBorder="1"/>
    <xf numFmtId="0" fontId="12" fillId="0" borderId="32" xfId="0" applyFont="1" applyBorder="1"/>
    <xf numFmtId="0" fontId="12" fillId="0" borderId="32" xfId="0" applyFont="1" applyBorder="1" applyAlignment="1">
      <alignment horizontal="right"/>
    </xf>
    <xf numFmtId="0" fontId="12" fillId="0" borderId="33" xfId="0" applyFont="1" applyBorder="1"/>
    <xf numFmtId="0" fontId="12" fillId="0" borderId="6" xfId="0" applyFont="1" applyBorder="1"/>
    <xf numFmtId="0" fontId="11" fillId="0" borderId="9" xfId="1" applyFont="1" applyBorder="1"/>
    <xf numFmtId="0" fontId="11" fillId="0" borderId="12" xfId="1" applyFont="1" applyBorder="1" applyAlignment="1">
      <alignment vertical="top"/>
    </xf>
    <xf numFmtId="0" fontId="11" fillId="0" borderId="0" xfId="1" applyFont="1" applyAlignment="1">
      <alignment wrapText="1"/>
    </xf>
    <xf numFmtId="0" fontId="11" fillId="0" borderId="11" xfId="1" applyFont="1" applyBorder="1" applyAlignment="1">
      <alignment vertical="top"/>
    </xf>
    <xf numFmtId="0" fontId="11" fillId="0" borderId="6" xfId="1" applyFont="1" applyBorder="1" applyAlignment="1">
      <alignment vertical="top" wrapText="1"/>
    </xf>
    <xf numFmtId="0" fontId="11" fillId="0" borderId="6" xfId="1" applyFont="1" applyBorder="1" applyAlignment="1">
      <alignment wrapText="1"/>
    </xf>
    <xf numFmtId="0" fontId="11" fillId="0" borderId="0" xfId="0" applyFont="1" applyAlignment="1">
      <alignment horizontal="left"/>
    </xf>
    <xf numFmtId="0" fontId="5" fillId="0" borderId="35" xfId="1" applyFont="1" applyBorder="1"/>
    <xf numFmtId="0" fontId="5" fillId="0" borderId="36" xfId="1" applyFont="1" applyBorder="1"/>
    <xf numFmtId="0" fontId="5" fillId="0" borderId="37" xfId="1" applyFont="1" applyBorder="1"/>
    <xf numFmtId="0" fontId="5" fillId="0" borderId="35" xfId="0" applyFont="1" applyBorder="1"/>
    <xf numFmtId="0" fontId="5" fillId="0" borderId="32" xfId="0" applyFont="1" applyBorder="1"/>
    <xf numFmtId="0" fontId="11" fillId="0" borderId="32" xfId="1" applyFont="1" applyBorder="1"/>
    <xf numFmtId="2" fontId="11" fillId="0" borderId="32" xfId="1" applyNumberFormat="1" applyFont="1" applyBorder="1"/>
    <xf numFmtId="2" fontId="11" fillId="0" borderId="32" xfId="0" applyNumberFormat="1" applyFont="1" applyBorder="1"/>
    <xf numFmtId="2" fontId="11" fillId="0" borderId="32" xfId="1" applyNumberFormat="1" applyFont="1" applyBorder="1" applyAlignment="1">
      <alignment horizontal="right"/>
    </xf>
    <xf numFmtId="43" fontId="11" fillId="0" borderId="32" xfId="1" applyNumberFormat="1" applyFont="1" applyBorder="1"/>
    <xf numFmtId="1" fontId="11" fillId="0" borderId="32" xfId="1" applyNumberFormat="1" applyFont="1" applyBorder="1"/>
    <xf numFmtId="43" fontId="11" fillId="0" borderId="2" xfId="1" applyNumberFormat="1" applyFont="1" applyBorder="1"/>
    <xf numFmtId="0" fontId="11" fillId="0" borderId="5" xfId="1" applyFont="1" applyBorder="1"/>
    <xf numFmtId="0" fontId="11" fillId="0" borderId="2" xfId="1" applyFont="1" applyBorder="1"/>
    <xf numFmtId="0" fontId="11" fillId="0" borderId="0" xfId="1" applyFont="1" applyAlignment="1">
      <alignment horizontal="left" wrapText="1"/>
    </xf>
    <xf numFmtId="0" fontId="11" fillId="0" borderId="7" xfId="0" applyFont="1" applyBorder="1" applyAlignment="1">
      <alignment vertical="center"/>
    </xf>
    <xf numFmtId="0" fontId="11" fillId="0" borderId="10" xfId="0" applyFont="1" applyBorder="1" applyAlignment="1">
      <alignment vertical="center"/>
    </xf>
    <xf numFmtId="0" fontId="6" fillId="0" borderId="6" xfId="0" applyFont="1" applyBorder="1" applyAlignment="1">
      <alignment vertical="center"/>
    </xf>
    <xf numFmtId="0" fontId="5" fillId="0" borderId="5" xfId="0" applyFont="1" applyBorder="1"/>
    <xf numFmtId="169" fontId="11" fillId="0" borderId="0" xfId="0" applyNumberFormat="1" applyFont="1"/>
    <xf numFmtId="0" fontId="5" fillId="0" borderId="4" xfId="0" applyFont="1" applyBorder="1" applyAlignment="1">
      <alignment horizontal="right" vertical="center"/>
    </xf>
    <xf numFmtId="2" fontId="11" fillId="0" borderId="4" xfId="0" applyNumberFormat="1" applyFont="1" applyBorder="1" applyAlignment="1">
      <alignment horizontal="right" vertical="center"/>
    </xf>
    <xf numFmtId="2" fontId="11" fillId="0" borderId="4" xfId="0" applyNumberFormat="1" applyFont="1" applyBorder="1" applyAlignment="1">
      <alignment vertical="center"/>
    </xf>
    <xf numFmtId="0" fontId="11" fillId="0" borderId="15" xfId="0" applyFont="1" applyBorder="1" applyAlignment="1">
      <alignment horizontal="right" vertical="center"/>
    </xf>
    <xf numFmtId="0" fontId="11" fillId="0" borderId="15" xfId="0" applyFont="1" applyBorder="1" applyAlignment="1">
      <alignment vertical="center"/>
    </xf>
    <xf numFmtId="0" fontId="11" fillId="0" borderId="8" xfId="0" applyFont="1" applyBorder="1" applyAlignment="1">
      <alignment horizontal="right" vertical="center"/>
    </xf>
    <xf numFmtId="0" fontId="6" fillId="0" borderId="12" xfId="0" applyFont="1" applyBorder="1"/>
    <xf numFmtId="0" fontId="5" fillId="0" borderId="11" xfId="0" applyFont="1" applyBorder="1"/>
    <xf numFmtId="0" fontId="11" fillId="0" borderId="4" xfId="0" applyFont="1" applyBorder="1" applyAlignment="1">
      <alignment horizontal="left" vertical="center" wrapText="1"/>
    </xf>
    <xf numFmtId="0" fontId="5" fillId="0" borderId="4" xfId="0" applyFont="1" applyBorder="1" applyAlignment="1">
      <alignment horizontal="center" vertical="center" wrapText="1"/>
    </xf>
    <xf numFmtId="0" fontId="5" fillId="0" borderId="4" xfId="0" applyFont="1" applyBorder="1" applyAlignment="1">
      <alignment horizontal="center"/>
    </xf>
    <xf numFmtId="2" fontId="11" fillId="0" borderId="4" xfId="0" applyNumberFormat="1" applyFont="1" applyBorder="1" applyAlignment="1">
      <alignment horizontal="right" vertical="center" wrapText="1"/>
    </xf>
    <xf numFmtId="2" fontId="11" fillId="0" borderId="4" xfId="0" applyNumberFormat="1" applyFont="1" applyBorder="1" applyAlignment="1">
      <alignment horizontal="right"/>
    </xf>
    <xf numFmtId="0" fontId="11" fillId="0" borderId="15" xfId="0" applyFont="1" applyBorder="1" applyAlignment="1">
      <alignment horizontal="left" vertical="center" wrapText="1"/>
    </xf>
    <xf numFmtId="0" fontId="11" fillId="0" borderId="15" xfId="0" applyFont="1" applyBorder="1" applyAlignment="1">
      <alignment horizontal="center" vertical="center" wrapText="1"/>
    </xf>
    <xf numFmtId="0" fontId="11" fillId="0" borderId="15" xfId="0" applyFont="1" applyBorder="1" applyAlignment="1">
      <alignment horizontal="center"/>
    </xf>
    <xf numFmtId="0" fontId="11" fillId="0" borderId="34" xfId="0" applyFont="1" applyBorder="1" applyAlignment="1">
      <alignment horizontal="left"/>
    </xf>
    <xf numFmtId="0" fontId="11" fillId="0" borderId="12" xfId="0" applyFont="1" applyBorder="1" applyAlignment="1">
      <alignment horizontal="left"/>
    </xf>
    <xf numFmtId="0" fontId="6" fillId="0" borderId="11" xfId="0" applyFont="1" applyBorder="1" applyAlignment="1">
      <alignment horizontal="left"/>
    </xf>
    <xf numFmtId="2" fontId="11" fillId="0" borderId="4" xfId="0" applyNumberFormat="1" applyFont="1" applyBorder="1" applyAlignment="1">
      <alignment horizontal="left" vertical="center" wrapText="1"/>
    </xf>
    <xf numFmtId="0" fontId="11" fillId="0" borderId="16" xfId="0" applyFont="1" applyBorder="1" applyAlignment="1">
      <alignment horizontal="left" vertical="center" wrapText="1"/>
    </xf>
    <xf numFmtId="0" fontId="5" fillId="0" borderId="16" xfId="0" applyFont="1" applyBorder="1" applyAlignment="1">
      <alignment horizontal="center" vertical="center" wrapText="1"/>
    </xf>
    <xf numFmtId="2" fontId="11" fillId="0" borderId="16" xfId="0" applyNumberFormat="1" applyFont="1" applyBorder="1" applyAlignment="1">
      <alignment horizontal="right"/>
    </xf>
    <xf numFmtId="0" fontId="11" fillId="0" borderId="35" xfId="0" applyFont="1" applyBorder="1" applyAlignment="1">
      <alignment horizontal="left" vertical="center" wrapText="1"/>
    </xf>
    <xf numFmtId="0" fontId="5" fillId="0" borderId="35" xfId="0" applyFont="1" applyBorder="1" applyAlignment="1">
      <alignment horizontal="center" vertical="center" wrapText="1"/>
    </xf>
    <xf numFmtId="0" fontId="5" fillId="0" borderId="35" xfId="0" applyFont="1" applyBorder="1" applyAlignment="1">
      <alignment horizontal="center"/>
    </xf>
    <xf numFmtId="0" fontId="11" fillId="0" borderId="16" xfId="0" applyFont="1" applyBorder="1"/>
    <xf numFmtId="0" fontId="6" fillId="0" borderId="6" xfId="0" applyFont="1" applyBorder="1" applyAlignment="1">
      <alignment horizontal="left"/>
    </xf>
    <xf numFmtId="0" fontId="5" fillId="0" borderId="5" xfId="0" applyFont="1" applyBorder="1" applyAlignment="1">
      <alignment horizontal="center"/>
    </xf>
    <xf numFmtId="0" fontId="5" fillId="0" borderId="2" xfId="0" applyFont="1" applyBorder="1" applyAlignment="1">
      <alignment horizontal="center"/>
    </xf>
    <xf numFmtId="2" fontId="11" fillId="0" borderId="5" xfId="0" applyNumberFormat="1" applyFont="1" applyBorder="1" applyAlignment="1">
      <alignment horizontal="right"/>
    </xf>
    <xf numFmtId="2" fontId="11" fillId="0" borderId="2" xfId="0" applyNumberFormat="1" applyFont="1" applyBorder="1" applyAlignment="1">
      <alignment horizontal="right"/>
    </xf>
    <xf numFmtId="49" fontId="11" fillId="0" borderId="4" xfId="0" applyNumberFormat="1" applyFont="1" applyBorder="1" applyAlignment="1">
      <alignment wrapText="1"/>
    </xf>
    <xf numFmtId="49" fontId="11" fillId="0" borderId="2" xfId="0" applyNumberFormat="1" applyFont="1" applyBorder="1" applyAlignment="1">
      <alignment wrapText="1"/>
    </xf>
    <xf numFmtId="0" fontId="11" fillId="0" borderId="8" xfId="0" applyFont="1" applyBorder="1" applyAlignment="1">
      <alignment horizontal="center"/>
    </xf>
    <xf numFmtId="0" fontId="11" fillId="0" borderId="9" xfId="0" applyFont="1" applyBorder="1" applyAlignment="1">
      <alignment horizontal="center"/>
    </xf>
    <xf numFmtId="0" fontId="11" fillId="0" borderId="32" xfId="0" applyFont="1" applyBorder="1" applyAlignment="1">
      <alignment horizontal="center"/>
    </xf>
    <xf numFmtId="0" fontId="11" fillId="0" borderId="6" xfId="0" applyFont="1" applyBorder="1" applyAlignment="1">
      <alignment horizontal="left"/>
    </xf>
    <xf numFmtId="2" fontId="6" fillId="0" borderId="4" xfId="0" applyNumberFormat="1" applyFont="1" applyBorder="1" applyAlignment="1">
      <alignment horizontal="right"/>
    </xf>
    <xf numFmtId="0" fontId="11" fillId="0" borderId="4" xfId="0" quotePrefix="1" applyFont="1" applyBorder="1"/>
    <xf numFmtId="0" fontId="11" fillId="0" borderId="4" xfId="0" quotePrefix="1" applyFont="1" applyBorder="1" applyAlignment="1">
      <alignment wrapText="1"/>
    </xf>
    <xf numFmtId="0" fontId="6" fillId="0" borderId="9" xfId="0" applyFont="1" applyBorder="1" applyAlignment="1">
      <alignment horizontal="center" vertical="center" wrapText="1"/>
    </xf>
    <xf numFmtId="0" fontId="11" fillId="0" borderId="39" xfId="0" applyFont="1" applyBorder="1" applyAlignment="1">
      <alignment horizontal="center"/>
    </xf>
    <xf numFmtId="2" fontId="11" fillId="0" borderId="35" xfId="0" applyNumberFormat="1" applyFont="1" applyBorder="1" applyAlignment="1">
      <alignment horizontal="right"/>
    </xf>
    <xf numFmtId="2" fontId="11" fillId="0" borderId="5" xfId="0" applyNumberFormat="1" applyFont="1" applyBorder="1"/>
    <xf numFmtId="2" fontId="11" fillId="0" borderId="2" xfId="0" applyNumberFormat="1" applyFont="1" applyBorder="1"/>
    <xf numFmtId="49" fontId="11" fillId="0" borderId="4" xfId="0" applyNumberFormat="1" applyFont="1" applyBorder="1"/>
    <xf numFmtId="49" fontId="11" fillId="0" borderId="2" xfId="0" applyNumberFormat="1" applyFont="1" applyBorder="1"/>
    <xf numFmtId="49" fontId="6" fillId="0" borderId="4" xfId="0" applyNumberFormat="1" applyFont="1" applyBorder="1" applyAlignment="1">
      <alignment wrapText="1"/>
    </xf>
    <xf numFmtId="0" fontId="6" fillId="0" borderId="4" xfId="0" quotePrefix="1" applyFont="1" applyBorder="1" applyAlignment="1">
      <alignment wrapText="1"/>
    </xf>
    <xf numFmtId="0" fontId="6" fillId="0" borderId="32" xfId="0" applyFont="1" applyBorder="1" applyAlignment="1">
      <alignment horizontal="center"/>
    </xf>
    <xf numFmtId="0" fontId="11" fillId="0" borderId="4" xfId="0" applyFont="1" applyBorder="1" applyAlignment="1">
      <alignment wrapText="1"/>
    </xf>
    <xf numFmtId="0" fontId="6" fillId="0" borderId="12" xfId="0" applyFont="1" applyBorder="1" applyAlignment="1">
      <alignment horizontal="left"/>
    </xf>
    <xf numFmtId="0" fontId="11" fillId="0" borderId="4" xfId="0" applyFont="1" applyBorder="1" applyAlignment="1">
      <alignment horizontal="center"/>
    </xf>
    <xf numFmtId="0" fontId="12" fillId="0" borderId="1" xfId="0" applyFont="1" applyBorder="1"/>
    <xf numFmtId="0" fontId="13" fillId="0" borderId="4" xfId="0" applyFont="1" applyBorder="1"/>
    <xf numFmtId="0" fontId="13" fillId="0" borderId="5" xfId="0" applyFont="1" applyBorder="1"/>
    <xf numFmtId="0" fontId="13" fillId="0" borderId="2" xfId="0" applyFont="1" applyBorder="1"/>
    <xf numFmtId="0" fontId="1" fillId="0" borderId="0" xfId="0" applyFont="1"/>
    <xf numFmtId="2" fontId="12" fillId="0" borderId="4" xfId="0" applyNumberFormat="1" applyFont="1" applyBorder="1" applyAlignment="1">
      <alignment horizontal="right" vertical="center"/>
    </xf>
    <xf numFmtId="2" fontId="12" fillId="0" borderId="2" xfId="0" applyNumberFormat="1" applyFont="1" applyBorder="1" applyAlignment="1">
      <alignment horizontal="right" vertical="center"/>
    </xf>
    <xf numFmtId="0" fontId="12" fillId="0" borderId="4" xfId="0" applyFont="1" applyBorder="1" applyAlignment="1">
      <alignment horizontal="right"/>
    </xf>
    <xf numFmtId="2" fontId="12" fillId="0" borderId="4" xfId="0" applyNumberFormat="1" applyFont="1" applyBorder="1" applyAlignment="1">
      <alignment horizontal="right"/>
    </xf>
    <xf numFmtId="0" fontId="12" fillId="0" borderId="5" xfId="0" applyFont="1" applyBorder="1" applyAlignment="1">
      <alignment horizontal="right"/>
    </xf>
    <xf numFmtId="0" fontId="12" fillId="0" borderId="2" xfId="0" applyFont="1" applyBorder="1" applyAlignment="1">
      <alignment horizontal="right"/>
    </xf>
    <xf numFmtId="0" fontId="12" fillId="0" borderId="7" xfId="0" applyFont="1" applyBorder="1"/>
    <xf numFmtId="0" fontId="12" fillId="0" borderId="15" xfId="0" applyFont="1" applyBorder="1" applyAlignment="1">
      <alignment horizontal="right"/>
    </xf>
    <xf numFmtId="0" fontId="12" fillId="0" borderId="8" xfId="0" applyFont="1" applyBorder="1" applyAlignment="1">
      <alignment horizontal="right"/>
    </xf>
    <xf numFmtId="0" fontId="12" fillId="0" borderId="9" xfId="0" applyFont="1" applyBorder="1" applyAlignment="1">
      <alignment horizontal="right"/>
    </xf>
    <xf numFmtId="0" fontId="12" fillId="0" borderId="8" xfId="0" applyFont="1" applyBorder="1"/>
    <xf numFmtId="0" fontId="12" fillId="0" borderId="9" xfId="0" applyFont="1" applyBorder="1"/>
    <xf numFmtId="0" fontId="12" fillId="0" borderId="10" xfId="0" applyFont="1" applyBorder="1"/>
    <xf numFmtId="0" fontId="12" fillId="0" borderId="3" xfId="0" applyFont="1" applyBorder="1"/>
    <xf numFmtId="2" fontId="12" fillId="0" borderId="4" xfId="0" applyNumberFormat="1" applyFont="1" applyBorder="1" applyAlignment="1">
      <alignment vertical="center"/>
    </xf>
    <xf numFmtId="2" fontId="12" fillId="0" borderId="2" xfId="0" applyNumberFormat="1" applyFont="1" applyBorder="1" applyAlignment="1">
      <alignment vertical="center"/>
    </xf>
    <xf numFmtId="0" fontId="1" fillId="0" borderId="32" xfId="0" applyFont="1" applyBorder="1"/>
    <xf numFmtId="0" fontId="12" fillId="0" borderId="4" xfId="0" applyFont="1" applyBorder="1"/>
    <xf numFmtId="2" fontId="12" fillId="0" borderId="4" xfId="0" applyNumberFormat="1" applyFont="1" applyBorder="1"/>
    <xf numFmtId="2" fontId="12" fillId="0" borderId="32" xfId="0" applyNumberFormat="1" applyFont="1" applyBorder="1"/>
    <xf numFmtId="0" fontId="12" fillId="0" borderId="2" xfId="0" applyFont="1" applyBorder="1"/>
    <xf numFmtId="2" fontId="28" fillId="0" borderId="4" xfId="0" applyNumberFormat="1" applyFont="1" applyBorder="1" applyAlignment="1">
      <alignment horizontal="right"/>
    </xf>
    <xf numFmtId="0" fontId="12" fillId="0" borderId="15" xfId="0" applyFont="1" applyBorder="1"/>
    <xf numFmtId="0" fontId="12" fillId="0" borderId="38" xfId="0" applyFont="1" applyBorder="1"/>
    <xf numFmtId="0" fontId="12" fillId="0" borderId="39" xfId="0" applyFont="1" applyBorder="1"/>
    <xf numFmtId="0" fontId="1" fillId="0" borderId="33" xfId="0" applyFont="1" applyBorder="1"/>
    <xf numFmtId="20" fontId="12" fillId="0" borderId="34" xfId="0" applyNumberFormat="1" applyFont="1" applyBorder="1"/>
    <xf numFmtId="0" fontId="12" fillId="0" borderId="36" xfId="0" applyFont="1" applyBorder="1"/>
    <xf numFmtId="0" fontId="12" fillId="0" borderId="37" xfId="0" applyFont="1" applyBorder="1"/>
    <xf numFmtId="0" fontId="1" fillId="0" borderId="37" xfId="0" applyFont="1" applyBorder="1"/>
    <xf numFmtId="20" fontId="12" fillId="0" borderId="12" xfId="0" applyNumberFormat="1" applyFont="1" applyBorder="1"/>
    <xf numFmtId="0" fontId="1" fillId="0" borderId="10" xfId="0" applyFont="1" applyBorder="1"/>
    <xf numFmtId="20" fontId="28" fillId="0" borderId="11" xfId="0" applyNumberFormat="1" applyFont="1" applyBorder="1"/>
    <xf numFmtId="0" fontId="1" fillId="0" borderId="3" xfId="0" applyFont="1" applyBorder="1"/>
    <xf numFmtId="0" fontId="13" fillId="0" borderId="4" xfId="0" applyFont="1" applyBorder="1" applyAlignment="1">
      <alignment horizontal="right"/>
    </xf>
    <xf numFmtId="0" fontId="13" fillId="0" borderId="5" xfId="0" applyFont="1" applyBorder="1" applyAlignment="1">
      <alignment horizontal="right"/>
    </xf>
    <xf numFmtId="0" fontId="13" fillId="0" borderId="2" xfId="0" applyFont="1" applyBorder="1" applyAlignment="1">
      <alignment horizontal="right"/>
    </xf>
    <xf numFmtId="2" fontId="12" fillId="0" borderId="4" xfId="0" applyNumberFormat="1" applyFont="1" applyBorder="1" applyAlignment="1">
      <alignment horizontal="right" vertical="center" wrapText="1"/>
    </xf>
    <xf numFmtId="2" fontId="12" fillId="0" borderId="2" xfId="0" applyNumberFormat="1" applyFont="1" applyBorder="1" applyAlignment="1">
      <alignment horizontal="right" vertical="center" wrapText="1"/>
    </xf>
    <xf numFmtId="2" fontId="12" fillId="0" borderId="2" xfId="0" applyNumberFormat="1" applyFont="1" applyBorder="1" applyAlignment="1">
      <alignment horizontal="right"/>
    </xf>
    <xf numFmtId="0" fontId="12" fillId="0" borderId="34" xfId="0" applyFont="1" applyBorder="1"/>
    <xf numFmtId="0" fontId="11" fillId="0" borderId="10" xfId="0" applyFont="1" applyBorder="1" applyAlignment="1">
      <alignment horizontal="left" wrapText="1"/>
    </xf>
    <xf numFmtId="0" fontId="11" fillId="0" borderId="11" xfId="0" applyFont="1" applyBorder="1" applyAlignment="1">
      <alignment horizontal="left"/>
    </xf>
    <xf numFmtId="0" fontId="11" fillId="0" borderId="3" xfId="0" applyFont="1" applyBorder="1" applyAlignment="1">
      <alignment horizontal="left" wrapText="1"/>
    </xf>
    <xf numFmtId="0" fontId="11" fillId="0" borderId="16" xfId="1" applyFont="1" applyBorder="1"/>
    <xf numFmtId="0" fontId="11" fillId="0" borderId="4" xfId="1" applyFont="1" applyBorder="1" applyAlignment="1">
      <alignment horizontal="center"/>
    </xf>
    <xf numFmtId="0" fontId="11" fillId="0" borderId="32" xfId="0" applyFont="1" applyBorder="1" applyAlignment="1">
      <alignment horizontal="center" vertical="center"/>
    </xf>
    <xf numFmtId="164" fontId="11" fillId="0" borderId="4" xfId="1" applyNumberFormat="1" applyFont="1" applyBorder="1"/>
    <xf numFmtId="164" fontId="11" fillId="0" borderId="4" xfId="1" applyNumberFormat="1" applyFont="1" applyBorder="1" applyAlignment="1">
      <alignment horizontal="right"/>
    </xf>
    <xf numFmtId="0" fontId="11" fillId="0" borderId="4" xfId="1" applyFont="1" applyBorder="1" applyAlignment="1">
      <alignment horizontal="right" wrapText="1"/>
    </xf>
    <xf numFmtId="0" fontId="11" fillId="0" borderId="4" xfId="1" applyFont="1" applyBorder="1" applyAlignment="1">
      <alignment horizontal="right"/>
    </xf>
    <xf numFmtId="0" fontId="11" fillId="0" borderId="15" xfId="1" applyFont="1" applyBorder="1" applyAlignment="1">
      <alignment horizontal="center"/>
    </xf>
    <xf numFmtId="0" fontId="11" fillId="0" borderId="36" xfId="1" applyFont="1" applyBorder="1" applyAlignment="1">
      <alignment horizontal="center"/>
    </xf>
    <xf numFmtId="0" fontId="11" fillId="0" borderId="11" xfId="1" applyFont="1" applyBorder="1" applyAlignment="1">
      <alignment horizontal="left" vertical="center"/>
    </xf>
    <xf numFmtId="0" fontId="11" fillId="0" borderId="6" xfId="1" applyFont="1" applyBorder="1" applyAlignment="1">
      <alignment horizontal="left" vertical="center"/>
    </xf>
    <xf numFmtId="0" fontId="11" fillId="0" borderId="36" xfId="1" applyFont="1" applyBorder="1" applyAlignment="1">
      <alignment wrapText="1"/>
    </xf>
    <xf numFmtId="0" fontId="11" fillId="0" borderId="11" xfId="1" applyFont="1" applyBorder="1" applyAlignment="1">
      <alignment horizontal="left" wrapText="1"/>
    </xf>
    <xf numFmtId="0" fontId="11" fillId="0" borderId="6" xfId="1" applyFont="1" applyBorder="1" applyAlignment="1">
      <alignment horizontal="left" wrapText="1"/>
    </xf>
    <xf numFmtId="0" fontId="5" fillId="0" borderId="12" xfId="1" applyFont="1" applyBorder="1"/>
    <xf numFmtId="0" fontId="5" fillId="0" borderId="10" xfId="1" applyFont="1" applyBorder="1"/>
    <xf numFmtId="0" fontId="5" fillId="0" borderId="9" xfId="1" applyFont="1" applyBorder="1"/>
    <xf numFmtId="0" fontId="5" fillId="0" borderId="4" xfId="1" applyFont="1" applyBorder="1" applyAlignment="1">
      <alignment horizontal="center"/>
    </xf>
    <xf numFmtId="2" fontId="11" fillId="0" borderId="4" xfId="1" applyNumberFormat="1" applyFont="1" applyBorder="1" applyAlignment="1">
      <alignment horizontal="right"/>
    </xf>
    <xf numFmtId="49" fontId="11" fillId="0" borderId="4" xfId="1" applyNumberFormat="1" applyFont="1" applyBorder="1" applyAlignment="1">
      <alignment horizontal="right"/>
    </xf>
    <xf numFmtId="2" fontId="6" fillId="0" borderId="4" xfId="1" applyNumberFormat="1" applyFont="1" applyBorder="1"/>
    <xf numFmtId="0" fontId="11" fillId="0" borderId="15" xfId="1" applyFont="1" applyBorder="1" applyAlignment="1">
      <alignment wrapText="1"/>
    </xf>
    <xf numFmtId="0" fontId="11" fillId="0" borderId="3" xfId="1" applyFont="1" applyBorder="1" applyAlignment="1">
      <alignment wrapText="1"/>
    </xf>
    <xf numFmtId="2" fontId="11" fillId="0" borderId="0" xfId="0" applyNumberFormat="1" applyFont="1"/>
    <xf numFmtId="0" fontId="11" fillId="0" borderId="8" xfId="1" applyFont="1" applyBorder="1" applyAlignment="1">
      <alignment wrapText="1"/>
    </xf>
    <xf numFmtId="0" fontId="5" fillId="0" borderId="16" xfId="1" applyFont="1" applyBorder="1" applyAlignment="1">
      <alignment horizontal="center"/>
    </xf>
    <xf numFmtId="0" fontId="5" fillId="0" borderId="32" xfId="1" applyFont="1" applyBorder="1" applyAlignment="1">
      <alignment horizontal="center"/>
    </xf>
    <xf numFmtId="0" fontId="11" fillId="0" borderId="35" xfId="1" applyFont="1" applyBorder="1"/>
    <xf numFmtId="0" fontId="5" fillId="0" borderId="3" xfId="0" applyFont="1" applyBorder="1" applyAlignment="1">
      <alignment horizontal="center"/>
    </xf>
    <xf numFmtId="0" fontId="5" fillId="0" borderId="16" xfId="0" applyFont="1" applyBorder="1" applyAlignment="1">
      <alignment horizontal="center"/>
    </xf>
    <xf numFmtId="2" fontId="11" fillId="0" borderId="4" xfId="1" applyNumberFormat="1" applyFont="1" applyBorder="1" applyProtection="1">
      <protection locked="0"/>
    </xf>
    <xf numFmtId="2" fontId="11" fillId="0" borderId="4" xfId="1" applyNumberFormat="1" applyFont="1" applyBorder="1" applyAlignment="1" applyProtection="1">
      <alignment horizontal="center" vertical="center" wrapText="1"/>
      <protection locked="0"/>
    </xf>
    <xf numFmtId="2" fontId="11" fillId="0" borderId="4" xfId="0" applyNumberFormat="1" applyFont="1" applyBorder="1" applyAlignment="1">
      <alignment horizontal="center" vertical="center" wrapText="1"/>
    </xf>
    <xf numFmtId="2" fontId="11" fillId="0" borderId="4" xfId="0" applyNumberFormat="1" applyFont="1" applyBorder="1" applyAlignment="1">
      <alignment horizontal="center" wrapText="1"/>
    </xf>
    <xf numFmtId="0" fontId="5" fillId="0" borderId="36" xfId="0" applyFont="1" applyBorder="1" applyAlignment="1">
      <alignment horizontal="center"/>
    </xf>
    <xf numFmtId="0" fontId="5" fillId="0" borderId="0" xfId="0" applyFont="1" applyAlignment="1">
      <alignment horizontal="center"/>
    </xf>
    <xf numFmtId="0" fontId="5" fillId="0" borderId="6" xfId="0" applyFont="1" applyBorder="1" applyAlignment="1">
      <alignment horizontal="center"/>
    </xf>
    <xf numFmtId="49" fontId="11" fillId="0" borderId="4" xfId="0" applyNumberFormat="1" applyFont="1" applyBorder="1" applyAlignment="1">
      <alignment horizontal="center" wrapText="1"/>
    </xf>
    <xf numFmtId="0" fontId="5" fillId="0" borderId="32" xfId="0" applyFont="1" applyBorder="1" applyAlignment="1">
      <alignment horizontal="center" vertical="center"/>
    </xf>
    <xf numFmtId="2" fontId="11" fillId="0" borderId="4" xfId="0" applyNumberFormat="1" applyFont="1" applyBorder="1" applyAlignment="1">
      <alignment wrapText="1"/>
    </xf>
    <xf numFmtId="0" fontId="11" fillId="0" borderId="32" xfId="0" applyFont="1" applyBorder="1" applyAlignment="1">
      <alignment horizontal="left" wrapText="1"/>
    </xf>
    <xf numFmtId="2" fontId="11" fillId="0" borderId="1" xfId="0" applyNumberFormat="1" applyFont="1" applyBorder="1"/>
    <xf numFmtId="0" fontId="5" fillId="0" borderId="36" xfId="0" applyFont="1" applyBorder="1"/>
    <xf numFmtId="0" fontId="11" fillId="0" borderId="11" xfId="0" applyFont="1" applyBorder="1" applyProtection="1">
      <protection locked="0"/>
    </xf>
    <xf numFmtId="0" fontId="11" fillId="0" borderId="6" xfId="0" applyFont="1" applyBorder="1" applyAlignment="1" applyProtection="1">
      <alignment wrapText="1"/>
      <protection locked="0"/>
    </xf>
    <xf numFmtId="2" fontId="26" fillId="0" borderId="40" xfId="1" applyNumberFormat="1" applyFont="1" applyBorder="1" applyProtection="1">
      <protection locked="0"/>
    </xf>
    <xf numFmtId="0" fontId="11" fillId="0" borderId="4" xfId="0" applyFont="1" applyBorder="1" applyAlignment="1">
      <alignment horizontal="center" vertical="center" wrapText="1"/>
    </xf>
    <xf numFmtId="0" fontId="26" fillId="0" borderId="40" xfId="0" applyFont="1" applyBorder="1" applyAlignment="1">
      <alignment wrapText="1"/>
    </xf>
    <xf numFmtId="2" fontId="26" fillId="0" borderId="40" xfId="0" applyNumberFormat="1" applyFont="1" applyBorder="1"/>
    <xf numFmtId="0" fontId="26" fillId="0" borderId="40" xfId="0" applyFont="1" applyBorder="1"/>
    <xf numFmtId="0" fontId="26" fillId="0" borderId="41" xfId="0" applyFont="1" applyBorder="1" applyAlignment="1">
      <alignment horizontal="center"/>
    </xf>
    <xf numFmtId="0" fontId="11" fillId="0" borderId="11" xfId="1" applyFont="1" applyBorder="1" applyAlignment="1">
      <alignment horizontal="left" vertical="top"/>
    </xf>
    <xf numFmtId="0" fontId="11" fillId="0" borderId="6" xfId="1" applyFont="1" applyBorder="1" applyAlignment="1">
      <alignment horizontal="left" vertical="top" wrapText="1"/>
    </xf>
    <xf numFmtId="2" fontId="11" fillId="0" borderId="4" xfId="1" applyNumberFormat="1" applyFont="1" applyBorder="1" applyAlignment="1" applyProtection="1">
      <alignment horizontal="right"/>
      <protection locked="0"/>
    </xf>
    <xf numFmtId="0" fontId="11" fillId="0" borderId="4" xfId="0" applyFont="1" applyBorder="1" applyAlignment="1">
      <alignment horizontal="center" wrapText="1"/>
    </xf>
    <xf numFmtId="0" fontId="5" fillId="0" borderId="15" xfId="0" applyFont="1" applyBorder="1" applyAlignment="1">
      <alignment horizontal="center"/>
    </xf>
    <xf numFmtId="0" fontId="5" fillId="0" borderId="37" xfId="0" applyFont="1" applyBorder="1" applyAlignment="1">
      <alignment horizontal="center"/>
    </xf>
    <xf numFmtId="0" fontId="5" fillId="0" borderId="10" xfId="0" applyFont="1" applyBorder="1" applyAlignment="1">
      <alignment horizontal="center"/>
    </xf>
    <xf numFmtId="0" fontId="11" fillId="0" borderId="12" xfId="0" applyFont="1" applyBorder="1" applyAlignment="1">
      <alignment vertical="top"/>
    </xf>
    <xf numFmtId="0" fontId="11" fillId="0" borderId="0" xfId="0" applyFont="1" applyAlignment="1">
      <alignment vertical="top" wrapText="1"/>
    </xf>
    <xf numFmtId="0" fontId="11" fillId="0" borderId="10" xfId="0" applyFont="1" applyBorder="1" applyAlignment="1">
      <alignment vertical="top" wrapText="1"/>
    </xf>
    <xf numFmtId="0" fontId="6" fillId="0" borderId="11" xfId="0" applyFont="1" applyBorder="1" applyAlignment="1">
      <alignment vertical="top"/>
    </xf>
    <xf numFmtId="0" fontId="11" fillId="0" borderId="6" xfId="0" applyFont="1" applyBorder="1" applyAlignment="1">
      <alignment vertical="top" wrapText="1"/>
    </xf>
    <xf numFmtId="0" fontId="11" fillId="0" borderId="3" xfId="0" applyFont="1" applyBorder="1" applyAlignment="1">
      <alignment vertical="top" wrapText="1"/>
    </xf>
    <xf numFmtId="0" fontId="11" fillId="0" borderId="4" xfId="1" applyFont="1" applyBorder="1" applyAlignment="1" applyProtection="1">
      <alignment horizontal="right"/>
      <protection locked="0"/>
    </xf>
    <xf numFmtId="2" fontId="11" fillId="0" borderId="7" xfId="0" applyNumberFormat="1" applyFont="1" applyBorder="1"/>
    <xf numFmtId="2" fontId="11" fillId="0" borderId="15" xfId="0" applyNumberFormat="1" applyFont="1" applyBorder="1"/>
    <xf numFmtId="0" fontId="11" fillId="0" borderId="11" xfId="0" applyFont="1" applyBorder="1" applyAlignment="1">
      <alignment vertical="center"/>
    </xf>
    <xf numFmtId="0" fontId="11" fillId="0" borderId="6" xfId="0" applyFont="1" applyBorder="1" applyAlignment="1">
      <alignment vertical="center" wrapText="1"/>
    </xf>
    <xf numFmtId="2" fontId="11" fillId="0" borderId="4" xfId="1" applyNumberFormat="1" applyFont="1" applyBorder="1" applyAlignment="1" applyProtection="1">
      <alignment horizontal="right" vertical="center" wrapText="1"/>
      <protection locked="0"/>
    </xf>
    <xf numFmtId="0" fontId="11" fillId="0" borderId="0" xfId="0" applyFont="1" applyAlignment="1">
      <alignment horizontal="left" vertical="center" wrapText="1"/>
    </xf>
    <xf numFmtId="1" fontId="11" fillId="0" borderId="5" xfId="0" applyNumberFormat="1" applyFont="1" applyBorder="1"/>
    <xf numFmtId="1" fontId="11" fillId="0" borderId="2" xfId="0" applyNumberFormat="1" applyFont="1" applyBorder="1"/>
    <xf numFmtId="1" fontId="11" fillId="0" borderId="15" xfId="0" applyNumberFormat="1" applyFont="1" applyBorder="1" applyAlignment="1">
      <alignment horizontal="right"/>
    </xf>
    <xf numFmtId="1" fontId="11" fillId="0" borderId="32" xfId="0" applyNumberFormat="1" applyFont="1" applyBorder="1" applyAlignment="1">
      <alignment horizontal="right"/>
    </xf>
    <xf numFmtId="0" fontId="5" fillId="0" borderId="1" xfId="0" applyFont="1" applyBorder="1" applyAlignment="1">
      <alignment wrapText="1"/>
    </xf>
    <xf numFmtId="0" fontId="5" fillId="0" borderId="2" xfId="0" applyFont="1" applyBorder="1" applyAlignment="1">
      <alignment wrapText="1"/>
    </xf>
    <xf numFmtId="0" fontId="5" fillId="0" borderId="4" xfId="0" applyFont="1" applyBorder="1" applyAlignment="1">
      <alignment wrapText="1"/>
    </xf>
    <xf numFmtId="0" fontId="11" fillId="0" borderId="1" xfId="0" applyFont="1" applyBorder="1" applyAlignment="1">
      <alignment wrapText="1"/>
    </xf>
    <xf numFmtId="0" fontId="5" fillId="0" borderId="4" xfId="0" applyFont="1" applyBorder="1" applyAlignment="1">
      <alignment horizontal="center" wrapText="1"/>
    </xf>
    <xf numFmtId="0" fontId="5" fillId="0" borderId="5" xfId="0" applyFont="1" applyBorder="1" applyAlignment="1">
      <alignment horizontal="center" wrapText="1"/>
    </xf>
    <xf numFmtId="2" fontId="11" fillId="0" borderId="5" xfId="0" applyNumberFormat="1" applyFont="1" applyBorder="1" applyAlignment="1">
      <alignment wrapText="1"/>
    </xf>
    <xf numFmtId="2" fontId="11" fillId="0" borderId="2" xfId="0" applyNumberFormat="1" applyFont="1" applyBorder="1" applyAlignment="1">
      <alignment wrapText="1"/>
    </xf>
    <xf numFmtId="2" fontId="6" fillId="0" borderId="4" xfId="0" applyNumberFormat="1" applyFont="1" applyBorder="1" applyAlignment="1">
      <alignment wrapText="1"/>
    </xf>
    <xf numFmtId="0" fontId="11" fillId="0" borderId="5" xfId="0" applyFont="1" applyBorder="1" applyAlignment="1">
      <alignment wrapText="1"/>
    </xf>
    <xf numFmtId="0" fontId="11" fillId="0" borderId="2" xfId="0" applyFont="1" applyBorder="1" applyAlignment="1">
      <alignment wrapText="1"/>
    </xf>
    <xf numFmtId="0" fontId="11" fillId="0" borderId="7" xfId="0" applyFont="1" applyBorder="1" applyAlignment="1">
      <alignment wrapText="1"/>
    </xf>
    <xf numFmtId="0" fontId="11" fillId="0" borderId="15" xfId="0" applyFont="1" applyBorder="1" applyAlignment="1">
      <alignment wrapText="1"/>
    </xf>
    <xf numFmtId="0" fontId="11" fillId="0" borderId="8" xfId="0" applyFont="1" applyBorder="1" applyAlignment="1">
      <alignment wrapText="1"/>
    </xf>
    <xf numFmtId="0" fontId="11" fillId="0" borderId="9" xfId="0" applyFont="1" applyBorder="1" applyAlignment="1">
      <alignment wrapText="1"/>
    </xf>
    <xf numFmtId="0" fontId="11" fillId="0" borderId="10" xfId="0" applyFont="1" applyBorder="1" applyAlignment="1">
      <alignment wrapText="1"/>
    </xf>
    <xf numFmtId="0" fontId="7" fillId="0" borderId="12" xfId="0" applyFont="1" applyBorder="1" applyAlignment="1">
      <alignment horizontal="left"/>
    </xf>
    <xf numFmtId="0" fontId="7" fillId="0" borderId="0" xfId="0" applyFont="1" applyAlignment="1">
      <alignment horizontal="left" wrapText="1"/>
    </xf>
    <xf numFmtId="0" fontId="7" fillId="0" borderId="0" xfId="0" applyFont="1" applyAlignment="1">
      <alignment wrapText="1"/>
    </xf>
    <xf numFmtId="0" fontId="7" fillId="0" borderId="10" xfId="0" applyFont="1" applyBorder="1" applyAlignment="1">
      <alignment wrapText="1"/>
    </xf>
    <xf numFmtId="0" fontId="11" fillId="0" borderId="6" xfId="0" applyFont="1" applyBorder="1" applyAlignment="1">
      <alignment wrapText="1"/>
    </xf>
    <xf numFmtId="0" fontId="11" fillId="0" borderId="3" xfId="0" applyFont="1" applyBorder="1" applyAlignment="1">
      <alignment wrapText="1"/>
    </xf>
    <xf numFmtId="0" fontId="11" fillId="0" borderId="0" xfId="2" applyFont="1"/>
    <xf numFmtId="0" fontId="5" fillId="0" borderId="5" xfId="1" applyFont="1" applyBorder="1" applyAlignment="1">
      <alignment horizontal="center"/>
    </xf>
    <xf numFmtId="0" fontId="5" fillId="0" borderId="2" xfId="1" applyFont="1" applyBorder="1" applyAlignment="1">
      <alignment horizontal="center"/>
    </xf>
    <xf numFmtId="0" fontId="5" fillId="0" borderId="33" xfId="1" applyFont="1" applyBorder="1" applyAlignment="1">
      <alignment horizontal="center"/>
    </xf>
    <xf numFmtId="1" fontId="11" fillId="0" borderId="32" xfId="0" applyNumberFormat="1" applyFont="1" applyBorder="1"/>
    <xf numFmtId="1" fontId="11" fillId="0" borderId="15" xfId="1" applyNumberFormat="1" applyFont="1" applyBorder="1" applyAlignment="1">
      <alignment horizontal="center"/>
    </xf>
    <xf numFmtId="1" fontId="11" fillId="0" borderId="35" xfId="1" applyNumberFormat="1" applyFont="1" applyBorder="1" applyAlignment="1">
      <alignment horizontal="center"/>
    </xf>
    <xf numFmtId="0" fontId="11" fillId="0" borderId="34" xfId="0" applyFont="1" applyBorder="1" applyAlignment="1">
      <alignment horizontal="left" vertical="center" wrapText="1"/>
    </xf>
    <xf numFmtId="0" fontId="11" fillId="0" borderId="36" xfId="0" applyFont="1" applyBorder="1" applyAlignment="1">
      <alignment vertical="center" wrapText="1"/>
    </xf>
    <xf numFmtId="0" fontId="11" fillId="0" borderId="0" xfId="0" applyFont="1" applyAlignment="1">
      <alignment vertical="center" wrapText="1"/>
    </xf>
    <xf numFmtId="0" fontId="12" fillId="0" borderId="0" xfId="0" applyFont="1" applyAlignment="1">
      <alignment vertical="center"/>
    </xf>
    <xf numFmtId="2" fontId="22" fillId="0" borderId="4" xfId="0" applyNumberFormat="1" applyFont="1" applyBorder="1" applyAlignment="1">
      <alignment horizontal="right" vertical="center"/>
    </xf>
    <xf numFmtId="2" fontId="22" fillId="0" borderId="4" xfId="0" applyNumberFormat="1" applyFont="1" applyBorder="1" applyAlignment="1">
      <alignment vertical="center"/>
    </xf>
    <xf numFmtId="0" fontId="5" fillId="0" borderId="1" xfId="2" applyFont="1" applyBorder="1"/>
    <xf numFmtId="0" fontId="5" fillId="0" borderId="2" xfId="2" applyFont="1" applyBorder="1"/>
    <xf numFmtId="0" fontId="21" fillId="0" borderId="0" xfId="2" applyFont="1"/>
    <xf numFmtId="0" fontId="5" fillId="0" borderId="11" xfId="2" applyFont="1" applyBorder="1"/>
    <xf numFmtId="0" fontId="5" fillId="0" borderId="3" xfId="2" applyFont="1" applyBorder="1"/>
    <xf numFmtId="0" fontId="11" fillId="0" borderId="11" xfId="2" applyFont="1" applyBorder="1"/>
    <xf numFmtId="1" fontId="5" fillId="0" borderId="16" xfId="2" applyNumberFormat="1" applyFont="1" applyBorder="1" applyAlignment="1">
      <alignment horizontal="center" vertical="top"/>
    </xf>
    <xf numFmtId="1" fontId="5" fillId="0" borderId="4" xfId="2" applyNumberFormat="1" applyFont="1" applyBorder="1" applyAlignment="1">
      <alignment horizontal="center" vertical="top"/>
    </xf>
    <xf numFmtId="0" fontId="11" fillId="0" borderId="1" xfId="2" applyFont="1" applyBorder="1"/>
    <xf numFmtId="40" fontId="11" fillId="0" borderId="4" xfId="2" applyNumberFormat="1" applyFont="1" applyBorder="1"/>
    <xf numFmtId="0" fontId="16" fillId="0" borderId="32" xfId="0" applyFont="1" applyBorder="1"/>
    <xf numFmtId="0" fontId="18" fillId="0" borderId="32" xfId="0" applyFont="1" applyBorder="1"/>
    <xf numFmtId="0" fontId="11" fillId="0" borderId="7" xfId="2" applyFont="1" applyBorder="1"/>
    <xf numFmtId="40" fontId="11" fillId="0" borderId="15" xfId="2" applyNumberFormat="1" applyFont="1" applyBorder="1"/>
    <xf numFmtId="0" fontId="11" fillId="0" borderId="34" xfId="2" applyFont="1" applyBorder="1"/>
    <xf numFmtId="40" fontId="11" fillId="0" borderId="36" xfId="2" applyNumberFormat="1" applyFont="1" applyBorder="1"/>
    <xf numFmtId="0" fontId="11" fillId="0" borderId="36" xfId="2" applyFont="1" applyBorder="1"/>
    <xf numFmtId="0" fontId="11" fillId="0" borderId="12" xfId="2" applyFont="1" applyBorder="1"/>
    <xf numFmtId="0" fontId="11" fillId="0" borderId="0" xfId="2" applyFont="1" applyAlignment="1">
      <alignment horizontal="left"/>
    </xf>
    <xf numFmtId="166" fontId="11" fillId="0" borderId="0" xfId="2" applyNumberFormat="1" applyFont="1"/>
    <xf numFmtId="0" fontId="11" fillId="0" borderId="0" xfId="2" applyFont="1" applyAlignment="1">
      <alignment horizontal="center"/>
    </xf>
    <xf numFmtId="0" fontId="11" fillId="0" borderId="6" xfId="2" applyFont="1" applyBorder="1"/>
    <xf numFmtId="0" fontId="12" fillId="0" borderId="6" xfId="2" applyFont="1" applyBorder="1"/>
    <xf numFmtId="0" fontId="18" fillId="0" borderId="0" xfId="0" applyFont="1"/>
    <xf numFmtId="2" fontId="11" fillId="0" borderId="4" xfId="2" applyNumberFormat="1" applyFont="1" applyBorder="1"/>
    <xf numFmtId="0" fontId="11" fillId="0" borderId="15" xfId="2" applyFont="1" applyBorder="1"/>
    <xf numFmtId="0" fontId="11" fillId="0" borderId="15" xfId="2" applyFont="1" applyBorder="1" applyAlignment="1">
      <alignment horizontal="center"/>
    </xf>
    <xf numFmtId="0" fontId="11" fillId="0" borderId="38" xfId="2" applyFont="1" applyBorder="1"/>
    <xf numFmtId="0" fontId="11" fillId="0" borderId="39" xfId="2" applyFont="1" applyBorder="1"/>
    <xf numFmtId="0" fontId="18" fillId="0" borderId="33" xfId="0" applyFont="1" applyBorder="1"/>
    <xf numFmtId="0" fontId="18" fillId="0" borderId="37" xfId="0" applyFont="1" applyBorder="1"/>
    <xf numFmtId="0" fontId="18" fillId="0" borderId="10" xfId="0" applyFont="1" applyBorder="1"/>
    <xf numFmtId="0" fontId="11" fillId="0" borderId="12" xfId="3" applyFont="1" applyBorder="1" applyAlignment="1">
      <alignment horizontal="left"/>
    </xf>
    <xf numFmtId="0" fontId="21" fillId="0" borderId="0" xfId="2" applyFont="1" applyAlignment="1">
      <alignment horizontal="center"/>
    </xf>
    <xf numFmtId="0" fontId="21" fillId="0" borderId="10" xfId="0" applyFont="1" applyBorder="1"/>
    <xf numFmtId="0" fontId="21" fillId="0" borderId="0" xfId="0" applyFont="1"/>
    <xf numFmtId="164" fontId="21" fillId="0" borderId="0" xfId="2" applyNumberFormat="1" applyFont="1" applyAlignment="1">
      <alignment horizontal="center"/>
    </xf>
    <xf numFmtId="0" fontId="11" fillId="0" borderId="12" xfId="3" applyFont="1" applyBorder="1"/>
    <xf numFmtId="0" fontId="11" fillId="0" borderId="0" xfId="3" applyFont="1"/>
    <xf numFmtId="0" fontId="6" fillId="0" borderId="12" xfId="3" applyFont="1" applyBorder="1"/>
    <xf numFmtId="0" fontId="5" fillId="0" borderId="16" xfId="2" applyFont="1" applyBorder="1" applyAlignment="1">
      <alignment horizontal="center" vertical="top"/>
    </xf>
    <xf numFmtId="0" fontId="5" fillId="0" borderId="4" xfId="2" applyFont="1" applyBorder="1" applyAlignment="1">
      <alignment horizontal="center" vertical="top"/>
    </xf>
    <xf numFmtId="40" fontId="11" fillId="0" borderId="32" xfId="8" applyNumberFormat="1" applyFont="1" applyFill="1" applyBorder="1" applyAlignment="1"/>
    <xf numFmtId="1" fontId="11" fillId="0" borderId="4" xfId="2" applyNumberFormat="1" applyFont="1" applyBorder="1"/>
    <xf numFmtId="4" fontId="11" fillId="0" borderId="32" xfId="8" applyNumberFormat="1" applyFont="1" applyFill="1" applyBorder="1" applyAlignment="1">
      <alignment horizontal="center"/>
    </xf>
    <xf numFmtId="0" fontId="11" fillId="0" borderId="37" xfId="2" applyFont="1" applyBorder="1"/>
    <xf numFmtId="0" fontId="11" fillId="0" borderId="10" xfId="2" applyFont="1" applyBorder="1"/>
    <xf numFmtId="0" fontId="11" fillId="0" borderId="12" xfId="2" applyFont="1" applyBorder="1" applyAlignment="1">
      <alignment horizontal="left"/>
    </xf>
    <xf numFmtId="164" fontId="11" fillId="0" borderId="0" xfId="2" applyNumberFormat="1" applyFont="1" applyAlignment="1">
      <alignment horizontal="center"/>
    </xf>
    <xf numFmtId="0" fontId="6" fillId="0" borderId="11" xfId="3" applyFont="1" applyBorder="1"/>
    <xf numFmtId="0" fontId="11" fillId="0" borderId="3" xfId="2" applyFont="1" applyBorder="1"/>
    <xf numFmtId="0" fontId="11" fillId="0" borderId="8" xfId="2" applyFont="1" applyBorder="1"/>
    <xf numFmtId="0" fontId="11" fillId="0" borderId="9" xfId="2" applyFont="1" applyBorder="1"/>
    <xf numFmtId="0" fontId="11" fillId="0" borderId="11" xfId="3" applyFont="1" applyBorder="1" applyAlignment="1">
      <alignment horizontal="left"/>
    </xf>
    <xf numFmtId="0" fontId="5" fillId="0" borderId="4" xfId="2" applyFont="1" applyBorder="1"/>
    <xf numFmtId="2" fontId="11" fillId="0" borderId="4" xfId="2" applyNumberFormat="1" applyFont="1" applyBorder="1" applyAlignment="1">
      <alignment horizontal="right"/>
    </xf>
    <xf numFmtId="0" fontId="16" fillId="0" borderId="33" xfId="0" applyFont="1" applyBorder="1"/>
    <xf numFmtId="0" fontId="11" fillId="0" borderId="6" xfId="2" applyFont="1" applyBorder="1" applyAlignment="1">
      <alignment horizontal="center"/>
    </xf>
    <xf numFmtId="0" fontId="20" fillId="0" borderId="6" xfId="0" applyFont="1" applyBorder="1"/>
    <xf numFmtId="0" fontId="20" fillId="0" borderId="3" xfId="0" applyFont="1" applyBorder="1"/>
    <xf numFmtId="0" fontId="20" fillId="0" borderId="0" xfId="0" applyFont="1"/>
    <xf numFmtId="0" fontId="5" fillId="0" borderId="7" xfId="2" applyFont="1" applyBorder="1"/>
    <xf numFmtId="0" fontId="11" fillId="0" borderId="4" xfId="2" applyFont="1" applyBorder="1"/>
    <xf numFmtId="1" fontId="5" fillId="0" borderId="2" xfId="2" applyNumberFormat="1" applyFont="1" applyBorder="1" applyAlignment="1">
      <alignment horizontal="center" vertical="top"/>
    </xf>
    <xf numFmtId="1" fontId="5" fillId="0" borderId="13" xfId="2" applyNumberFormat="1" applyFont="1" applyBorder="1" applyAlignment="1">
      <alignment horizontal="center" vertical="top"/>
    </xf>
    <xf numFmtId="2" fontId="11" fillId="0" borderId="2" xfId="2" applyNumberFormat="1" applyFont="1" applyBorder="1" applyAlignment="1">
      <alignment horizontal="right"/>
    </xf>
    <xf numFmtId="2" fontId="11" fillId="0" borderId="2" xfId="2" applyNumberFormat="1" applyFont="1" applyBorder="1"/>
    <xf numFmtId="0" fontId="11" fillId="0" borderId="10" xfId="2" applyFont="1" applyBorder="1" applyAlignment="1">
      <alignment horizontal="left"/>
    </xf>
    <xf numFmtId="0" fontId="6" fillId="0" borderId="11" xfId="2" applyFont="1" applyBorder="1" applyAlignment="1">
      <alignment horizontal="left"/>
    </xf>
    <xf numFmtId="0" fontId="11" fillId="0" borderId="6" xfId="2" applyFont="1" applyBorder="1" applyAlignment="1">
      <alignment horizontal="left"/>
    </xf>
    <xf numFmtId="0" fontId="11" fillId="0" borderId="3" xfId="2" applyFont="1" applyBorder="1" applyAlignment="1">
      <alignment horizontal="left"/>
    </xf>
    <xf numFmtId="2" fontId="11" fillId="0" borderId="5" xfId="2" applyNumberFormat="1" applyFont="1" applyBorder="1"/>
    <xf numFmtId="40" fontId="11" fillId="0" borderId="9" xfId="2" applyNumberFormat="1" applyFont="1" applyBorder="1"/>
    <xf numFmtId="0" fontId="11" fillId="0" borderId="5" xfId="2" applyFont="1" applyBorder="1"/>
    <xf numFmtId="0" fontId="6" fillId="0" borderId="11" xfId="2" applyFont="1" applyBorder="1"/>
    <xf numFmtId="164" fontId="11" fillId="0" borderId="6" xfId="2" applyNumberFormat="1" applyFont="1" applyBorder="1" applyAlignment="1">
      <alignment horizontal="center"/>
    </xf>
    <xf numFmtId="40" fontId="11" fillId="0" borderId="8" xfId="2" applyNumberFormat="1" applyFont="1" applyBorder="1"/>
    <xf numFmtId="0" fontId="6" fillId="0" borderId="12" xfId="2" applyFont="1" applyBorder="1"/>
    <xf numFmtId="0" fontId="6" fillId="0" borderId="12" xfId="0" applyFont="1" applyBorder="1" applyAlignment="1">
      <alignment horizontal="left" vertical="center"/>
    </xf>
    <xf numFmtId="0" fontId="6" fillId="0" borderId="11" xfId="0" applyFont="1" applyBorder="1" applyAlignment="1">
      <alignment horizontal="left" vertical="center"/>
    </xf>
    <xf numFmtId="0" fontId="11" fillId="0" borderId="0" xfId="0" applyFont="1" applyAlignment="1">
      <alignment horizontal="left" vertical="center"/>
    </xf>
    <xf numFmtId="1" fontId="11" fillId="0" borderId="4" xfId="2" applyNumberFormat="1" applyFont="1" applyBorder="1" applyAlignment="1">
      <alignment horizontal="center" vertical="top"/>
    </xf>
    <xf numFmtId="1" fontId="11" fillId="0" borderId="1" xfId="2" applyNumberFormat="1" applyFont="1" applyBorder="1" applyAlignment="1">
      <alignment horizontal="center" vertical="top"/>
    </xf>
    <xf numFmtId="40" fontId="11" fillId="0" borderId="1" xfId="2" applyNumberFormat="1" applyFont="1" applyBorder="1"/>
    <xf numFmtId="40" fontId="11" fillId="0" borderId="7" xfId="2" applyNumberFormat="1" applyFont="1" applyBorder="1"/>
    <xf numFmtId="164" fontId="11" fillId="0" borderId="4" xfId="1" applyNumberFormat="1" applyFont="1" applyBorder="1" applyAlignment="1">
      <alignment horizontal="right" vertical="center"/>
    </xf>
    <xf numFmtId="0" fontId="11" fillId="0" borderId="9" xfId="1" applyFont="1" applyBorder="1" applyAlignment="1">
      <alignment horizontal="center"/>
    </xf>
    <xf numFmtId="0" fontId="11" fillId="0" borderId="38" xfId="1" applyFont="1" applyBorder="1" applyAlignment="1">
      <alignment horizontal="left"/>
    </xf>
    <xf numFmtId="0" fontId="11" fillId="0" borderId="39" xfId="1" applyFont="1" applyBorder="1" applyAlignment="1">
      <alignment horizontal="left"/>
    </xf>
    <xf numFmtId="2" fontId="11" fillId="0" borderId="4" xfId="1" applyNumberFormat="1" applyFont="1" applyBorder="1" applyAlignment="1">
      <alignment vertical="center" wrapText="1"/>
    </xf>
    <xf numFmtId="0" fontId="11" fillId="0" borderId="36" xfId="0" applyFont="1" applyBorder="1" applyAlignment="1">
      <alignment horizontal="center"/>
    </xf>
    <xf numFmtId="0" fontId="6" fillId="0" borderId="11" xfId="1" applyFont="1" applyBorder="1" applyAlignment="1">
      <alignment horizontal="left"/>
    </xf>
    <xf numFmtId="0" fontId="24" fillId="0" borderId="32" xfId="1" applyFont="1" applyBorder="1" applyAlignment="1">
      <alignment horizontal="center"/>
    </xf>
    <xf numFmtId="2" fontId="7" fillId="0" borderId="32" xfId="0" applyNumberFormat="1" applyFont="1" applyBorder="1"/>
    <xf numFmtId="0" fontId="7" fillId="0" borderId="32" xfId="0" applyFont="1" applyBorder="1" applyAlignment="1">
      <alignment horizontal="right"/>
    </xf>
    <xf numFmtId="0" fontId="7" fillId="0" borderId="32" xfId="0" applyFont="1" applyBorder="1" applyAlignment="1">
      <alignment horizontal="center"/>
    </xf>
    <xf numFmtId="0" fontId="11" fillId="0" borderId="0" xfId="1" applyFont="1" applyAlignment="1">
      <alignment horizontal="center"/>
    </xf>
    <xf numFmtId="0" fontId="11" fillId="0" borderId="0" xfId="0" applyFont="1" applyAlignment="1">
      <alignment horizontal="center"/>
    </xf>
    <xf numFmtId="0" fontId="24" fillId="0" borderId="32" xfId="0" applyFont="1" applyBorder="1" applyAlignment="1">
      <alignment horizontal="center"/>
    </xf>
    <xf numFmtId="0" fontId="7" fillId="0" borderId="32" xfId="1" applyFont="1" applyBorder="1" applyAlignment="1">
      <alignment horizontal="right"/>
    </xf>
    <xf numFmtId="0" fontId="7" fillId="0" borderId="35" xfId="0" applyFont="1" applyBorder="1" applyAlignment="1">
      <alignment horizontal="center"/>
    </xf>
    <xf numFmtId="0" fontId="7" fillId="0" borderId="32" xfId="0" applyFont="1" applyBorder="1" applyAlignment="1">
      <alignment wrapText="1"/>
    </xf>
    <xf numFmtId="2" fontId="11" fillId="0" borderId="4" xfId="1" applyNumberFormat="1" applyFont="1" applyBorder="1" applyAlignment="1">
      <alignment horizontal="right" wrapText="1"/>
    </xf>
    <xf numFmtId="2" fontId="7" fillId="0" borderId="32" xfId="1" applyNumberFormat="1" applyFont="1" applyBorder="1"/>
    <xf numFmtId="2" fontId="7" fillId="0" borderId="32" xfId="1" applyNumberFormat="1" applyFont="1" applyBorder="1" applyAlignment="1">
      <alignment horizontal="right"/>
    </xf>
    <xf numFmtId="2" fontId="11" fillId="0" borderId="4" xfId="0" applyNumberFormat="1" applyFont="1" applyBorder="1" applyAlignment="1">
      <alignment horizontal="center" vertical="center"/>
    </xf>
    <xf numFmtId="2" fontId="11" fillId="0" borderId="2" xfId="0" applyNumberFormat="1" applyFont="1" applyBorder="1" applyAlignment="1">
      <alignment horizontal="center" vertical="center"/>
    </xf>
    <xf numFmtId="1" fontId="11" fillId="0" borderId="15" xfId="0" applyNumberFormat="1" applyFont="1" applyBorder="1" applyAlignment="1">
      <alignment horizontal="center"/>
    </xf>
    <xf numFmtId="0" fontId="25" fillId="0" borderId="40" xfId="0" applyFont="1" applyBorder="1" applyAlignment="1">
      <alignment horizontal="center"/>
    </xf>
    <xf numFmtId="2" fontId="26" fillId="0" borderId="42" xfId="0" applyNumberFormat="1" applyFont="1" applyBorder="1" applyAlignment="1">
      <alignment horizontal="right"/>
    </xf>
    <xf numFmtId="0" fontId="26" fillId="0" borderId="43" xfId="0" applyFont="1" applyBorder="1" applyAlignment="1">
      <alignment horizontal="center"/>
    </xf>
    <xf numFmtId="0" fontId="1" fillId="0" borderId="39" xfId="0" applyFont="1" applyBorder="1"/>
    <xf numFmtId="0" fontId="1" fillId="0" borderId="36" xfId="0" applyFont="1" applyBorder="1"/>
    <xf numFmtId="0" fontId="11" fillId="0" borderId="12" xfId="0" applyFont="1" applyBorder="1" applyAlignment="1">
      <alignment horizontal="left" vertical="center"/>
    </xf>
    <xf numFmtId="0" fontId="11" fillId="0" borderId="6" xfId="0" applyFont="1" applyBorder="1" applyAlignment="1">
      <alignment horizontal="left" vertical="center" wrapText="1"/>
    </xf>
    <xf numFmtId="2" fontId="11" fillId="0" borderId="42" xfId="0" applyNumberFormat="1" applyFont="1" applyBorder="1" applyAlignment="1">
      <alignment horizontal="right"/>
    </xf>
    <xf numFmtId="0" fontId="25" fillId="0" borderId="30" xfId="0" applyFont="1" applyBorder="1" applyAlignment="1">
      <alignment horizontal="center"/>
    </xf>
    <xf numFmtId="2" fontId="11" fillId="0" borderId="4" xfId="0" applyNumberFormat="1" applyFont="1" applyBorder="1" applyAlignment="1">
      <alignment horizontal="center"/>
    </xf>
    <xf numFmtId="2" fontId="11" fillId="0" borderId="31" xfId="0" applyNumberFormat="1" applyFont="1" applyBorder="1"/>
    <xf numFmtId="1" fontId="11" fillId="0" borderId="31" xfId="0" applyNumberFormat="1" applyFont="1" applyBorder="1"/>
    <xf numFmtId="0" fontId="5" fillId="0" borderId="16" xfId="0" applyFont="1" applyBorder="1"/>
    <xf numFmtId="2" fontId="26" fillId="0" borderId="42" xfId="0" applyNumberFormat="1" applyFont="1" applyBorder="1"/>
    <xf numFmtId="0" fontId="26" fillId="0" borderId="43" xfId="0" applyFont="1" applyBorder="1"/>
    <xf numFmtId="0" fontId="11" fillId="0" borderId="34" xfId="0" applyFont="1" applyBorder="1" applyAlignment="1">
      <alignment vertical="center"/>
    </xf>
    <xf numFmtId="0" fontId="5" fillId="0" borderId="2" xfId="0" applyFont="1" applyBorder="1" applyAlignment="1">
      <alignment horizontal="left"/>
    </xf>
    <xf numFmtId="0" fontId="5" fillId="0" borderId="1" xfId="0" applyFont="1" applyBorder="1" applyAlignment="1">
      <alignment horizontal="center"/>
    </xf>
    <xf numFmtId="0" fontId="11" fillId="0" borderId="7" xfId="0" applyFont="1" applyBorder="1" applyAlignment="1">
      <alignment horizontal="center"/>
    </xf>
    <xf numFmtId="0" fontId="15" fillId="0" borderId="0" xfId="0" applyFont="1"/>
    <xf numFmtId="2" fontId="11" fillId="0" borderId="1" xfId="0" applyNumberFormat="1" applyFont="1" applyBorder="1" applyAlignment="1">
      <alignment horizontal="right" vertical="center" wrapText="1"/>
    </xf>
    <xf numFmtId="2" fontId="11" fillId="0" borderId="1" xfId="0" applyNumberFormat="1" applyFont="1" applyBorder="1" applyAlignment="1">
      <alignment horizontal="right"/>
    </xf>
    <xf numFmtId="1" fontId="11" fillId="0" borderId="32" xfId="0" applyNumberFormat="1" applyFont="1" applyBorder="1" applyAlignment="1">
      <alignment horizontal="center"/>
    </xf>
    <xf numFmtId="2" fontId="11" fillId="0" borderId="4" xfId="1" quotePrefix="1" applyNumberFormat="1" applyFont="1" applyBorder="1" applyAlignment="1">
      <alignment horizontal="right"/>
    </xf>
    <xf numFmtId="2" fontId="11" fillId="0" borderId="4" xfId="1" quotePrefix="1" applyNumberFormat="1" applyFont="1" applyBorder="1" applyAlignment="1">
      <alignment horizontal="right" wrapText="1"/>
    </xf>
    <xf numFmtId="0" fontId="11" fillId="0" borderId="39" xfId="1" applyFont="1" applyBorder="1"/>
    <xf numFmtId="0" fontId="25" fillId="0" borderId="32" xfId="1" applyFont="1" applyBorder="1" applyAlignment="1">
      <alignment horizontal="center"/>
    </xf>
    <xf numFmtId="2" fontId="26" fillId="0" borderId="32" xfId="1" applyNumberFormat="1" applyFont="1" applyBorder="1"/>
    <xf numFmtId="0" fontId="26" fillId="0" borderId="32" xfId="1" applyFont="1" applyBorder="1"/>
    <xf numFmtId="49" fontId="11" fillId="0" borderId="4" xfId="1" applyNumberFormat="1" applyFont="1" applyBorder="1" applyAlignment="1">
      <alignment horizontal="center" wrapText="1"/>
    </xf>
    <xf numFmtId="0" fontId="11" fillId="0" borderId="6" xfId="0" applyFont="1" applyBorder="1" applyAlignment="1">
      <alignment horizontal="center"/>
    </xf>
    <xf numFmtId="2" fontId="11" fillId="0" borderId="13" xfId="0" applyNumberFormat="1" applyFont="1" applyBorder="1" applyAlignment="1">
      <alignment horizontal="right"/>
    </xf>
    <xf numFmtId="2" fontId="11" fillId="0" borderId="36" xfId="0" applyNumberFormat="1" applyFont="1" applyBorder="1"/>
    <xf numFmtId="0" fontId="6" fillId="0" borderId="11" xfId="0" applyFont="1" applyBorder="1" applyAlignment="1">
      <alignment vertical="center"/>
    </xf>
    <xf numFmtId="2" fontId="22" fillId="0" borderId="4" xfId="0" applyNumberFormat="1" applyFont="1" applyBorder="1"/>
    <xf numFmtId="2" fontId="22" fillId="0" borderId="4" xfId="0" applyNumberFormat="1" applyFont="1" applyBorder="1" applyAlignment="1">
      <alignment horizontal="right"/>
    </xf>
    <xf numFmtId="0" fontId="5" fillId="0" borderId="32" xfId="0" applyFont="1" applyBorder="1" applyAlignment="1">
      <alignment horizontal="center"/>
    </xf>
    <xf numFmtId="0" fontId="11" fillId="0" borderId="10" xfId="0" applyFont="1" applyBorder="1" applyAlignment="1">
      <alignment horizontal="left"/>
    </xf>
    <xf numFmtId="0" fontId="11" fillId="0" borderId="3" xfId="0" applyFont="1" applyBorder="1" applyAlignment="1">
      <alignment horizontal="left"/>
    </xf>
    <xf numFmtId="49" fontId="11" fillId="0" borderId="4" xfId="0" applyNumberFormat="1" applyFont="1" applyBorder="1" applyAlignment="1">
      <alignment horizontal="center"/>
    </xf>
    <xf numFmtId="0" fontId="11" fillId="0" borderId="7" xfId="1" applyFont="1" applyBorder="1" applyAlignment="1">
      <alignment horizontal="left" vertical="top"/>
    </xf>
    <xf numFmtId="0" fontId="11" fillId="0" borderId="8" xfId="1" applyFont="1" applyBorder="1" applyAlignment="1">
      <alignment horizontal="left" vertical="top"/>
    </xf>
    <xf numFmtId="0" fontId="11" fillId="0" borderId="9" xfId="1" applyFont="1" applyBorder="1" applyAlignment="1">
      <alignment horizontal="left" vertical="top"/>
    </xf>
    <xf numFmtId="0" fontId="11" fillId="0" borderId="12" xfId="1" applyFont="1" applyBorder="1" applyAlignment="1">
      <alignment horizontal="left" vertical="top"/>
    </xf>
    <xf numFmtId="0" fontId="11" fillId="0" borderId="0" xfId="1" applyFont="1" applyAlignment="1">
      <alignment horizontal="left" vertical="top"/>
    </xf>
    <xf numFmtId="0" fontId="11" fillId="0" borderId="10" xfId="1" applyFont="1" applyBorder="1" applyAlignment="1">
      <alignment horizontal="left" vertical="top"/>
    </xf>
    <xf numFmtId="2" fontId="11" fillId="0" borderId="32" xfId="0" applyNumberFormat="1" applyFont="1" applyBorder="1" applyAlignment="1">
      <alignment horizontal="right"/>
    </xf>
    <xf numFmtId="0" fontId="11" fillId="0" borderId="32" xfId="0" quotePrefix="1" applyFont="1" applyBorder="1" applyAlignment="1">
      <alignment horizontal="center"/>
    </xf>
    <xf numFmtId="0" fontId="11" fillId="0" borderId="32" xfId="0" applyFont="1" applyBorder="1" applyAlignment="1">
      <alignment horizontal="left"/>
    </xf>
    <xf numFmtId="0" fontId="11" fillId="0" borderId="37" xfId="0" applyFont="1" applyBorder="1" applyAlignment="1">
      <alignment horizontal="left"/>
    </xf>
    <xf numFmtId="1" fontId="5" fillId="0" borderId="4" xfId="0" applyNumberFormat="1" applyFont="1" applyBorder="1" applyAlignment="1">
      <alignment horizontal="center"/>
    </xf>
    <xf numFmtId="1" fontId="5" fillId="0" borderId="5" xfId="0" applyNumberFormat="1" applyFont="1" applyBorder="1" applyAlignment="1">
      <alignment horizontal="center"/>
    </xf>
    <xf numFmtId="1" fontId="5" fillId="0" borderId="2" xfId="0" applyNumberFormat="1" applyFont="1" applyBorder="1" applyAlignment="1">
      <alignment horizontal="center"/>
    </xf>
    <xf numFmtId="49" fontId="11" fillId="0" borderId="2" xfId="0" applyNumberFormat="1" applyFont="1" applyBorder="1" applyAlignment="1">
      <alignment horizontal="center"/>
    </xf>
    <xf numFmtId="0" fontId="5" fillId="0" borderId="9" xfId="0" applyFont="1" applyBorder="1" applyAlignment="1">
      <alignment horizontal="left"/>
    </xf>
    <xf numFmtId="0" fontId="5" fillId="0" borderId="15" xfId="0" applyFont="1" applyBorder="1"/>
    <xf numFmtId="0" fontId="5" fillId="0" borderId="8" xfId="0" applyFont="1" applyBorder="1"/>
    <xf numFmtId="0" fontId="5" fillId="0" borderId="8" xfId="0" applyFont="1" applyBorder="1" applyAlignment="1">
      <alignment horizontal="right"/>
    </xf>
    <xf numFmtId="0" fontId="5" fillId="0" borderId="0" xfId="0" applyFont="1" applyAlignment="1">
      <alignment horizontal="right"/>
    </xf>
    <xf numFmtId="0" fontId="5" fillId="0" borderId="6" xfId="0" applyFont="1" applyBorder="1" applyAlignment="1">
      <alignment horizontal="right"/>
    </xf>
    <xf numFmtId="0" fontId="11" fillId="0" borderId="10" xfId="0" applyFont="1" applyBorder="1" applyAlignment="1">
      <alignment horizontal="center"/>
    </xf>
    <xf numFmtId="0" fontId="5" fillId="0" borderId="2" xfId="0" applyFont="1" applyBorder="1" applyAlignment="1">
      <alignment horizontal="center" vertical="top" wrapText="1"/>
    </xf>
    <xf numFmtId="0" fontId="5" fillId="0" borderId="13" xfId="0" applyFont="1" applyBorder="1" applyAlignment="1">
      <alignment horizontal="center" vertical="top" wrapText="1"/>
    </xf>
    <xf numFmtId="2" fontId="11" fillId="0" borderId="14" xfId="0" applyNumberFormat="1" applyFont="1" applyBorder="1"/>
    <xf numFmtId="2" fontId="5" fillId="0" borderId="2" xfId="0" applyNumberFormat="1" applyFont="1" applyBorder="1"/>
    <xf numFmtId="0" fontId="6" fillId="0" borderId="6" xfId="0" applyFont="1" applyBorder="1" applyAlignment="1">
      <alignment horizontal="left" wrapText="1"/>
    </xf>
    <xf numFmtId="0" fontId="5" fillId="0" borderId="17" xfId="4" applyFont="1" applyBorder="1"/>
    <xf numFmtId="0" fontId="5" fillId="0" borderId="18" xfId="4" applyFont="1" applyBorder="1"/>
    <xf numFmtId="0" fontId="11" fillId="0" borderId="0" xfId="4" applyFont="1"/>
    <xf numFmtId="0" fontId="5" fillId="0" borderId="20" xfId="4" applyFont="1" applyBorder="1"/>
    <xf numFmtId="0" fontId="5" fillId="0" borderId="4" xfId="4" applyFont="1" applyBorder="1"/>
    <xf numFmtId="0" fontId="11" fillId="0" borderId="17" xfId="4" applyFont="1" applyBorder="1"/>
    <xf numFmtId="0" fontId="11" fillId="0" borderId="19" xfId="4" applyFont="1" applyBorder="1"/>
    <xf numFmtId="0" fontId="5" fillId="0" borderId="26" xfId="4" applyFont="1" applyBorder="1" applyAlignment="1">
      <alignment horizontal="center"/>
    </xf>
    <xf numFmtId="0" fontId="5" fillId="0" borderId="18" xfId="4" applyFont="1" applyBorder="1" applyAlignment="1">
      <alignment horizontal="center"/>
    </xf>
    <xf numFmtId="2" fontId="11" fillId="0" borderId="19" xfId="4" applyNumberFormat="1" applyFont="1" applyBorder="1" applyAlignment="1">
      <alignment horizontal="right"/>
    </xf>
    <xf numFmtId="2" fontId="11" fillId="0" borderId="19" xfId="4" applyNumberFormat="1" applyFont="1" applyBorder="1" applyAlignment="1">
      <alignment horizontal="left"/>
    </xf>
    <xf numFmtId="2" fontId="11" fillId="0" borderId="19" xfId="4" applyNumberFormat="1" applyFont="1" applyBorder="1"/>
    <xf numFmtId="2" fontId="11" fillId="0" borderId="22" xfId="4" applyNumberFormat="1" applyFont="1" applyBorder="1" applyAlignment="1">
      <alignment horizontal="center"/>
    </xf>
    <xf numFmtId="2" fontId="11" fillId="0" borderId="22" xfId="4" applyNumberFormat="1" applyFont="1" applyBorder="1"/>
    <xf numFmtId="0" fontId="11" fillId="0" borderId="27" xfId="4" applyFont="1" applyBorder="1"/>
    <xf numFmtId="0" fontId="11" fillId="0" borderId="28" xfId="4" applyFont="1" applyBorder="1"/>
    <xf numFmtId="0" fontId="11" fillId="0" borderId="28" xfId="4" applyFont="1" applyBorder="1" applyAlignment="1">
      <alignment horizontal="center"/>
    </xf>
    <xf numFmtId="0" fontId="11" fillId="0" borderId="23" xfId="4" applyFont="1" applyBorder="1" applyAlignment="1">
      <alignment horizontal="center"/>
    </xf>
    <xf numFmtId="0" fontId="11" fillId="0" borderId="6" xfId="4" applyFont="1" applyBorder="1"/>
    <xf numFmtId="0" fontId="11" fillId="0" borderId="6" xfId="4" applyFont="1" applyBorder="1" applyAlignment="1">
      <alignment horizontal="center"/>
    </xf>
    <xf numFmtId="2" fontId="11" fillId="0" borderId="19" xfId="4" applyNumberFormat="1" applyFont="1" applyBorder="1" applyAlignment="1">
      <alignment horizontal="center"/>
    </xf>
    <xf numFmtId="0" fontId="5" fillId="0" borderId="19" xfId="4" applyFont="1" applyBorder="1" applyAlignment="1">
      <alignment horizontal="center"/>
    </xf>
    <xf numFmtId="2" fontId="11" fillId="0" borderId="19" xfId="0" applyNumberFormat="1" applyFont="1" applyBorder="1"/>
    <xf numFmtId="0" fontId="11" fillId="0" borderId="19" xfId="0" applyFont="1" applyBorder="1"/>
    <xf numFmtId="0" fontId="11" fillId="0" borderId="28" xfId="0" applyFont="1" applyBorder="1" applyAlignment="1">
      <alignment horizontal="center"/>
    </xf>
    <xf numFmtId="0" fontId="11" fillId="0" borderId="34" xfId="4" applyFont="1" applyBorder="1"/>
    <xf numFmtId="0" fontId="11" fillId="0" borderId="36" xfId="4" applyFont="1" applyBorder="1" applyAlignment="1">
      <alignment wrapText="1"/>
    </xf>
    <xf numFmtId="0" fontId="11" fillId="0" borderId="12" xfId="4" applyFont="1" applyBorder="1"/>
    <xf numFmtId="0" fontId="11" fillId="0" borderId="0" xfId="4" applyFont="1" applyAlignment="1">
      <alignment wrapText="1"/>
    </xf>
    <xf numFmtId="0" fontId="11" fillId="0" borderId="12" xfId="4" applyFont="1" applyBorder="1" applyAlignment="1">
      <alignment horizontal="left"/>
    </xf>
    <xf numFmtId="0" fontId="11" fillId="0" borderId="0" xfId="4" applyFont="1" applyAlignment="1">
      <alignment horizontal="left" wrapText="1"/>
    </xf>
    <xf numFmtId="0" fontId="6" fillId="0" borderId="11" xfId="4" applyFont="1" applyBorder="1"/>
    <xf numFmtId="0" fontId="11" fillId="0" borderId="6" xfId="4" applyFont="1" applyBorder="1" applyAlignment="1">
      <alignment wrapText="1"/>
    </xf>
    <xf numFmtId="0" fontId="11" fillId="0" borderId="6" xfId="4" applyFont="1" applyBorder="1" applyAlignment="1">
      <alignment horizontal="left" wrapText="1"/>
    </xf>
    <xf numFmtId="2" fontId="11" fillId="0" borderId="19" xfId="4" quotePrefix="1" applyNumberFormat="1" applyFont="1" applyBorder="1"/>
    <xf numFmtId="0" fontId="11" fillId="0" borderId="36" xfId="4" applyFont="1" applyBorder="1"/>
    <xf numFmtId="0" fontId="11" fillId="0" borderId="36" xfId="4" applyFont="1" applyBorder="1" applyAlignment="1">
      <alignment horizontal="center"/>
    </xf>
    <xf numFmtId="0" fontId="11" fillId="0" borderId="0" xfId="4" applyFont="1" applyAlignment="1">
      <alignment horizontal="center"/>
    </xf>
    <xf numFmtId="2" fontId="11" fillId="0" borderId="19" xfId="4" applyNumberFormat="1" applyFont="1" applyBorder="1" applyAlignment="1">
      <alignment wrapText="1"/>
    </xf>
    <xf numFmtId="0" fontId="5" fillId="0" borderId="20" xfId="4" applyFont="1" applyBorder="1" applyAlignment="1">
      <alignment horizontal="center"/>
    </xf>
    <xf numFmtId="0" fontId="5" fillId="0" borderId="4" xfId="4" applyFont="1" applyBorder="1" applyAlignment="1">
      <alignment horizontal="center"/>
    </xf>
    <xf numFmtId="2" fontId="11" fillId="0" borderId="20" xfId="4" applyNumberFormat="1" applyFont="1" applyBorder="1"/>
    <xf numFmtId="2" fontId="11" fillId="0" borderId="4" xfId="4" applyNumberFormat="1" applyFont="1" applyBorder="1"/>
    <xf numFmtId="2" fontId="7" fillId="0" borderId="19" xfId="0" applyNumberFormat="1" applyFont="1" applyBorder="1"/>
    <xf numFmtId="0" fontId="11" fillId="0" borderId="29" xfId="4" applyFont="1" applyBorder="1" applyAlignment="1">
      <alignment horizontal="center"/>
    </xf>
    <xf numFmtId="0" fontId="11" fillId="0" borderId="15" xfId="4" applyFont="1" applyBorder="1" applyAlignment="1">
      <alignment horizontal="center"/>
    </xf>
    <xf numFmtId="0" fontId="11" fillId="0" borderId="4" xfId="4" applyFont="1" applyBorder="1" applyAlignment="1">
      <alignment horizontal="center"/>
    </xf>
    <xf numFmtId="0" fontId="11" fillId="0" borderId="38" xfId="4" applyFont="1" applyBorder="1"/>
    <xf numFmtId="0" fontId="11" fillId="0" borderId="39" xfId="4" applyFont="1" applyBorder="1"/>
    <xf numFmtId="0" fontId="5" fillId="0" borderId="21" xfId="4" applyFont="1" applyBorder="1" applyAlignment="1">
      <alignment horizontal="center"/>
    </xf>
    <xf numFmtId="0" fontId="24" fillId="0" borderId="19" xfId="0" applyFont="1" applyBorder="1" applyAlignment="1">
      <alignment horizontal="center"/>
    </xf>
    <xf numFmtId="2" fontId="11" fillId="0" borderId="21" xfId="4" applyNumberFormat="1" applyFont="1" applyBorder="1"/>
    <xf numFmtId="2" fontId="11" fillId="0" borderId="22" xfId="4" applyNumberFormat="1" applyFont="1" applyBorder="1" applyAlignment="1">
      <alignment horizontal="right"/>
    </xf>
    <xf numFmtId="0" fontId="7" fillId="0" borderId="28" xfId="0" applyFont="1" applyBorder="1" applyAlignment="1">
      <alignment horizontal="center"/>
    </xf>
    <xf numFmtId="0" fontId="5" fillId="0" borderId="0" xfId="4" applyFont="1" applyAlignment="1">
      <alignment horizontal="center"/>
    </xf>
    <xf numFmtId="0" fontId="5" fillId="0" borderId="28" xfId="4" applyFont="1" applyBorder="1" applyAlignment="1">
      <alignment horizontal="center"/>
    </xf>
    <xf numFmtId="0" fontId="5" fillId="0" borderId="29" xfId="4" applyFont="1" applyBorder="1" applyAlignment="1">
      <alignment horizontal="center"/>
    </xf>
    <xf numFmtId="2" fontId="11" fillId="0" borderId="4" xfId="4" applyNumberFormat="1" applyFont="1" applyBorder="1" applyAlignment="1">
      <alignment horizontal="right"/>
    </xf>
    <xf numFmtId="2" fontId="11" fillId="0" borderId="26" xfId="4" applyNumberFormat="1" applyFont="1" applyBorder="1" applyAlignment="1">
      <alignment horizontal="right"/>
    </xf>
    <xf numFmtId="0" fontId="11" fillId="0" borderId="19" xfId="4" applyFont="1" applyBorder="1" applyAlignment="1">
      <alignment horizontal="right"/>
    </xf>
    <xf numFmtId="0" fontId="11" fillId="0" borderId="20" xfId="4" applyFont="1" applyBorder="1"/>
    <xf numFmtId="0" fontId="7" fillId="0" borderId="19" xfId="0" applyFont="1" applyBorder="1"/>
    <xf numFmtId="0" fontId="11" fillId="0" borderId="39" xfId="4" applyFont="1" applyBorder="1" applyAlignment="1">
      <alignment horizontal="center"/>
    </xf>
    <xf numFmtId="0" fontId="27" fillId="0" borderId="0" xfId="0" applyFont="1"/>
    <xf numFmtId="49" fontId="11" fillId="0" borderId="4" xfId="1" quotePrefix="1" applyNumberFormat="1" applyFont="1" applyBorder="1" applyAlignment="1">
      <alignment horizontal="center" wrapText="1"/>
    </xf>
    <xf numFmtId="0" fontId="12" fillId="0" borderId="32" xfId="0" applyFont="1" applyBorder="1" applyAlignment="1">
      <alignment horizontal="center"/>
    </xf>
    <xf numFmtId="0" fontId="11" fillId="0" borderId="36" xfId="0" applyFont="1" applyBorder="1" applyAlignment="1">
      <alignment wrapText="1"/>
    </xf>
    <xf numFmtId="49" fontId="11" fillId="0" borderId="4" xfId="1" applyNumberFormat="1" applyFont="1" applyBorder="1" applyAlignment="1">
      <alignment horizontal="right" wrapText="1"/>
    </xf>
    <xf numFmtId="0" fontId="7" fillId="0" borderId="4" xfId="0" applyFont="1" applyBorder="1"/>
    <xf numFmtId="2" fontId="7" fillId="0" borderId="4" xfId="0" applyNumberFormat="1" applyFont="1" applyBorder="1"/>
    <xf numFmtId="0" fontId="7" fillId="0" borderId="15" xfId="0" applyFont="1" applyBorder="1"/>
    <xf numFmtId="1" fontId="7" fillId="0" borderId="4" xfId="0" applyNumberFormat="1" applyFont="1" applyBorder="1" applyAlignment="1">
      <alignment wrapText="1"/>
    </xf>
    <xf numFmtId="0" fontId="6" fillId="0" borderId="37" xfId="0" applyFont="1" applyBorder="1"/>
    <xf numFmtId="0" fontId="6" fillId="0" borderId="36" xfId="0" applyFont="1" applyBorder="1"/>
    <xf numFmtId="1" fontId="11" fillId="0" borderId="35" xfId="1" applyNumberFormat="1" applyFont="1" applyBorder="1"/>
    <xf numFmtId="0" fontId="12" fillId="0" borderId="35" xfId="0" applyFont="1" applyBorder="1"/>
    <xf numFmtId="0" fontId="11" fillId="0" borderId="34" xfId="1" applyFont="1" applyBorder="1" applyAlignment="1">
      <alignment vertical="top" wrapText="1"/>
    </xf>
    <xf numFmtId="0" fontId="11" fillId="0" borderId="36" xfId="1" applyFont="1" applyBorder="1" applyAlignment="1">
      <alignment vertical="top" wrapText="1"/>
    </xf>
    <xf numFmtId="0" fontId="11" fillId="0" borderId="37" xfId="1" applyFont="1" applyBorder="1" applyAlignment="1">
      <alignment vertical="top" wrapText="1"/>
    </xf>
    <xf numFmtId="0" fontId="11" fillId="0" borderId="0" xfId="1" applyFont="1" applyAlignment="1">
      <alignment vertical="top" wrapText="1"/>
    </xf>
    <xf numFmtId="0" fontId="11" fillId="0" borderId="34" xfId="1" applyFont="1" applyBorder="1" applyAlignment="1">
      <alignment vertical="top"/>
    </xf>
    <xf numFmtId="0" fontId="5" fillId="0" borderId="32" xfId="1" applyFont="1" applyBorder="1"/>
    <xf numFmtId="0" fontId="11" fillId="0" borderId="38" xfId="1" applyFont="1" applyBorder="1"/>
    <xf numFmtId="0" fontId="11" fillId="0" borderId="33" xfId="1" applyFont="1" applyBorder="1"/>
    <xf numFmtId="0" fontId="5" fillId="0" borderId="33" xfId="0" applyFont="1" applyBorder="1" applyAlignment="1">
      <alignment horizontal="left"/>
    </xf>
    <xf numFmtId="49" fontId="11" fillId="0" borderId="32" xfId="1" applyNumberFormat="1" applyFont="1" applyBorder="1" applyAlignment="1">
      <alignment horizontal="center" wrapText="1"/>
    </xf>
    <xf numFmtId="0" fontId="20" fillId="0" borderId="10" xfId="0" applyFont="1" applyBorder="1"/>
    <xf numFmtId="0" fontId="12" fillId="0" borderId="36" xfId="2" applyFont="1" applyBorder="1"/>
    <xf numFmtId="0" fontId="12" fillId="0" borderId="0" xfId="2" applyFont="1"/>
    <xf numFmtId="40" fontId="11" fillId="0" borderId="35" xfId="2" applyNumberFormat="1" applyFont="1" applyBorder="1"/>
    <xf numFmtId="165" fontId="11" fillId="0" borderId="35" xfId="2" applyNumberFormat="1" applyFont="1" applyBorder="1"/>
    <xf numFmtId="0" fontId="18" fillId="0" borderId="35" xfId="0" applyFont="1" applyBorder="1"/>
    <xf numFmtId="0" fontId="16" fillId="0" borderId="35" xfId="0" applyFont="1" applyBorder="1"/>
    <xf numFmtId="0" fontId="6" fillId="0" borderId="0" xfId="2" applyFont="1"/>
    <xf numFmtId="2" fontId="11" fillId="0" borderId="0" xfId="2" applyNumberFormat="1" applyFont="1" applyAlignment="1">
      <alignment horizontal="center"/>
    </xf>
    <xf numFmtId="0" fontId="6" fillId="0" borderId="6" xfId="3" applyFont="1" applyBorder="1"/>
    <xf numFmtId="0" fontId="6" fillId="0" borderId="6" xfId="2" applyFont="1" applyBorder="1"/>
    <xf numFmtId="0" fontId="29" fillId="0" borderId="3" xfId="0" applyFont="1" applyBorder="1"/>
    <xf numFmtId="0" fontId="29" fillId="0" borderId="0" xfId="0" applyFont="1"/>
    <xf numFmtId="0" fontId="11" fillId="0" borderId="0" xfId="3" applyFont="1" applyAlignment="1">
      <alignment wrapText="1"/>
    </xf>
    <xf numFmtId="0" fontId="11" fillId="0" borderId="6" xfId="3" applyFont="1" applyBorder="1"/>
    <xf numFmtId="1" fontId="5" fillId="0" borderId="32" xfId="2" applyNumberFormat="1" applyFont="1" applyBorder="1" applyAlignment="1">
      <alignment horizontal="center" vertical="top"/>
    </xf>
    <xf numFmtId="167" fontId="11" fillId="0" borderId="35" xfId="2" applyNumberFormat="1" applyFont="1" applyBorder="1"/>
    <xf numFmtId="1" fontId="11" fillId="0" borderId="35" xfId="2" applyNumberFormat="1" applyFont="1" applyBorder="1"/>
    <xf numFmtId="0" fontId="11" fillId="0" borderId="35" xfId="2" applyFont="1" applyBorder="1"/>
    <xf numFmtId="0" fontId="20" fillId="0" borderId="37" xfId="0" applyFont="1" applyBorder="1"/>
    <xf numFmtId="0" fontId="6" fillId="0" borderId="6" xfId="1" applyFont="1" applyBorder="1"/>
    <xf numFmtId="0" fontId="5" fillId="0" borderId="38" xfId="2" applyFont="1" applyBorder="1"/>
    <xf numFmtId="0" fontId="5" fillId="0" borderId="32" xfId="2" applyFont="1" applyBorder="1"/>
    <xf numFmtId="0" fontId="11" fillId="0" borderId="33" xfId="2" applyFont="1" applyBorder="1"/>
    <xf numFmtId="0" fontId="11" fillId="0" borderId="10" xfId="1" applyFont="1" applyBorder="1"/>
    <xf numFmtId="0" fontId="6" fillId="0" borderId="3" xfId="1" applyFont="1" applyBorder="1"/>
    <xf numFmtId="0" fontId="30" fillId="0" borderId="0" xfId="0" applyFont="1"/>
    <xf numFmtId="40" fontId="11" fillId="0" borderId="32" xfId="2" applyNumberFormat="1" applyFont="1" applyBorder="1"/>
    <xf numFmtId="40" fontId="11" fillId="0" borderId="38" xfId="2" applyNumberFormat="1" applyFont="1" applyBorder="1"/>
    <xf numFmtId="4" fontId="11" fillId="0" borderId="32" xfId="9" applyNumberFormat="1" applyFont="1" applyFill="1" applyBorder="1" applyAlignment="1">
      <alignment horizontal="center"/>
    </xf>
    <xf numFmtId="40" fontId="11" fillId="0" borderId="34" xfId="2" applyNumberFormat="1" applyFont="1" applyBorder="1"/>
    <xf numFmtId="4" fontId="11" fillId="0" borderId="35" xfId="9" applyNumberFormat="1" applyFont="1" applyFill="1" applyBorder="1" applyAlignment="1">
      <alignment horizontal="center"/>
    </xf>
    <xf numFmtId="0" fontId="6" fillId="0" borderId="38" xfId="4" applyFont="1" applyBorder="1"/>
    <xf numFmtId="0" fontId="11" fillId="0" borderId="33" xfId="4" applyFont="1" applyBorder="1"/>
    <xf numFmtId="0" fontId="5" fillId="0" borderId="4" xfId="0" applyFont="1" applyBorder="1" applyAlignment="1">
      <alignment vertical="center"/>
    </xf>
    <xf numFmtId="0" fontId="5" fillId="0" borderId="32" xfId="0" applyFont="1" applyBorder="1" applyAlignment="1">
      <alignment vertical="center"/>
    </xf>
    <xf numFmtId="0" fontId="27" fillId="0" borderId="3" xfId="0" applyFont="1" applyBorder="1"/>
    <xf numFmtId="1" fontId="11" fillId="0" borderId="35" xfId="0" applyNumberFormat="1" applyFont="1" applyBorder="1" applyAlignment="1">
      <alignment horizontal="center"/>
    </xf>
    <xf numFmtId="0" fontId="11" fillId="0" borderId="35" xfId="0" applyFont="1" applyBorder="1" applyAlignment="1">
      <alignment horizontal="center"/>
    </xf>
    <xf numFmtId="0" fontId="11" fillId="0" borderId="34" xfId="1" applyFont="1" applyBorder="1" applyAlignment="1">
      <alignment horizontal="left"/>
    </xf>
    <xf numFmtId="0" fontId="11" fillId="0" borderId="36" xfId="1" applyFont="1" applyBorder="1" applyAlignment="1">
      <alignment horizontal="left"/>
    </xf>
    <xf numFmtId="43" fontId="7" fillId="0" borderId="4" xfId="1" applyNumberFormat="1" applyFont="1" applyBorder="1" applyAlignment="1">
      <alignment horizontal="right"/>
    </xf>
    <xf numFmtId="0" fontId="11" fillId="0" borderId="39" xfId="1" applyFont="1" applyBorder="1" applyAlignment="1">
      <alignment horizontal="left" wrapText="1"/>
    </xf>
    <xf numFmtId="0" fontId="11" fillId="0" borderId="12" xfId="0" applyFont="1" applyBorder="1" applyAlignment="1">
      <alignment horizontal="left" wrapText="1"/>
    </xf>
    <xf numFmtId="0" fontId="11" fillId="0" borderId="0" xfId="0" applyFont="1" applyAlignment="1">
      <alignment horizontal="left" wrapText="1"/>
    </xf>
    <xf numFmtId="0" fontId="11" fillId="0" borderId="7" xfId="0" applyFont="1" applyBorder="1" applyAlignment="1">
      <alignment horizontal="left" wrapText="1"/>
    </xf>
    <xf numFmtId="0" fontId="11" fillId="0" borderId="8" xfId="0" applyFont="1" applyBorder="1" applyAlignment="1">
      <alignment horizontal="left" wrapText="1"/>
    </xf>
    <xf numFmtId="0" fontId="11" fillId="0" borderId="11" xfId="0" applyFont="1" applyBorder="1" applyAlignment="1">
      <alignment horizontal="left" wrapText="1"/>
    </xf>
    <xf numFmtId="0" fontId="11" fillId="0" borderId="6" xfId="0" applyFont="1" applyBorder="1" applyAlignment="1">
      <alignment horizontal="left" wrapText="1"/>
    </xf>
    <xf numFmtId="0" fontId="11" fillId="0" borderId="12" xfId="0" applyFont="1" applyBorder="1" applyAlignment="1">
      <alignment horizontal="left" vertical="center" wrapText="1"/>
    </xf>
    <xf numFmtId="0" fontId="11" fillId="0" borderId="0" xfId="0" applyFont="1" applyAlignment="1">
      <alignment horizontal="left" vertical="center" wrapText="1"/>
    </xf>
    <xf numFmtId="0" fontId="11" fillId="0" borderId="34" xfId="0" applyFont="1" applyBorder="1" applyAlignment="1">
      <alignment horizontal="left" wrapText="1"/>
    </xf>
    <xf numFmtId="0" fontId="11" fillId="0" borderId="36" xfId="0" applyFont="1" applyBorder="1" applyAlignment="1">
      <alignment horizontal="left" wrapText="1"/>
    </xf>
    <xf numFmtId="0" fontId="11" fillId="0" borderId="12" xfId="3" applyFont="1" applyBorder="1" applyAlignment="1">
      <alignment horizontal="left" wrapText="1"/>
    </xf>
    <xf numFmtId="0" fontId="11" fillId="0" borderId="0" xfId="3" applyFont="1" applyAlignment="1">
      <alignment horizontal="left" wrapText="1"/>
    </xf>
    <xf numFmtId="2" fontId="11" fillId="0" borderId="1" xfId="0" applyNumberFormat="1" applyFont="1" applyBorder="1" applyAlignment="1">
      <alignment horizontal="center"/>
    </xf>
    <xf numFmtId="2" fontId="11" fillId="0" borderId="5" xfId="0" applyNumberFormat="1" applyFont="1" applyBorder="1" applyAlignment="1">
      <alignment horizontal="center"/>
    </xf>
    <xf numFmtId="2" fontId="11" fillId="0" borderId="2" xfId="0" applyNumberFormat="1" applyFont="1" applyBorder="1" applyAlignment="1">
      <alignment horizontal="center"/>
    </xf>
    <xf numFmtId="0" fontId="11" fillId="0" borderId="4" xfId="1" applyFont="1" applyBorder="1" applyAlignment="1">
      <alignment horizontal="left"/>
    </xf>
    <xf numFmtId="0" fontId="11" fillId="0" borderId="7" xfId="1" applyFont="1" applyBorder="1" applyAlignment="1">
      <alignment horizontal="left"/>
    </xf>
    <xf numFmtId="0" fontId="11" fillId="0" borderId="8" xfId="1" applyFont="1" applyBorder="1" applyAlignment="1">
      <alignment horizontal="left"/>
    </xf>
    <xf numFmtId="2" fontId="11" fillId="0" borderId="1" xfId="1" applyNumberFormat="1" applyFont="1" applyBorder="1" applyAlignment="1">
      <alignment horizontal="center"/>
    </xf>
    <xf numFmtId="2" fontId="11" fillId="0" borderId="5" xfId="1" applyNumberFormat="1" applyFont="1" applyBorder="1" applyAlignment="1">
      <alignment horizontal="center"/>
    </xf>
    <xf numFmtId="2" fontId="11" fillId="0" borderId="2" xfId="1" applyNumberFormat="1" applyFont="1" applyBorder="1" applyAlignment="1">
      <alignment horizontal="center"/>
    </xf>
    <xf numFmtId="2" fontId="11" fillId="0" borderId="38" xfId="1" applyNumberFormat="1" applyFont="1" applyBorder="1" applyAlignment="1">
      <alignment horizontal="center"/>
    </xf>
    <xf numFmtId="2" fontId="11" fillId="0" borderId="39" xfId="1" applyNumberFormat="1" applyFont="1" applyBorder="1" applyAlignment="1">
      <alignment horizontal="center"/>
    </xf>
    <xf numFmtId="2" fontId="11" fillId="0" borderId="33" xfId="1" applyNumberFormat="1" applyFont="1" applyBorder="1" applyAlignment="1">
      <alignment horizontal="center"/>
    </xf>
    <xf numFmtId="0" fontId="12" fillId="0" borderId="34" xfId="0" applyFont="1" applyBorder="1" applyAlignment="1">
      <alignment horizontal="left"/>
    </xf>
    <xf numFmtId="0" fontId="12" fillId="0" borderId="36" xfId="0" applyFont="1" applyBorder="1" applyAlignment="1">
      <alignment horizontal="left"/>
    </xf>
    <xf numFmtId="0" fontId="11" fillId="0" borderId="34" xfId="1" applyFont="1" applyBorder="1" applyAlignment="1">
      <alignment horizontal="left"/>
    </xf>
    <xf numFmtId="0" fontId="11" fillId="0" borderId="36" xfId="1" applyFont="1" applyBorder="1" applyAlignment="1">
      <alignment horizontal="left"/>
    </xf>
    <xf numFmtId="0" fontId="12" fillId="0" borderId="12" xfId="0" applyFont="1" applyBorder="1" applyAlignment="1">
      <alignment horizontal="left" wrapText="1"/>
    </xf>
    <xf numFmtId="0" fontId="12" fillId="0" borderId="0" xfId="0" applyFont="1" applyAlignment="1">
      <alignment horizontal="left" wrapText="1"/>
    </xf>
    <xf numFmtId="46" fontId="5" fillId="0" borderId="6" xfId="0" applyNumberFormat="1" applyFont="1" applyBorder="1" applyAlignment="1">
      <alignment horizontal="left" wrapText="1"/>
    </xf>
    <xf numFmtId="0" fontId="11" fillId="0" borderId="38" xfId="1" applyFont="1" applyBorder="1" applyAlignment="1">
      <alignment horizontal="left" wrapText="1"/>
    </xf>
    <xf numFmtId="0" fontId="11" fillId="0" borderId="39" xfId="1" applyFont="1" applyBorder="1" applyAlignment="1">
      <alignment horizontal="left" wrapText="1"/>
    </xf>
    <xf numFmtId="0" fontId="11" fillId="0" borderId="33" xfId="1" applyFont="1" applyBorder="1" applyAlignment="1">
      <alignment horizontal="left" wrapText="1"/>
    </xf>
    <xf numFmtId="0" fontId="11" fillId="0" borderId="39" xfId="0" applyFont="1" applyBorder="1" applyAlignment="1">
      <alignment horizontal="center"/>
    </xf>
    <xf numFmtId="0" fontId="11" fillId="0" borderId="33" xfId="0" applyFont="1" applyBorder="1" applyAlignment="1">
      <alignment horizontal="center"/>
    </xf>
    <xf numFmtId="0" fontId="11" fillId="0" borderId="38" xfId="0" applyFont="1" applyBorder="1" applyAlignment="1">
      <alignment horizontal="left"/>
    </xf>
    <xf numFmtId="0" fontId="11" fillId="0" borderId="39" xfId="0" applyFont="1" applyBorder="1" applyAlignment="1">
      <alignment horizontal="left"/>
    </xf>
    <xf numFmtId="0" fontId="11" fillId="0" borderId="34" xfId="1" applyFont="1" applyBorder="1" applyAlignment="1">
      <alignment horizontal="left" wrapText="1"/>
    </xf>
    <xf numFmtId="0" fontId="11" fillId="0" borderId="36" xfId="1" applyFont="1" applyBorder="1" applyAlignment="1">
      <alignment horizontal="left" wrapText="1"/>
    </xf>
    <xf numFmtId="0" fontId="11" fillId="0" borderId="12" xfId="1" applyFont="1" applyBorder="1" applyAlignment="1">
      <alignment horizontal="left" vertical="top" wrapText="1"/>
    </xf>
    <xf numFmtId="0" fontId="11" fillId="0" borderId="0" xfId="1" applyFont="1" applyAlignment="1">
      <alignment horizontal="left" vertical="top" wrapText="1"/>
    </xf>
    <xf numFmtId="0" fontId="11" fillId="0" borderId="11" xfId="1" applyFont="1" applyBorder="1" applyAlignment="1">
      <alignment horizontal="left" wrapText="1"/>
    </xf>
    <xf numFmtId="0" fontId="11" fillId="0" borderId="6" xfId="1" applyFont="1" applyBorder="1" applyAlignment="1">
      <alignment horizontal="left" wrapText="1"/>
    </xf>
    <xf numFmtId="0" fontId="11" fillId="0" borderId="1" xfId="0" applyFont="1" applyBorder="1" applyAlignment="1">
      <alignment horizontal="left"/>
    </xf>
    <xf numFmtId="0" fontId="11" fillId="0" borderId="5" xfId="0" applyFont="1" applyBorder="1" applyAlignment="1">
      <alignment horizontal="left"/>
    </xf>
    <xf numFmtId="0" fontId="11" fillId="0" borderId="38" xfId="1" applyFont="1" applyBorder="1" applyAlignment="1">
      <alignment horizontal="left"/>
    </xf>
    <xf numFmtId="0" fontId="11" fillId="0" borderId="39" xfId="1" applyFont="1" applyBorder="1" applyAlignment="1">
      <alignment horizontal="left"/>
    </xf>
    <xf numFmtId="0" fontId="11" fillId="0" borderId="34" xfId="0" applyFont="1" applyBorder="1" applyAlignment="1">
      <alignment horizontal="left" vertical="center" wrapText="1"/>
    </xf>
    <xf numFmtId="0" fontId="11" fillId="0" borderId="36" xfId="0" applyFont="1" applyBorder="1" applyAlignment="1">
      <alignment horizontal="left" vertical="center" wrapText="1"/>
    </xf>
    <xf numFmtId="0" fontId="5" fillId="0" borderId="38" xfId="1" applyFont="1" applyBorder="1"/>
    <xf numFmtId="0" fontId="5" fillId="0" borderId="33" xfId="1" applyFont="1" applyBorder="1"/>
    <xf numFmtId="0" fontId="11" fillId="0" borderId="32" xfId="1" applyFont="1" applyBorder="1" applyAlignment="1">
      <alignment horizontal="left" wrapText="1"/>
    </xf>
    <xf numFmtId="0" fontId="11" fillId="0" borderId="32" xfId="1" applyFont="1" applyBorder="1" applyAlignment="1">
      <alignment wrapText="1"/>
    </xf>
    <xf numFmtId="2" fontId="11" fillId="0" borderId="32" xfId="1" applyNumberFormat="1" applyFont="1" applyBorder="1" applyAlignment="1">
      <alignment horizontal="left" wrapText="1"/>
    </xf>
    <xf numFmtId="2" fontId="11" fillId="0" borderId="32" xfId="1" applyNumberFormat="1" applyFont="1" applyBorder="1" applyAlignment="1">
      <alignment horizontal="right" wrapText="1"/>
    </xf>
    <xf numFmtId="0" fontId="11" fillId="0" borderId="32" xfId="1" quotePrefix="1" applyFont="1" applyBorder="1" applyAlignment="1">
      <alignment horizontal="left" wrapText="1"/>
    </xf>
    <xf numFmtId="0" fontId="11" fillId="0" borderId="32" xfId="1" applyFont="1" applyBorder="1" applyAlignment="1">
      <alignment horizontal="left"/>
    </xf>
    <xf numFmtId="0" fontId="11" fillId="0" borderId="39" xfId="1" applyFont="1" applyBorder="1" applyAlignment="1">
      <alignment wrapText="1"/>
    </xf>
    <xf numFmtId="0" fontId="11" fillId="0" borderId="33" xfId="1" applyFont="1" applyBorder="1" applyAlignment="1">
      <alignment wrapText="1"/>
    </xf>
    <xf numFmtId="2" fontId="11" fillId="0" borderId="32" xfId="1" applyNumberFormat="1" applyFont="1" applyBorder="1" applyAlignment="1">
      <alignment wrapText="1"/>
    </xf>
    <xf numFmtId="0" fontId="11" fillId="0" borderId="35" xfId="1" applyFont="1" applyBorder="1" applyAlignment="1">
      <alignment horizontal="left" wrapText="1"/>
    </xf>
    <xf numFmtId="0" fontId="11" fillId="0" borderId="35" xfId="1" applyFont="1" applyBorder="1" applyAlignment="1">
      <alignment wrapText="1"/>
    </xf>
  </cellXfs>
  <cellStyles count="11">
    <cellStyle name="Comma [0]" xfId="8" builtinId="6"/>
    <cellStyle name="Comma [0] 2" xfId="9" xr:uid="{15BE6873-DCEF-47FA-9EBF-7847D7F2AC03}"/>
    <cellStyle name="Normal" xfId="0" builtinId="0"/>
    <cellStyle name="Normal 2" xfId="1" xr:uid="{00000000-0005-0000-0000-000001000000}"/>
    <cellStyle name="Normal 3" xfId="4" xr:uid="{00000000-0005-0000-0000-000002000000}"/>
    <cellStyle name="Normal 3 2" xfId="10" xr:uid="{737AFF2C-E8F3-4F05-B0D3-ADE26FDD4D83}"/>
    <cellStyle name="Normal 4" xfId="5" xr:uid="{64DFD5AE-932A-43CB-89FD-77DBA7A77495}"/>
    <cellStyle name="Normal 5" xfId="6" xr:uid="{0B908675-5FC1-47F7-A420-9E22167CE1EC}"/>
    <cellStyle name="표준 3" xfId="7" xr:uid="{62E14E76-F9FB-4938-A6D0-9109D4D5C877}"/>
    <cellStyle name="標準 2" xfId="2" xr:uid="{00000000-0005-0000-0000-000003000000}"/>
    <cellStyle name="標準_COMP FORMS Japan" xfId="3"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2259"/>
  <sheetViews>
    <sheetView tabSelected="1" zoomScaleNormal="100" workbookViewId="0">
      <pane xSplit="2" ySplit="2" topLeftCell="C3" activePane="bottomRight" state="frozen"/>
      <selection pane="topRight" activeCell="C1" sqref="C1"/>
      <selection pane="bottomLeft" activeCell="A3" sqref="A3"/>
      <selection pane="bottomRight"/>
    </sheetView>
  </sheetViews>
  <sheetFormatPr defaultColWidth="9.109375" defaultRowHeight="13.2" x14ac:dyDescent="0.25"/>
  <cols>
    <col min="1" max="1" width="19.88671875" style="3" customWidth="1"/>
    <col min="2" max="4" width="28.5546875" style="3" customWidth="1"/>
    <col min="5" max="5" width="30.5546875" style="3" customWidth="1"/>
    <col min="6" max="9" width="28.5546875" style="3" customWidth="1"/>
    <col min="10" max="10" width="27.44140625" style="3" bestFit="1" customWidth="1"/>
    <col min="11" max="11" width="20.6640625" style="3" customWidth="1"/>
    <col min="12" max="12" width="19.109375" style="3" bestFit="1" customWidth="1"/>
    <col min="13" max="14" width="17.6640625" style="3" bestFit="1" customWidth="1"/>
    <col min="15" max="16" width="10.33203125" style="3" customWidth="1"/>
    <col min="17" max="16384" width="9.109375" style="3"/>
  </cols>
  <sheetData>
    <row r="1" spans="1:26" ht="13.8" x14ac:dyDescent="0.3">
      <c r="A1" s="1" t="s">
        <v>1253</v>
      </c>
      <c r="B1" s="2"/>
      <c r="C1" s="2"/>
      <c r="D1" s="2"/>
      <c r="E1" s="2"/>
      <c r="F1" s="1"/>
      <c r="G1" s="2"/>
    </row>
    <row r="2" spans="1:26" ht="13.8" x14ac:dyDescent="0.3">
      <c r="A2" s="1"/>
      <c r="B2" s="2"/>
      <c r="C2" s="2"/>
      <c r="D2" s="2"/>
      <c r="E2" s="2"/>
      <c r="F2" s="1"/>
      <c r="G2" s="2"/>
    </row>
    <row r="3" spans="1:26" ht="12.75" customHeight="1" x14ac:dyDescent="0.25">
      <c r="A3" s="3" t="s">
        <v>941</v>
      </c>
      <c r="B3" s="4"/>
      <c r="C3" s="4"/>
      <c r="D3" s="4"/>
      <c r="E3" s="4"/>
      <c r="F3" s="4"/>
      <c r="G3" s="4"/>
      <c r="H3" s="4"/>
      <c r="I3" s="4"/>
      <c r="J3" s="4"/>
      <c r="K3" s="4"/>
      <c r="L3" s="4"/>
      <c r="M3" s="4"/>
      <c r="N3" s="4"/>
      <c r="O3" s="4"/>
      <c r="P3" s="4"/>
      <c r="Q3" s="4"/>
      <c r="R3" s="4"/>
      <c r="S3" s="4"/>
      <c r="T3" s="4"/>
      <c r="U3" s="4"/>
      <c r="V3" s="4"/>
      <c r="W3" s="4"/>
      <c r="X3" s="4"/>
      <c r="Y3" s="4"/>
      <c r="Z3" s="4"/>
    </row>
    <row r="4" spans="1:26" s="5" customFormat="1" ht="13.8" x14ac:dyDescent="0.3"/>
    <row r="5" spans="1:26" ht="13.8" x14ac:dyDescent="0.3">
      <c r="A5" s="6" t="s">
        <v>12</v>
      </c>
      <c r="B5" s="7" t="s">
        <v>757</v>
      </c>
      <c r="C5" s="8"/>
      <c r="F5" s="1"/>
      <c r="G5" s="2"/>
    </row>
    <row r="6" spans="1:26" ht="13.8" x14ac:dyDescent="0.3">
      <c r="A6" s="6" t="s">
        <v>14</v>
      </c>
      <c r="B6" s="7" t="s">
        <v>642</v>
      </c>
      <c r="C6" s="9" t="s">
        <v>15</v>
      </c>
      <c r="F6" s="1"/>
      <c r="G6" s="2"/>
    </row>
    <row r="7" spans="1:26" x14ac:dyDescent="0.25">
      <c r="A7" s="10" t="s">
        <v>16</v>
      </c>
      <c r="B7" s="11"/>
      <c r="C7" s="11">
        <v>2021</v>
      </c>
      <c r="D7" s="11">
        <v>2022</v>
      </c>
      <c r="E7" s="11">
        <v>2023</v>
      </c>
      <c r="F7" s="11">
        <v>2024</v>
      </c>
      <c r="G7" s="11">
        <v>2025</v>
      </c>
    </row>
    <row r="8" spans="1:26" x14ac:dyDescent="0.25">
      <c r="A8" s="10" t="s">
        <v>17</v>
      </c>
      <c r="B8" s="12"/>
      <c r="C8" s="12">
        <v>170</v>
      </c>
      <c r="D8" s="12">
        <v>170</v>
      </c>
      <c r="E8" s="12">
        <v>264</v>
      </c>
      <c r="F8" s="12">
        <v>264</v>
      </c>
      <c r="G8" s="12">
        <v>264</v>
      </c>
    </row>
    <row r="9" spans="1:26" x14ac:dyDescent="0.25">
      <c r="A9" s="10" t="s">
        <v>18</v>
      </c>
      <c r="B9" s="12"/>
      <c r="C9" s="12"/>
      <c r="D9" s="12">
        <f>D8+0.05*C8</f>
        <v>178.5</v>
      </c>
      <c r="E9" s="12"/>
      <c r="F9" s="12"/>
      <c r="G9" s="12"/>
    </row>
    <row r="10" spans="1:26" x14ac:dyDescent="0.25">
      <c r="A10" s="10" t="s">
        <v>19</v>
      </c>
      <c r="B10" s="13"/>
      <c r="C10" s="14"/>
      <c r="D10" s="14" t="s">
        <v>758</v>
      </c>
      <c r="E10" s="14"/>
      <c r="F10" s="14"/>
      <c r="G10" s="14"/>
    </row>
    <row r="11" spans="1:26" x14ac:dyDescent="0.25">
      <c r="A11" s="10" t="s">
        <v>20</v>
      </c>
      <c r="B11" s="12"/>
      <c r="C11" s="12">
        <v>148.4</v>
      </c>
      <c r="D11" s="12">
        <v>177.5</v>
      </c>
      <c r="E11" s="12">
        <v>263.86921999999998</v>
      </c>
      <c r="F11" s="15">
        <v>262.95</v>
      </c>
      <c r="G11" s="15"/>
    </row>
    <row r="12" spans="1:26" x14ac:dyDescent="0.25">
      <c r="A12" s="10" t="s">
        <v>21</v>
      </c>
      <c r="B12" s="12"/>
      <c r="C12" s="12">
        <f>C8-C11</f>
        <v>21.599999999999994</v>
      </c>
      <c r="D12" s="12">
        <f>D9-D11</f>
        <v>1</v>
      </c>
      <c r="E12" s="12">
        <f>E8-E11</f>
        <v>0.13078000000001566</v>
      </c>
      <c r="F12" s="15">
        <f>F8-F11</f>
        <v>1.0500000000000114</v>
      </c>
      <c r="G12" s="15"/>
    </row>
    <row r="13" spans="1:26" x14ac:dyDescent="0.25">
      <c r="A13" s="16" t="s">
        <v>22</v>
      </c>
      <c r="B13" s="17"/>
      <c r="C13" s="17">
        <v>2022</v>
      </c>
      <c r="D13" s="17">
        <v>2023</v>
      </c>
      <c r="E13" s="17">
        <v>2024</v>
      </c>
      <c r="F13" s="17">
        <v>2025</v>
      </c>
      <c r="G13" s="17">
        <v>2026</v>
      </c>
    </row>
    <row r="14" spans="1:26" ht="13.8" x14ac:dyDescent="0.3">
      <c r="A14" s="18" t="s">
        <v>23</v>
      </c>
      <c r="B14" s="19"/>
      <c r="C14" s="19"/>
      <c r="D14" s="19"/>
      <c r="E14" s="19"/>
      <c r="F14" s="20"/>
      <c r="G14" s="21"/>
    </row>
    <row r="15" spans="1:26" ht="31.95" customHeight="1" x14ac:dyDescent="0.3">
      <c r="A15" s="664" t="s">
        <v>759</v>
      </c>
      <c r="B15" s="665"/>
      <c r="C15" s="665"/>
      <c r="D15" s="665"/>
      <c r="E15" s="665"/>
      <c r="F15" s="23"/>
      <c r="G15" s="24"/>
    </row>
    <row r="16" spans="1:26" ht="13.8" x14ac:dyDescent="0.3">
      <c r="A16" s="1"/>
      <c r="B16" s="2"/>
      <c r="C16" s="2"/>
      <c r="D16" s="2"/>
      <c r="E16" s="2"/>
      <c r="F16" s="1"/>
      <c r="G16" s="2"/>
    </row>
    <row r="17" spans="1:7" s="5" customFormat="1" ht="13.8" x14ac:dyDescent="0.3"/>
    <row r="18" spans="1:7" ht="13.8" x14ac:dyDescent="0.3">
      <c r="A18" s="6" t="s">
        <v>12</v>
      </c>
      <c r="B18" s="7" t="s">
        <v>983</v>
      </c>
      <c r="C18" s="8"/>
      <c r="F18" s="1"/>
      <c r="G18" s="2"/>
    </row>
    <row r="19" spans="1:7" ht="13.8" x14ac:dyDescent="0.3">
      <c r="A19" s="6" t="s">
        <v>14</v>
      </c>
      <c r="B19" s="7" t="s">
        <v>642</v>
      </c>
      <c r="C19" s="9" t="s">
        <v>15</v>
      </c>
      <c r="F19" s="1"/>
      <c r="G19" s="2"/>
    </row>
    <row r="20" spans="1:7" x14ac:dyDescent="0.25">
      <c r="A20" s="10" t="s">
        <v>16</v>
      </c>
      <c r="B20" s="11"/>
      <c r="C20" s="11">
        <v>2023</v>
      </c>
      <c r="D20" s="11">
        <v>2024</v>
      </c>
      <c r="E20" s="599">
        <v>2025</v>
      </c>
      <c r="F20" s="2"/>
    </row>
    <row r="21" spans="1:7" x14ac:dyDescent="0.25">
      <c r="A21" s="10" t="s">
        <v>17</v>
      </c>
      <c r="B21" s="12"/>
      <c r="C21" s="12">
        <v>2023</v>
      </c>
      <c r="D21" s="12">
        <v>2023</v>
      </c>
      <c r="E21" s="600">
        <v>2023</v>
      </c>
      <c r="F21" s="2"/>
    </row>
    <row r="22" spans="1:7" x14ac:dyDescent="0.25">
      <c r="A22" s="10" t="s">
        <v>18</v>
      </c>
      <c r="B22" s="12"/>
      <c r="C22" s="12"/>
      <c r="D22" s="12">
        <f>D21+23</f>
        <v>2046</v>
      </c>
      <c r="E22" s="27">
        <v>2052.65</v>
      </c>
      <c r="F22" s="2"/>
    </row>
    <row r="23" spans="1:7" ht="26.4" x14ac:dyDescent="0.25">
      <c r="A23" s="10" t="s">
        <v>19</v>
      </c>
      <c r="B23" s="13"/>
      <c r="C23" s="14"/>
      <c r="D23" s="14" t="s">
        <v>984</v>
      </c>
      <c r="E23" s="28" t="s">
        <v>1141</v>
      </c>
      <c r="F23" s="2"/>
    </row>
    <row r="24" spans="1:7" x14ac:dyDescent="0.25">
      <c r="A24" s="10" t="s">
        <v>20</v>
      </c>
      <c r="B24" s="12"/>
      <c r="C24" s="12">
        <v>1999.9290000000001</v>
      </c>
      <c r="D24" s="15">
        <v>2011.35</v>
      </c>
      <c r="E24" s="600"/>
      <c r="F24" s="2"/>
    </row>
    <row r="25" spans="1:7" x14ac:dyDescent="0.25">
      <c r="A25" s="10" t="s">
        <v>21</v>
      </c>
      <c r="B25" s="12"/>
      <c r="C25" s="12">
        <f>C21-C24</f>
        <v>23.070999999999913</v>
      </c>
      <c r="D25" s="15">
        <f>D22-D24</f>
        <v>34.650000000000091</v>
      </c>
      <c r="E25" s="600"/>
      <c r="F25" s="2"/>
    </row>
    <row r="26" spans="1:7" x14ac:dyDescent="0.25">
      <c r="A26" s="16" t="s">
        <v>22</v>
      </c>
      <c r="B26" s="17"/>
      <c r="C26" s="17">
        <v>2024</v>
      </c>
      <c r="D26" s="17">
        <v>2025</v>
      </c>
      <c r="E26" s="601">
        <v>2026</v>
      </c>
      <c r="F26" s="2"/>
    </row>
    <row r="27" spans="1:7" ht="13.8" x14ac:dyDescent="0.3">
      <c r="A27" s="29" t="s">
        <v>23</v>
      </c>
      <c r="B27" s="30"/>
      <c r="C27" s="30"/>
      <c r="D27" s="30"/>
      <c r="E27" s="31"/>
      <c r="F27" s="2"/>
    </row>
    <row r="28" spans="1:7" ht="31.95" customHeight="1" x14ac:dyDescent="0.3">
      <c r="A28" s="661" t="s">
        <v>985</v>
      </c>
      <c r="B28" s="661"/>
      <c r="C28" s="661"/>
      <c r="D28" s="661"/>
      <c r="E28" s="1"/>
      <c r="F28" s="2"/>
    </row>
    <row r="29" spans="1:7" s="34" customFormat="1" ht="31.95" customHeight="1" x14ac:dyDescent="0.3">
      <c r="A29" s="690" t="s">
        <v>1140</v>
      </c>
      <c r="B29" s="690"/>
      <c r="C29" s="690"/>
      <c r="D29" s="690"/>
      <c r="E29" s="23"/>
      <c r="F29" s="33"/>
    </row>
    <row r="30" spans="1:7" ht="13.8" x14ac:dyDescent="0.3">
      <c r="A30" s="35"/>
      <c r="B30" s="35"/>
      <c r="C30" s="35"/>
      <c r="D30" s="35"/>
      <c r="E30" s="1"/>
      <c r="F30" s="2"/>
    </row>
    <row r="31" spans="1:7" ht="13.8" x14ac:dyDescent="0.3">
      <c r="A31" s="1"/>
      <c r="B31" s="2"/>
      <c r="C31" s="2"/>
      <c r="D31" s="2"/>
      <c r="E31" s="2"/>
      <c r="F31" s="1"/>
      <c r="G31" s="2"/>
    </row>
    <row r="32" spans="1:7" x14ac:dyDescent="0.25">
      <c r="A32" s="6" t="s">
        <v>12</v>
      </c>
      <c r="B32" s="7" t="s">
        <v>202</v>
      </c>
      <c r="C32" s="8"/>
    </row>
    <row r="33" spans="1:9" x14ac:dyDescent="0.25">
      <c r="A33" s="6" t="s">
        <v>14</v>
      </c>
      <c r="B33" s="7" t="s">
        <v>624</v>
      </c>
      <c r="C33" s="9" t="s">
        <v>15</v>
      </c>
    </row>
    <row r="34" spans="1:9" x14ac:dyDescent="0.25">
      <c r="A34" s="10" t="s">
        <v>16</v>
      </c>
      <c r="B34" s="11"/>
      <c r="C34" s="11">
        <v>2019</v>
      </c>
      <c r="D34" s="11">
        <v>2020</v>
      </c>
      <c r="E34" s="11">
        <v>2021</v>
      </c>
      <c r="F34" s="11">
        <v>2022</v>
      </c>
      <c r="G34" s="11">
        <v>2023</v>
      </c>
      <c r="H34" s="11">
        <v>2024</v>
      </c>
      <c r="I34" s="599">
        <v>2025</v>
      </c>
    </row>
    <row r="35" spans="1:9" x14ac:dyDescent="0.25">
      <c r="A35" s="10" t="s">
        <v>17</v>
      </c>
      <c r="B35" s="12"/>
      <c r="C35" s="12">
        <v>215</v>
      </c>
      <c r="D35" s="12">
        <v>215</v>
      </c>
      <c r="E35" s="12">
        <v>242</v>
      </c>
      <c r="F35" s="12">
        <v>242</v>
      </c>
      <c r="G35" s="12">
        <v>242</v>
      </c>
      <c r="H35" s="12">
        <v>302</v>
      </c>
      <c r="I35" s="600">
        <v>302</v>
      </c>
    </row>
    <row r="36" spans="1:9" x14ac:dyDescent="0.25">
      <c r="A36" s="10" t="s">
        <v>18</v>
      </c>
      <c r="B36" s="12"/>
      <c r="C36" s="12">
        <v>265</v>
      </c>
      <c r="D36" s="12">
        <v>265</v>
      </c>
      <c r="E36" s="12">
        <f>E35+0.25*C35</f>
        <v>295.75</v>
      </c>
      <c r="F36" s="12">
        <f>F35+0.25*D35</f>
        <v>295.75</v>
      </c>
      <c r="G36" s="12">
        <f>G35+0.25*E35</f>
        <v>302.5</v>
      </c>
      <c r="H36" s="12">
        <f>H35+0.25*F35</f>
        <v>362.5</v>
      </c>
      <c r="I36" s="600">
        <f>I35+0.25*G35</f>
        <v>362.5</v>
      </c>
    </row>
    <row r="37" spans="1:9" x14ac:dyDescent="0.25">
      <c r="A37" s="10" t="s">
        <v>19</v>
      </c>
      <c r="B37" s="13"/>
      <c r="C37" s="14">
        <v>1</v>
      </c>
      <c r="D37" s="14">
        <v>2</v>
      </c>
      <c r="E37" s="14">
        <v>3</v>
      </c>
      <c r="F37" s="14">
        <v>4</v>
      </c>
      <c r="G37" s="14">
        <v>5</v>
      </c>
      <c r="H37" s="14">
        <v>6</v>
      </c>
      <c r="I37" s="602">
        <v>7</v>
      </c>
    </row>
    <row r="38" spans="1:9" x14ac:dyDescent="0.25">
      <c r="A38" s="10" t="s">
        <v>20</v>
      </c>
      <c r="B38" s="12"/>
      <c r="C38" s="12">
        <v>7.12</v>
      </c>
      <c r="D38" s="12">
        <v>10.18</v>
      </c>
      <c r="E38" s="12">
        <v>12.5</v>
      </c>
      <c r="F38" s="12">
        <v>11.74</v>
      </c>
      <c r="G38" s="12">
        <v>13.9</v>
      </c>
      <c r="H38" s="12">
        <v>4.1399999999999997</v>
      </c>
      <c r="I38" s="600"/>
    </row>
    <row r="39" spans="1:9" x14ac:dyDescent="0.25">
      <c r="A39" s="10" t="s">
        <v>21</v>
      </c>
      <c r="B39" s="12"/>
      <c r="C39" s="12">
        <f t="shared" ref="C39:H39" si="0">C36-C38</f>
        <v>257.88</v>
      </c>
      <c r="D39" s="12">
        <f t="shared" si="0"/>
        <v>254.82</v>
      </c>
      <c r="E39" s="12">
        <f t="shared" si="0"/>
        <v>283.25</v>
      </c>
      <c r="F39" s="12">
        <f t="shared" si="0"/>
        <v>284.01</v>
      </c>
      <c r="G39" s="12">
        <f t="shared" si="0"/>
        <v>288.60000000000002</v>
      </c>
      <c r="H39" s="12">
        <f t="shared" si="0"/>
        <v>358.36</v>
      </c>
      <c r="I39" s="600"/>
    </row>
    <row r="40" spans="1:9" x14ac:dyDescent="0.25">
      <c r="A40" s="16" t="s">
        <v>22</v>
      </c>
      <c r="B40" s="17"/>
      <c r="C40" s="17">
        <v>2021</v>
      </c>
      <c r="D40" s="17">
        <v>2022</v>
      </c>
      <c r="E40" s="17">
        <v>2023</v>
      </c>
      <c r="F40" s="17">
        <v>2024</v>
      </c>
      <c r="G40" s="17">
        <v>2025</v>
      </c>
      <c r="H40" s="17">
        <v>2026</v>
      </c>
      <c r="I40" s="601">
        <v>2027</v>
      </c>
    </row>
    <row r="41" spans="1:9" x14ac:dyDescent="0.25">
      <c r="A41" s="10" t="s">
        <v>23</v>
      </c>
      <c r="B41" s="36"/>
      <c r="C41" s="36"/>
      <c r="D41" s="36"/>
      <c r="E41" s="36"/>
      <c r="F41" s="36"/>
      <c r="G41" s="37"/>
      <c r="H41" s="38"/>
      <c r="I41" s="38"/>
    </row>
    <row r="42" spans="1:9" x14ac:dyDescent="0.25">
      <c r="A42" s="18" t="s">
        <v>987</v>
      </c>
      <c r="B42" s="19"/>
      <c r="C42" s="19"/>
      <c r="D42" s="19"/>
      <c r="E42" s="19"/>
      <c r="F42" s="19"/>
      <c r="G42" s="63"/>
      <c r="H42" s="603"/>
      <c r="I42" s="603"/>
    </row>
    <row r="43" spans="1:9" x14ac:dyDescent="0.25">
      <c r="A43" s="18">
        <v>1</v>
      </c>
      <c r="B43" s="19" t="s">
        <v>760</v>
      </c>
      <c r="C43" s="19"/>
      <c r="D43" s="19"/>
      <c r="E43" s="19"/>
      <c r="F43" s="19"/>
      <c r="G43" s="19"/>
      <c r="H43" s="604"/>
      <c r="I43" s="603"/>
    </row>
    <row r="44" spans="1:9" x14ac:dyDescent="0.25">
      <c r="A44" s="39">
        <v>2</v>
      </c>
      <c r="B44" s="3" t="s">
        <v>761</v>
      </c>
      <c r="H44" s="45"/>
      <c r="I44" s="40"/>
    </row>
    <row r="45" spans="1:9" x14ac:dyDescent="0.25">
      <c r="A45" s="39">
        <v>3</v>
      </c>
      <c r="B45" s="3" t="s">
        <v>762</v>
      </c>
      <c r="H45" s="45"/>
      <c r="I45" s="40"/>
    </row>
    <row r="46" spans="1:9" x14ac:dyDescent="0.25">
      <c r="A46" s="39">
        <v>4</v>
      </c>
      <c r="B46" s="3" t="s">
        <v>763</v>
      </c>
      <c r="H46" s="45"/>
      <c r="I46" s="40"/>
    </row>
    <row r="47" spans="1:9" x14ac:dyDescent="0.25">
      <c r="A47" s="39">
        <v>5</v>
      </c>
      <c r="B47" s="3" t="s">
        <v>764</v>
      </c>
      <c r="H47" s="45"/>
      <c r="I47" s="40"/>
    </row>
    <row r="48" spans="1:9" x14ac:dyDescent="0.25">
      <c r="A48" s="39">
        <v>6</v>
      </c>
      <c r="B48" s="3" t="s">
        <v>986</v>
      </c>
      <c r="H48" s="45"/>
      <c r="I48" s="40"/>
    </row>
    <row r="49" spans="1:15" s="45" customFormat="1" x14ac:dyDescent="0.25">
      <c r="A49" s="42">
        <v>7</v>
      </c>
      <c r="B49" s="43" t="s">
        <v>1118</v>
      </c>
      <c r="C49" s="43"/>
      <c r="D49" s="43"/>
      <c r="E49" s="43"/>
      <c r="F49" s="43"/>
      <c r="G49" s="43"/>
      <c r="H49" s="43"/>
      <c r="I49" s="44"/>
    </row>
    <row r="51" spans="1:15" x14ac:dyDescent="0.25">
      <c r="A51" s="6" t="s">
        <v>14</v>
      </c>
      <c r="B51" s="7" t="s">
        <v>623</v>
      </c>
      <c r="C51" s="9" t="s">
        <v>15</v>
      </c>
    </row>
    <row r="52" spans="1:15" x14ac:dyDescent="0.25">
      <c r="A52" s="10" t="s">
        <v>16</v>
      </c>
      <c r="B52" s="11">
        <v>2018</v>
      </c>
      <c r="C52" s="11">
        <v>2019</v>
      </c>
      <c r="D52" s="11">
        <v>2020</v>
      </c>
      <c r="E52" s="11">
        <v>2021</v>
      </c>
      <c r="F52" s="11">
        <v>2022</v>
      </c>
      <c r="G52" s="11">
        <v>2023</v>
      </c>
      <c r="H52" s="11">
        <v>2024</v>
      </c>
      <c r="I52" s="11">
        <v>2025</v>
      </c>
    </row>
    <row r="53" spans="1:15" x14ac:dyDescent="0.25">
      <c r="A53" s="10" t="s">
        <v>17</v>
      </c>
      <c r="B53" s="12">
        <v>45</v>
      </c>
      <c r="C53" s="12">
        <v>45</v>
      </c>
      <c r="D53" s="12">
        <v>45</v>
      </c>
      <c r="E53" s="12">
        <v>45</v>
      </c>
      <c r="F53" s="12">
        <v>45</v>
      </c>
      <c r="G53" s="12">
        <v>45</v>
      </c>
      <c r="H53" s="12">
        <v>45</v>
      </c>
      <c r="I53" s="12">
        <v>45</v>
      </c>
    </row>
    <row r="54" spans="1:15" x14ac:dyDescent="0.25">
      <c r="A54" s="10" t="s">
        <v>18</v>
      </c>
      <c r="B54" s="12">
        <v>63</v>
      </c>
      <c r="C54" s="12">
        <v>63</v>
      </c>
      <c r="D54" s="12">
        <v>63</v>
      </c>
      <c r="E54" s="12">
        <v>63</v>
      </c>
      <c r="F54" s="12">
        <v>63</v>
      </c>
      <c r="G54" s="12">
        <v>63</v>
      </c>
      <c r="H54" s="12">
        <v>63</v>
      </c>
      <c r="I54" s="12">
        <v>63</v>
      </c>
    </row>
    <row r="55" spans="1:15" x14ac:dyDescent="0.25">
      <c r="A55" s="10" t="s">
        <v>19</v>
      </c>
      <c r="B55" s="11" t="s">
        <v>300</v>
      </c>
      <c r="C55" s="11" t="s">
        <v>300</v>
      </c>
      <c r="D55" s="11" t="s">
        <v>300</v>
      </c>
      <c r="E55" s="11" t="s">
        <v>300</v>
      </c>
      <c r="F55" s="11" t="s">
        <v>300</v>
      </c>
      <c r="G55" s="11" t="s">
        <v>300</v>
      </c>
      <c r="H55" s="11" t="s">
        <v>300</v>
      </c>
      <c r="I55" s="11" t="s">
        <v>300</v>
      </c>
    </row>
    <row r="56" spans="1:15" x14ac:dyDescent="0.25">
      <c r="A56" s="10" t="s">
        <v>20</v>
      </c>
      <c r="B56" s="12">
        <v>18.100000000000001</v>
      </c>
      <c r="C56" s="12">
        <v>9.9499999999999993</v>
      </c>
      <c r="D56" s="12">
        <v>11.79</v>
      </c>
      <c r="E56" s="12">
        <v>13.29</v>
      </c>
      <c r="F56" s="12">
        <v>8.1999999999999993</v>
      </c>
      <c r="G56" s="12">
        <v>9.4700000000000006</v>
      </c>
      <c r="H56" s="12">
        <v>8.7100000000000009</v>
      </c>
      <c r="I56" s="12"/>
    </row>
    <row r="57" spans="1:15" x14ac:dyDescent="0.25">
      <c r="A57" s="10" t="s">
        <v>21</v>
      </c>
      <c r="B57" s="12">
        <f t="shared" ref="B57:H57" si="1">B54-B56</f>
        <v>44.9</v>
      </c>
      <c r="C57" s="12">
        <f t="shared" si="1"/>
        <v>53.05</v>
      </c>
      <c r="D57" s="12">
        <f t="shared" si="1"/>
        <v>51.21</v>
      </c>
      <c r="E57" s="12">
        <f t="shared" si="1"/>
        <v>49.71</v>
      </c>
      <c r="F57" s="12">
        <f t="shared" si="1"/>
        <v>54.8</v>
      </c>
      <c r="G57" s="12">
        <f t="shared" si="1"/>
        <v>53.53</v>
      </c>
      <c r="H57" s="12">
        <f t="shared" si="1"/>
        <v>54.29</v>
      </c>
      <c r="I57" s="12"/>
    </row>
    <row r="58" spans="1:15" x14ac:dyDescent="0.25">
      <c r="A58" s="16" t="s">
        <v>22</v>
      </c>
      <c r="B58" s="17">
        <v>2020</v>
      </c>
      <c r="C58" s="17">
        <v>2021</v>
      </c>
      <c r="D58" s="17">
        <v>2022</v>
      </c>
      <c r="E58" s="17">
        <v>2023</v>
      </c>
      <c r="F58" s="17">
        <v>2024</v>
      </c>
      <c r="G58" s="17">
        <v>2025</v>
      </c>
      <c r="H58" s="17">
        <v>2026</v>
      </c>
      <c r="I58" s="17">
        <v>2027</v>
      </c>
    </row>
    <row r="59" spans="1:15" x14ac:dyDescent="0.25">
      <c r="A59" s="18" t="s">
        <v>154</v>
      </c>
      <c r="B59" s="19"/>
      <c r="C59" s="19"/>
      <c r="D59" s="19"/>
      <c r="E59" s="19"/>
      <c r="F59" s="19"/>
      <c r="G59" s="19"/>
      <c r="H59" s="19"/>
      <c r="I59" s="63"/>
    </row>
    <row r="60" spans="1:15" x14ac:dyDescent="0.25">
      <c r="A60" s="41" t="s">
        <v>988</v>
      </c>
      <c r="B60" s="34"/>
      <c r="C60" s="34"/>
      <c r="D60" s="34"/>
      <c r="E60" s="34"/>
      <c r="F60" s="34"/>
      <c r="G60" s="34"/>
      <c r="H60" s="34"/>
      <c r="I60" s="48"/>
    </row>
    <row r="62" spans="1:15" s="50" customFormat="1" ht="14.4" x14ac:dyDescent="0.3">
      <c r="A62" s="9" t="s">
        <v>14</v>
      </c>
      <c r="B62" s="9" t="s">
        <v>74</v>
      </c>
      <c r="C62" s="9" t="s">
        <v>15</v>
      </c>
      <c r="D62" s="49"/>
      <c r="E62" s="49"/>
      <c r="F62" s="49"/>
      <c r="G62" s="49"/>
      <c r="H62" s="49"/>
      <c r="I62" s="49"/>
      <c r="J62" s="49"/>
      <c r="K62" s="49"/>
      <c r="L62" s="49"/>
      <c r="M62" s="3"/>
    </row>
    <row r="63" spans="1:15" s="50" customFormat="1" ht="14.4" x14ac:dyDescent="0.3">
      <c r="A63" s="11" t="s">
        <v>16</v>
      </c>
      <c r="B63" s="11">
        <v>2013</v>
      </c>
      <c r="C63" s="11">
        <v>2014</v>
      </c>
      <c r="D63" s="51">
        <v>2015</v>
      </c>
      <c r="E63" s="11">
        <v>2016</v>
      </c>
      <c r="F63" s="51">
        <v>2017</v>
      </c>
      <c r="G63" s="11">
        <v>2018</v>
      </c>
      <c r="H63" s="51">
        <v>2019</v>
      </c>
      <c r="I63" s="11">
        <v>2020</v>
      </c>
      <c r="J63" s="51">
        <v>2021</v>
      </c>
      <c r="K63" s="51">
        <v>2022</v>
      </c>
      <c r="L63" s="51">
        <v>2023</v>
      </c>
      <c r="M63" s="51">
        <v>2024</v>
      </c>
      <c r="N63" s="51">
        <v>2025</v>
      </c>
      <c r="O63" s="51">
        <v>2026</v>
      </c>
    </row>
    <row r="64" spans="1:15" s="50" customFormat="1" ht="14.4" x14ac:dyDescent="0.3">
      <c r="A64" s="11" t="s">
        <v>17</v>
      </c>
      <c r="B64" s="11">
        <v>10</v>
      </c>
      <c r="C64" s="11">
        <v>10</v>
      </c>
      <c r="D64" s="11">
        <v>10</v>
      </c>
      <c r="E64" s="11">
        <v>10</v>
      </c>
      <c r="F64" s="11">
        <v>10</v>
      </c>
      <c r="G64" s="11">
        <v>10</v>
      </c>
      <c r="H64" s="11">
        <v>10</v>
      </c>
      <c r="I64" s="11">
        <v>10</v>
      </c>
      <c r="J64" s="11">
        <v>10</v>
      </c>
      <c r="K64" s="11">
        <v>10</v>
      </c>
      <c r="L64" s="11">
        <v>10</v>
      </c>
      <c r="M64" s="11">
        <v>10</v>
      </c>
      <c r="N64" s="11">
        <v>10</v>
      </c>
      <c r="O64" s="11">
        <v>10</v>
      </c>
    </row>
    <row r="65" spans="1:15" s="50" customFormat="1" ht="14.4" x14ac:dyDescent="0.3">
      <c r="A65" s="11" t="s">
        <v>18</v>
      </c>
      <c r="B65" s="11"/>
      <c r="C65" s="11"/>
      <c r="D65" s="11">
        <f t="shared" ref="D65:J65" si="2">D64+B68</f>
        <v>8.98</v>
      </c>
      <c r="E65" s="12">
        <f t="shared" si="2"/>
        <v>8.41</v>
      </c>
      <c r="F65" s="12">
        <f t="shared" si="2"/>
        <v>-14.739999999999998</v>
      </c>
      <c r="G65" s="12">
        <f t="shared" si="2"/>
        <v>7.2100000000000009</v>
      </c>
      <c r="H65" s="12">
        <f t="shared" si="2"/>
        <v>-28.769999999999996</v>
      </c>
      <c r="I65" s="12">
        <f t="shared" si="2"/>
        <v>3.66</v>
      </c>
      <c r="J65" s="12">
        <f t="shared" si="2"/>
        <v>-32.25</v>
      </c>
      <c r="K65" s="12">
        <f>K64+(1.25*I68)</f>
        <v>-12.337500000000002</v>
      </c>
      <c r="L65" s="12">
        <f>L64+(1.25*J68)</f>
        <v>-45.600000000000009</v>
      </c>
      <c r="M65" s="12">
        <f>M64+(1.25*K68)</f>
        <v>-17.296875000000004</v>
      </c>
      <c r="N65" s="12">
        <f>N64+(1.25*L68)</f>
        <v>-58.275000000000006</v>
      </c>
      <c r="O65" s="12">
        <f>O64+(1.25*M68)</f>
        <v>-21.158593750000001</v>
      </c>
    </row>
    <row r="66" spans="1:15" s="50" customFormat="1" ht="14.4" x14ac:dyDescent="0.3">
      <c r="A66" s="11" t="s">
        <v>19</v>
      </c>
      <c r="B66" s="11"/>
      <c r="C66" s="11"/>
      <c r="D66" s="11">
        <v>1</v>
      </c>
      <c r="E66" s="11">
        <v>2</v>
      </c>
      <c r="F66" s="11">
        <v>3</v>
      </c>
      <c r="G66" s="11">
        <v>4</v>
      </c>
      <c r="H66" s="11">
        <v>5</v>
      </c>
      <c r="I66" s="11">
        <v>6</v>
      </c>
      <c r="J66" s="11">
        <v>7</v>
      </c>
      <c r="K66" s="11">
        <v>8</v>
      </c>
      <c r="L66" s="11">
        <v>9</v>
      </c>
      <c r="M66" s="11">
        <v>10</v>
      </c>
      <c r="N66" s="11">
        <v>11</v>
      </c>
      <c r="O66" s="11">
        <v>12</v>
      </c>
    </row>
    <row r="67" spans="1:15" s="50" customFormat="1" ht="14.4" x14ac:dyDescent="0.3">
      <c r="A67" s="11" t="s">
        <v>20</v>
      </c>
      <c r="B67" s="11">
        <v>11.02</v>
      </c>
      <c r="C67" s="11">
        <v>11.59</v>
      </c>
      <c r="D67" s="52">
        <v>33.72</v>
      </c>
      <c r="E67" s="52">
        <v>11.2</v>
      </c>
      <c r="F67" s="52">
        <v>24.03</v>
      </c>
      <c r="G67" s="52">
        <v>13.55</v>
      </c>
      <c r="H67" s="52">
        <v>13.48</v>
      </c>
      <c r="I67" s="52">
        <v>21.53</v>
      </c>
      <c r="J67" s="52">
        <v>12.23</v>
      </c>
      <c r="K67" s="52">
        <v>9.5</v>
      </c>
      <c r="L67" s="51">
        <v>9.02</v>
      </c>
      <c r="M67" s="51">
        <v>7.63</v>
      </c>
      <c r="N67" s="51"/>
      <c r="O67" s="51"/>
    </row>
    <row r="68" spans="1:15" s="50" customFormat="1" ht="14.4" x14ac:dyDescent="0.3">
      <c r="A68" s="11" t="s">
        <v>21</v>
      </c>
      <c r="B68" s="11">
        <f>B64-B67</f>
        <v>-1.0199999999999996</v>
      </c>
      <c r="C68" s="11">
        <f>C64-C67</f>
        <v>-1.5899999999999999</v>
      </c>
      <c r="D68" s="11">
        <f>D65-D67</f>
        <v>-24.74</v>
      </c>
      <c r="E68" s="12">
        <f>E65-E67</f>
        <v>-2.7899999999999991</v>
      </c>
      <c r="F68" s="12">
        <f t="shared" ref="F68:K68" si="3">F65-F67</f>
        <v>-38.769999999999996</v>
      </c>
      <c r="G68" s="12">
        <f t="shared" si="3"/>
        <v>-6.34</v>
      </c>
      <c r="H68" s="12">
        <f t="shared" si="3"/>
        <v>-42.25</v>
      </c>
      <c r="I68" s="12">
        <f t="shared" si="3"/>
        <v>-17.87</v>
      </c>
      <c r="J68" s="12">
        <f t="shared" si="3"/>
        <v>-44.480000000000004</v>
      </c>
      <c r="K68" s="12">
        <f t="shared" si="3"/>
        <v>-21.837500000000002</v>
      </c>
      <c r="L68" s="12">
        <f>L65-L67</f>
        <v>-54.620000000000005</v>
      </c>
      <c r="M68" s="12">
        <f>M65-M67</f>
        <v>-24.926875000000003</v>
      </c>
      <c r="N68" s="11"/>
      <c r="O68" s="11"/>
    </row>
    <row r="69" spans="1:15" s="50" customFormat="1" ht="14.4" x14ac:dyDescent="0.3">
      <c r="A69" s="17" t="s">
        <v>22</v>
      </c>
      <c r="B69" s="17">
        <v>2015</v>
      </c>
      <c r="C69" s="17">
        <v>2016</v>
      </c>
      <c r="D69" s="17">
        <v>2017</v>
      </c>
      <c r="E69" s="17">
        <v>2018</v>
      </c>
      <c r="F69" s="17">
        <v>2019</v>
      </c>
      <c r="G69" s="17">
        <v>2020</v>
      </c>
      <c r="H69" s="17">
        <v>2021</v>
      </c>
      <c r="I69" s="17">
        <v>2022</v>
      </c>
      <c r="J69" s="17">
        <v>2023</v>
      </c>
      <c r="K69" s="17">
        <v>2024</v>
      </c>
      <c r="L69" s="17">
        <v>2025</v>
      </c>
      <c r="M69" s="17">
        <v>2026</v>
      </c>
      <c r="N69" s="17">
        <v>2027</v>
      </c>
      <c r="O69" s="17">
        <v>2028</v>
      </c>
    </row>
    <row r="70" spans="1:15" s="50" customFormat="1" ht="14.4" x14ac:dyDescent="0.3">
      <c r="A70" s="18">
        <v>1</v>
      </c>
      <c r="B70" s="53" t="s">
        <v>912</v>
      </c>
      <c r="C70" s="19"/>
      <c r="D70" s="19"/>
      <c r="E70" s="19"/>
      <c r="F70" s="19"/>
      <c r="G70" s="19"/>
      <c r="H70" s="19"/>
      <c r="I70" s="19"/>
      <c r="J70" s="19"/>
      <c r="K70" s="19"/>
      <c r="L70" s="19"/>
      <c r="M70" s="19"/>
      <c r="N70" s="54"/>
      <c r="O70" s="55"/>
    </row>
    <row r="71" spans="1:15" s="50" customFormat="1" ht="14.4" x14ac:dyDescent="0.3">
      <c r="A71" s="56">
        <v>2</v>
      </c>
      <c r="B71" s="49" t="s">
        <v>913</v>
      </c>
      <c r="C71" s="3"/>
      <c r="D71" s="3"/>
      <c r="E71" s="3"/>
      <c r="F71" s="3"/>
      <c r="G71" s="3"/>
      <c r="H71" s="3"/>
      <c r="I71" s="3"/>
      <c r="J71" s="3"/>
      <c r="K71" s="3"/>
      <c r="L71" s="3"/>
      <c r="M71" s="3"/>
      <c r="O71" s="57"/>
    </row>
    <row r="72" spans="1:15" s="50" customFormat="1" ht="14.4" x14ac:dyDescent="0.3">
      <c r="A72" s="39">
        <v>3</v>
      </c>
      <c r="B72" s="49" t="s">
        <v>914</v>
      </c>
      <c r="C72" s="3"/>
      <c r="D72" s="3"/>
      <c r="E72" s="3"/>
      <c r="F72" s="3"/>
      <c r="G72" s="3"/>
      <c r="H72" s="3"/>
      <c r="I72" s="3"/>
      <c r="J72" s="3"/>
      <c r="K72" s="3"/>
      <c r="L72" s="3"/>
      <c r="M72" s="3"/>
      <c r="O72" s="57"/>
    </row>
    <row r="73" spans="1:15" s="50" customFormat="1" ht="14.4" x14ac:dyDescent="0.3">
      <c r="A73" s="56">
        <v>4</v>
      </c>
      <c r="B73" s="49" t="s">
        <v>915</v>
      </c>
      <c r="C73" s="3"/>
      <c r="D73" s="3"/>
      <c r="E73" s="3"/>
      <c r="F73" s="3"/>
      <c r="G73" s="3"/>
      <c r="H73" s="3"/>
      <c r="I73" s="3"/>
      <c r="J73" s="3"/>
      <c r="K73" s="3"/>
      <c r="L73" s="3"/>
      <c r="M73" s="3"/>
      <c r="O73" s="57"/>
    </row>
    <row r="74" spans="1:15" s="50" customFormat="1" ht="14.4" x14ac:dyDescent="0.3">
      <c r="A74" s="39">
        <v>5</v>
      </c>
      <c r="B74" s="49" t="s">
        <v>916</v>
      </c>
      <c r="C74" s="3"/>
      <c r="D74" s="3"/>
      <c r="E74" s="3"/>
      <c r="F74" s="3"/>
      <c r="G74" s="3"/>
      <c r="H74" s="3"/>
      <c r="I74" s="3"/>
      <c r="J74" s="3"/>
      <c r="K74" s="3"/>
      <c r="L74" s="3"/>
      <c r="M74" s="3"/>
      <c r="O74" s="57"/>
    </row>
    <row r="75" spans="1:15" s="50" customFormat="1" ht="14.4" x14ac:dyDescent="0.3">
      <c r="A75" s="56">
        <v>6</v>
      </c>
      <c r="B75" s="49" t="s">
        <v>917</v>
      </c>
      <c r="C75" s="3"/>
      <c r="D75" s="3"/>
      <c r="E75" s="3"/>
      <c r="F75" s="3"/>
      <c r="G75" s="3"/>
      <c r="H75" s="3"/>
      <c r="I75" s="3"/>
      <c r="J75" s="3"/>
      <c r="K75" s="3"/>
      <c r="L75" s="3"/>
      <c r="M75" s="3"/>
      <c r="O75" s="57"/>
    </row>
    <row r="76" spans="1:15" s="50" customFormat="1" ht="14.4" x14ac:dyDescent="0.3">
      <c r="A76" s="39">
        <v>7</v>
      </c>
      <c r="B76" s="49" t="s">
        <v>918</v>
      </c>
      <c r="C76" s="3"/>
      <c r="D76" s="3"/>
      <c r="E76" s="3"/>
      <c r="F76" s="3"/>
      <c r="G76" s="3"/>
      <c r="H76" s="3"/>
      <c r="I76" s="3"/>
      <c r="J76" s="3"/>
      <c r="K76" s="3"/>
      <c r="L76" s="3"/>
      <c r="M76" s="3"/>
      <c r="O76" s="57"/>
    </row>
    <row r="77" spans="1:15" s="50" customFormat="1" ht="14.4" x14ac:dyDescent="0.3">
      <c r="A77" s="56">
        <v>8</v>
      </c>
      <c r="B77" s="49" t="s">
        <v>919</v>
      </c>
      <c r="C77" s="3"/>
      <c r="D77" s="3"/>
      <c r="E77" s="3"/>
      <c r="F77" s="3"/>
      <c r="G77" s="3"/>
      <c r="H77" s="3"/>
      <c r="I77" s="3"/>
      <c r="J77" s="3"/>
      <c r="K77" s="3"/>
      <c r="L77" s="3"/>
      <c r="M77" s="3"/>
      <c r="O77" s="57"/>
    </row>
    <row r="78" spans="1:15" s="50" customFormat="1" ht="14.4" x14ac:dyDescent="0.3">
      <c r="A78" s="56">
        <v>9</v>
      </c>
      <c r="B78" s="49" t="s">
        <v>920</v>
      </c>
      <c r="C78" s="3"/>
      <c r="D78" s="3"/>
      <c r="E78" s="3"/>
      <c r="F78" s="3"/>
      <c r="G78" s="3"/>
      <c r="H78" s="3"/>
      <c r="I78" s="3"/>
      <c r="J78" s="3"/>
      <c r="K78" s="3"/>
      <c r="L78" s="3"/>
      <c r="M78" s="3"/>
      <c r="O78" s="57"/>
    </row>
    <row r="79" spans="1:15" s="50" customFormat="1" ht="14.4" x14ac:dyDescent="0.3">
      <c r="A79" s="39">
        <v>10</v>
      </c>
      <c r="B79" s="49" t="s">
        <v>989</v>
      </c>
      <c r="C79" s="3"/>
      <c r="D79" s="3"/>
      <c r="E79" s="3"/>
      <c r="F79" s="3"/>
      <c r="G79" s="3"/>
      <c r="H79" s="3"/>
      <c r="I79" s="3"/>
      <c r="J79" s="3"/>
      <c r="K79" s="3"/>
      <c r="L79" s="3"/>
      <c r="M79" s="3"/>
      <c r="O79" s="57"/>
    </row>
    <row r="80" spans="1:15" s="50" customFormat="1" ht="14.4" x14ac:dyDescent="0.3">
      <c r="A80" s="39">
        <v>11</v>
      </c>
      <c r="B80" s="49" t="s">
        <v>1134</v>
      </c>
      <c r="C80" s="3"/>
      <c r="D80" s="3"/>
      <c r="E80" s="3"/>
      <c r="F80" s="3"/>
      <c r="G80" s="3"/>
      <c r="H80" s="3"/>
      <c r="I80" s="3"/>
      <c r="J80" s="3"/>
      <c r="K80" s="3"/>
      <c r="L80" s="3"/>
      <c r="M80" s="3"/>
      <c r="O80" s="57"/>
    </row>
    <row r="81" spans="1:15" s="59" customFormat="1" ht="14.4" x14ac:dyDescent="0.3">
      <c r="A81" s="41">
        <v>12</v>
      </c>
      <c r="B81" s="58" t="s">
        <v>1152</v>
      </c>
      <c r="C81" s="34"/>
      <c r="D81" s="34"/>
      <c r="E81" s="34"/>
      <c r="F81" s="34"/>
      <c r="G81" s="34"/>
      <c r="H81" s="34"/>
      <c r="I81" s="34"/>
      <c r="J81" s="34"/>
      <c r="K81" s="34"/>
      <c r="L81" s="34"/>
      <c r="M81" s="34"/>
      <c r="O81" s="60"/>
    </row>
    <row r="83" spans="1:15" x14ac:dyDescent="0.25">
      <c r="A83" s="9" t="s">
        <v>14</v>
      </c>
      <c r="B83" s="9" t="s">
        <v>79</v>
      </c>
      <c r="C83" s="9" t="s">
        <v>15</v>
      </c>
    </row>
    <row r="84" spans="1:15" x14ac:dyDescent="0.25">
      <c r="A84" s="11" t="s">
        <v>16</v>
      </c>
      <c r="B84" s="11">
        <v>2013</v>
      </c>
      <c r="C84" s="11">
        <v>2014</v>
      </c>
      <c r="D84" s="11">
        <v>2015</v>
      </c>
      <c r="E84" s="11">
        <v>2016</v>
      </c>
      <c r="F84" s="11">
        <v>2017</v>
      </c>
      <c r="G84" s="11">
        <v>2018</v>
      </c>
      <c r="H84" s="11">
        <v>2019</v>
      </c>
      <c r="I84" s="11">
        <v>2020</v>
      </c>
      <c r="J84" s="11">
        <v>2021</v>
      </c>
      <c r="K84" s="11">
        <v>2022</v>
      </c>
      <c r="L84" s="11">
        <v>2023</v>
      </c>
      <c r="M84" s="11">
        <v>2024</v>
      </c>
      <c r="N84" s="11">
        <v>2025</v>
      </c>
    </row>
    <row r="85" spans="1:15" x14ac:dyDescent="0.25">
      <c r="A85" s="11" t="s">
        <v>17</v>
      </c>
      <c r="B85" s="11">
        <v>10</v>
      </c>
      <c r="C85" s="11">
        <v>10</v>
      </c>
      <c r="D85" s="11">
        <v>10</v>
      </c>
      <c r="E85" s="11">
        <v>10</v>
      </c>
      <c r="F85" s="11">
        <v>10</v>
      </c>
      <c r="G85" s="11">
        <v>10</v>
      </c>
      <c r="H85" s="11">
        <v>10</v>
      </c>
      <c r="I85" s="11">
        <v>10</v>
      </c>
      <c r="J85" s="11">
        <v>10</v>
      </c>
      <c r="K85" s="11">
        <v>10</v>
      </c>
      <c r="L85" s="11">
        <v>10</v>
      </c>
      <c r="M85" s="11">
        <v>10</v>
      </c>
      <c r="N85" s="11">
        <v>10</v>
      </c>
    </row>
    <row r="86" spans="1:15" x14ac:dyDescent="0.25">
      <c r="A86" s="11" t="s">
        <v>18</v>
      </c>
      <c r="B86" s="11"/>
      <c r="C86" s="11"/>
      <c r="D86" s="11">
        <f>D85+0.2*B85</f>
        <v>12</v>
      </c>
      <c r="E86" s="12">
        <f>E85+0.2*C85</f>
        <v>12</v>
      </c>
      <c r="F86" s="12">
        <f>F85+0.2*D85</f>
        <v>12</v>
      </c>
      <c r="G86" s="12">
        <f>G85+E89</f>
        <v>7.77</v>
      </c>
      <c r="H86" s="12">
        <f>H85+F89</f>
        <v>4.6000000000000014</v>
      </c>
      <c r="I86" s="12">
        <f>I85+G89</f>
        <v>0.26999999999999957</v>
      </c>
      <c r="J86" s="12">
        <f>J85+H89</f>
        <v>3.0400000000000009</v>
      </c>
      <c r="K86" s="12">
        <f>K85+(1.25*I89)</f>
        <v>-7.6125000000000007</v>
      </c>
      <c r="L86" s="12">
        <f>L85+(1.25*J89)</f>
        <v>1.3000000000000007</v>
      </c>
      <c r="M86" s="12">
        <f>M85+(1.25*K89)</f>
        <v>-11.640625</v>
      </c>
      <c r="N86" s="12">
        <f>N85+(1.25*L89)</f>
        <v>2.4000000000000012</v>
      </c>
    </row>
    <row r="87" spans="1:15" x14ac:dyDescent="0.25">
      <c r="A87" s="11" t="s">
        <v>19</v>
      </c>
      <c r="B87" s="11"/>
      <c r="C87" s="11"/>
      <c r="D87" s="11">
        <v>1</v>
      </c>
      <c r="E87" s="11">
        <v>2</v>
      </c>
      <c r="F87" s="11">
        <v>3</v>
      </c>
      <c r="G87" s="11">
        <v>4</v>
      </c>
      <c r="H87" s="11">
        <v>5</v>
      </c>
      <c r="I87" s="11">
        <v>6</v>
      </c>
      <c r="J87" s="11">
        <v>7</v>
      </c>
      <c r="K87" s="11">
        <v>8</v>
      </c>
      <c r="L87" s="11">
        <v>9</v>
      </c>
      <c r="M87" s="11">
        <v>10</v>
      </c>
      <c r="N87" s="11">
        <v>11</v>
      </c>
    </row>
    <row r="88" spans="1:15" x14ac:dyDescent="0.25">
      <c r="A88" s="11" t="s">
        <v>20</v>
      </c>
      <c r="B88" s="11">
        <v>5.51</v>
      </c>
      <c r="C88" s="11">
        <v>6.24</v>
      </c>
      <c r="D88" s="11">
        <v>9.6999999999999993</v>
      </c>
      <c r="E88" s="11">
        <v>14.23</v>
      </c>
      <c r="F88" s="11">
        <v>17.399999999999999</v>
      </c>
      <c r="G88" s="12">
        <v>17.5</v>
      </c>
      <c r="H88" s="12">
        <v>11.56</v>
      </c>
      <c r="I88" s="12">
        <v>14.36</v>
      </c>
      <c r="J88" s="12">
        <v>10</v>
      </c>
      <c r="K88" s="12">
        <v>9.6999999999999993</v>
      </c>
      <c r="L88" s="11">
        <v>7.38</v>
      </c>
      <c r="M88" s="11">
        <v>6.24</v>
      </c>
      <c r="N88" s="11"/>
    </row>
    <row r="89" spans="1:15" x14ac:dyDescent="0.25">
      <c r="A89" s="11" t="s">
        <v>21</v>
      </c>
      <c r="B89" s="11">
        <f>B85-B88</f>
        <v>4.49</v>
      </c>
      <c r="C89" s="11">
        <f>C85-C88</f>
        <v>3.76</v>
      </c>
      <c r="D89" s="11">
        <f>D86-D88</f>
        <v>2.3000000000000007</v>
      </c>
      <c r="E89" s="11">
        <f t="shared" ref="E89:J89" si="4">E86-E88</f>
        <v>-2.2300000000000004</v>
      </c>
      <c r="F89" s="11">
        <f t="shared" si="4"/>
        <v>-5.3999999999999986</v>
      </c>
      <c r="G89" s="11">
        <f t="shared" si="4"/>
        <v>-9.73</v>
      </c>
      <c r="H89" s="11">
        <f t="shared" si="4"/>
        <v>-6.9599999999999991</v>
      </c>
      <c r="I89" s="11">
        <f t="shared" si="4"/>
        <v>-14.09</v>
      </c>
      <c r="J89" s="11">
        <f t="shared" si="4"/>
        <v>-6.9599999999999991</v>
      </c>
      <c r="K89" s="12">
        <f>K86-K88</f>
        <v>-17.3125</v>
      </c>
      <c r="L89" s="12">
        <f>L86-L88</f>
        <v>-6.0799999999999992</v>
      </c>
      <c r="M89" s="12">
        <f>M86-M88</f>
        <v>-17.880625000000002</v>
      </c>
      <c r="N89" s="11"/>
    </row>
    <row r="90" spans="1:15" x14ac:dyDescent="0.25">
      <c r="A90" s="11" t="s">
        <v>22</v>
      </c>
      <c r="B90" s="11">
        <v>2015</v>
      </c>
      <c r="C90" s="11">
        <v>2016</v>
      </c>
      <c r="D90" s="11">
        <v>2017</v>
      </c>
      <c r="E90" s="11">
        <v>2018</v>
      </c>
      <c r="F90" s="11">
        <v>2019</v>
      </c>
      <c r="G90" s="11">
        <v>2020</v>
      </c>
      <c r="H90" s="11">
        <v>2021</v>
      </c>
      <c r="I90" s="11">
        <v>2022</v>
      </c>
      <c r="J90" s="11">
        <v>2023</v>
      </c>
      <c r="K90" s="11">
        <v>2024</v>
      </c>
      <c r="L90" s="11">
        <v>2025</v>
      </c>
      <c r="M90" s="11">
        <v>2026</v>
      </c>
      <c r="N90" s="11">
        <v>2027</v>
      </c>
    </row>
    <row r="91" spans="1:15" x14ac:dyDescent="0.25">
      <c r="A91" s="16">
        <v>1</v>
      </c>
      <c r="B91" s="61" t="s">
        <v>921</v>
      </c>
      <c r="C91" s="46"/>
      <c r="D91" s="46"/>
      <c r="E91" s="46"/>
      <c r="F91" s="46"/>
      <c r="G91" s="46"/>
      <c r="H91" s="46"/>
      <c r="I91" s="46"/>
      <c r="J91" s="46"/>
      <c r="K91" s="46"/>
      <c r="L91" s="47"/>
      <c r="M91" s="47"/>
      <c r="N91" s="62"/>
    </row>
    <row r="92" spans="1:15" x14ac:dyDescent="0.25">
      <c r="A92" s="18">
        <v>2</v>
      </c>
      <c r="B92" s="53" t="s">
        <v>922</v>
      </c>
      <c r="C92" s="19"/>
      <c r="D92" s="19"/>
      <c r="E92" s="19"/>
      <c r="F92" s="19"/>
      <c r="G92" s="19"/>
      <c r="H92" s="19"/>
      <c r="I92" s="19"/>
      <c r="J92" s="19"/>
      <c r="K92" s="19"/>
      <c r="L92" s="19"/>
      <c r="M92" s="19"/>
      <c r="N92" s="63"/>
    </row>
    <row r="93" spans="1:15" x14ac:dyDescent="0.25">
      <c r="A93" s="39">
        <v>3</v>
      </c>
      <c r="B93" s="49" t="s">
        <v>923</v>
      </c>
      <c r="N93" s="64"/>
    </row>
    <row r="94" spans="1:15" x14ac:dyDescent="0.25">
      <c r="A94" s="39">
        <v>4</v>
      </c>
      <c r="B94" s="49" t="s">
        <v>915</v>
      </c>
      <c r="N94" s="64"/>
    </row>
    <row r="95" spans="1:15" x14ac:dyDescent="0.25">
      <c r="A95" s="39">
        <v>5</v>
      </c>
      <c r="B95" s="49" t="s">
        <v>916</v>
      </c>
      <c r="N95" s="64"/>
    </row>
    <row r="96" spans="1:15" x14ac:dyDescent="0.25">
      <c r="A96" s="39">
        <v>6</v>
      </c>
      <c r="B96" s="49" t="s">
        <v>917</v>
      </c>
      <c r="N96" s="64"/>
    </row>
    <row r="97" spans="1:14" x14ac:dyDescent="0.25">
      <c r="A97" s="39">
        <v>7</v>
      </c>
      <c r="B97" s="49" t="s">
        <v>918</v>
      </c>
      <c r="N97" s="64"/>
    </row>
    <row r="98" spans="1:14" x14ac:dyDescent="0.25">
      <c r="A98" s="39">
        <v>8</v>
      </c>
      <c r="B98" s="49" t="s">
        <v>919</v>
      </c>
      <c r="N98" s="64"/>
    </row>
    <row r="99" spans="1:14" x14ac:dyDescent="0.25">
      <c r="A99" s="39">
        <v>9</v>
      </c>
      <c r="B99" s="49" t="s">
        <v>920</v>
      </c>
      <c r="N99" s="64"/>
    </row>
    <row r="100" spans="1:14" x14ac:dyDescent="0.25">
      <c r="A100" s="39">
        <v>10</v>
      </c>
      <c r="B100" s="49" t="s">
        <v>989</v>
      </c>
      <c r="N100" s="64"/>
    </row>
    <row r="101" spans="1:14" x14ac:dyDescent="0.25">
      <c r="A101" s="39">
        <v>11</v>
      </c>
      <c r="B101" s="49" t="s">
        <v>1134</v>
      </c>
      <c r="N101" s="64"/>
    </row>
    <row r="102" spans="1:14" s="34" customFormat="1" x14ac:dyDescent="0.25">
      <c r="A102" s="41">
        <v>12</v>
      </c>
      <c r="B102" s="58" t="s">
        <v>1152</v>
      </c>
      <c r="N102" s="48"/>
    </row>
    <row r="105" spans="1:14" x14ac:dyDescent="0.25">
      <c r="A105" s="65" t="s">
        <v>12</v>
      </c>
      <c r="B105" s="66" t="s">
        <v>166</v>
      </c>
      <c r="C105" s="8"/>
      <c r="D105" s="8"/>
      <c r="E105" s="8"/>
      <c r="F105" s="8"/>
    </row>
    <row r="106" spans="1:14" x14ac:dyDescent="0.25">
      <c r="A106" s="65" t="s">
        <v>14</v>
      </c>
      <c r="B106" s="66" t="s">
        <v>624</v>
      </c>
      <c r="C106" s="67" t="s">
        <v>15</v>
      </c>
      <c r="D106" s="8"/>
      <c r="E106" s="8"/>
      <c r="F106" s="8"/>
    </row>
    <row r="107" spans="1:14" x14ac:dyDescent="0.25">
      <c r="A107" s="68" t="s">
        <v>16</v>
      </c>
      <c r="B107" s="69"/>
      <c r="C107" s="70">
        <v>2017</v>
      </c>
      <c r="D107" s="67">
        <v>2018</v>
      </c>
      <c r="E107" s="67">
        <v>2019</v>
      </c>
      <c r="F107" s="67">
        <v>2020</v>
      </c>
      <c r="G107" s="67">
        <v>2021</v>
      </c>
      <c r="H107" s="67">
        <v>2022</v>
      </c>
      <c r="I107" s="67">
        <v>2023</v>
      </c>
      <c r="J107" s="67">
        <v>2024</v>
      </c>
      <c r="K107" s="67">
        <v>2025</v>
      </c>
    </row>
    <row r="108" spans="1:14" x14ac:dyDescent="0.25">
      <c r="A108" s="68" t="s">
        <v>17</v>
      </c>
      <c r="B108" s="69"/>
      <c r="C108" s="71">
        <v>200</v>
      </c>
      <c r="D108" s="72">
        <v>200</v>
      </c>
      <c r="E108" s="72">
        <v>215</v>
      </c>
      <c r="F108" s="72">
        <v>215</v>
      </c>
      <c r="G108" s="72">
        <v>242</v>
      </c>
      <c r="H108" s="72">
        <v>242</v>
      </c>
      <c r="I108" s="72">
        <v>242</v>
      </c>
      <c r="J108" s="72">
        <v>302</v>
      </c>
      <c r="K108" s="72">
        <v>302</v>
      </c>
    </row>
    <row r="109" spans="1:14" x14ac:dyDescent="0.25">
      <c r="A109" s="68" t="s">
        <v>18</v>
      </c>
      <c r="B109" s="69"/>
      <c r="C109" s="71">
        <v>450</v>
      </c>
      <c r="D109" s="72">
        <v>450</v>
      </c>
      <c r="E109" s="72">
        <f>E108+C112+200</f>
        <v>416.56</v>
      </c>
      <c r="F109" s="72">
        <v>465</v>
      </c>
      <c r="G109" s="72">
        <f>G108+0.25*E108+200</f>
        <v>495.75</v>
      </c>
      <c r="H109" s="72">
        <f>H108+0.25*F108+200</f>
        <v>495.75</v>
      </c>
      <c r="I109" s="72">
        <f>I108+0.25*G108+200</f>
        <v>502.5</v>
      </c>
      <c r="J109" s="72">
        <f>J108+0.25*H108+200</f>
        <v>562.5</v>
      </c>
      <c r="K109" s="72">
        <v>502.5</v>
      </c>
    </row>
    <row r="110" spans="1:14" x14ac:dyDescent="0.25">
      <c r="A110" s="68" t="s">
        <v>19</v>
      </c>
      <c r="B110" s="69"/>
      <c r="C110" s="71"/>
      <c r="D110" s="72"/>
      <c r="E110" s="678" t="s">
        <v>167</v>
      </c>
      <c r="F110" s="679"/>
      <c r="G110" s="679"/>
      <c r="H110" s="679"/>
      <c r="I110" s="679"/>
      <c r="J110" s="679"/>
      <c r="K110" s="680"/>
    </row>
    <row r="111" spans="1:14" x14ac:dyDescent="0.25">
      <c r="A111" s="68" t="s">
        <v>20</v>
      </c>
      <c r="B111" s="69"/>
      <c r="C111" s="72">
        <v>448.44</v>
      </c>
      <c r="D111" s="72">
        <v>385.14</v>
      </c>
      <c r="E111" s="72">
        <v>216.09</v>
      </c>
      <c r="F111" s="72">
        <v>326.05</v>
      </c>
      <c r="G111" s="72">
        <v>200.65</v>
      </c>
      <c r="H111" s="72">
        <v>214.33</v>
      </c>
      <c r="I111" s="72">
        <v>380.65</v>
      </c>
      <c r="J111" s="72">
        <v>324.64999999999998</v>
      </c>
      <c r="K111" s="72"/>
    </row>
    <row r="112" spans="1:14" x14ac:dyDescent="0.25">
      <c r="A112" s="68" t="s">
        <v>21</v>
      </c>
      <c r="B112" s="69"/>
      <c r="C112" s="72">
        <f t="shared" ref="C112:G112" si="5">C109-C111</f>
        <v>1.5600000000000023</v>
      </c>
      <c r="D112" s="72">
        <f t="shared" si="5"/>
        <v>64.860000000000014</v>
      </c>
      <c r="E112" s="72">
        <f t="shared" si="5"/>
        <v>200.47</v>
      </c>
      <c r="F112" s="72">
        <f t="shared" si="5"/>
        <v>138.94999999999999</v>
      </c>
      <c r="G112" s="72">
        <f t="shared" si="5"/>
        <v>295.10000000000002</v>
      </c>
      <c r="H112" s="72">
        <f>H109-H111</f>
        <v>281.41999999999996</v>
      </c>
      <c r="I112" s="72">
        <f>I109-I111</f>
        <v>121.85000000000002</v>
      </c>
      <c r="J112" s="72">
        <f>J109-J111</f>
        <v>237.85000000000002</v>
      </c>
      <c r="K112" s="72"/>
    </row>
    <row r="113" spans="1:12" x14ac:dyDescent="0.25">
      <c r="A113" s="73" t="s">
        <v>22</v>
      </c>
      <c r="B113" s="74"/>
      <c r="C113" s="75">
        <v>2019</v>
      </c>
      <c r="D113" s="74">
        <v>2020</v>
      </c>
      <c r="E113" s="74">
        <v>2021</v>
      </c>
      <c r="F113" s="74">
        <v>2022</v>
      </c>
      <c r="G113" s="74">
        <v>2023</v>
      </c>
      <c r="H113" s="74">
        <v>2024</v>
      </c>
      <c r="I113" s="74">
        <v>2025</v>
      </c>
      <c r="J113" s="74">
        <v>2026</v>
      </c>
      <c r="K113" s="74"/>
    </row>
    <row r="114" spans="1:12" x14ac:dyDescent="0.25">
      <c r="A114" s="676" t="s">
        <v>206</v>
      </c>
      <c r="B114" s="677"/>
      <c r="C114" s="677"/>
      <c r="D114" s="677"/>
      <c r="E114" s="677"/>
      <c r="F114" s="677"/>
      <c r="G114" s="46"/>
      <c r="H114" s="46"/>
      <c r="I114" s="47"/>
      <c r="J114" s="47"/>
      <c r="K114" s="47"/>
    </row>
    <row r="115" spans="1:12" x14ac:dyDescent="0.25">
      <c r="A115" s="684" t="s">
        <v>370</v>
      </c>
      <c r="B115" s="685"/>
      <c r="C115" s="685"/>
      <c r="D115" s="685"/>
      <c r="E115" s="685"/>
      <c r="F115" s="685"/>
      <c r="G115" s="19"/>
      <c r="H115" s="19"/>
      <c r="I115" s="19"/>
      <c r="J115" s="19"/>
      <c r="K115" s="63"/>
    </row>
    <row r="116" spans="1:12" x14ac:dyDescent="0.25">
      <c r="A116" s="78" t="s">
        <v>250</v>
      </c>
      <c r="B116" s="79"/>
      <c r="C116" s="79"/>
      <c r="D116" s="80"/>
      <c r="E116" s="80"/>
      <c r="F116" s="80"/>
      <c r="K116" s="64"/>
    </row>
    <row r="117" spans="1:12" x14ac:dyDescent="0.25">
      <c r="A117" s="78" t="s">
        <v>568</v>
      </c>
      <c r="B117" s="79"/>
      <c r="C117" s="79"/>
      <c r="D117" s="80"/>
      <c r="E117" s="80"/>
      <c r="F117" s="80"/>
      <c r="K117" s="64"/>
    </row>
    <row r="118" spans="1:12" x14ac:dyDescent="0.25">
      <c r="A118" s="78" t="s">
        <v>412</v>
      </c>
      <c r="B118" s="79"/>
      <c r="C118" s="79"/>
      <c r="D118" s="80"/>
      <c r="E118" s="80"/>
      <c r="F118" s="80"/>
      <c r="K118" s="64"/>
    </row>
    <row r="119" spans="1:12" x14ac:dyDescent="0.25">
      <c r="A119" s="81" t="s">
        <v>573</v>
      </c>
      <c r="B119" s="79"/>
      <c r="C119" s="79"/>
      <c r="D119" s="80"/>
      <c r="E119" s="80"/>
      <c r="F119" s="80"/>
      <c r="K119" s="64"/>
    </row>
    <row r="120" spans="1:12" x14ac:dyDescent="0.25">
      <c r="A120" s="82" t="s">
        <v>1153</v>
      </c>
      <c r="B120" s="79"/>
      <c r="C120" s="79"/>
      <c r="D120" s="80"/>
      <c r="E120" s="80"/>
      <c r="F120" s="80"/>
      <c r="K120" s="64"/>
    </row>
    <row r="121" spans="1:12" x14ac:dyDescent="0.25">
      <c r="A121" s="81" t="s">
        <v>671</v>
      </c>
      <c r="B121" s="83"/>
      <c r="C121" s="83"/>
      <c r="D121" s="83"/>
      <c r="E121" s="83"/>
      <c r="F121" s="83"/>
      <c r="K121" s="64"/>
    </row>
    <row r="122" spans="1:12" x14ac:dyDescent="0.25">
      <c r="A122" s="81" t="s">
        <v>765</v>
      </c>
      <c r="B122" s="83"/>
      <c r="C122" s="83"/>
      <c r="D122" s="83"/>
      <c r="E122" s="83"/>
      <c r="F122" s="83"/>
      <c r="K122" s="64"/>
    </row>
    <row r="123" spans="1:12" x14ac:dyDescent="0.25">
      <c r="A123" s="84" t="s">
        <v>990</v>
      </c>
      <c r="B123" s="85"/>
      <c r="C123" s="85"/>
      <c r="D123" s="85"/>
      <c r="E123" s="85"/>
      <c r="F123" s="85"/>
      <c r="G123" s="34"/>
      <c r="H123" s="34"/>
      <c r="I123" s="34"/>
      <c r="J123" s="34"/>
      <c r="K123" s="48"/>
    </row>
    <row r="124" spans="1:12" x14ac:dyDescent="0.25">
      <c r="A124" s="86"/>
      <c r="B124" s="8"/>
      <c r="C124" s="8"/>
      <c r="D124" s="8"/>
      <c r="E124" s="8"/>
      <c r="F124" s="8"/>
    </row>
    <row r="125" spans="1:12" s="34" customFormat="1" x14ac:dyDescent="0.25">
      <c r="A125" s="84"/>
      <c r="B125" s="85"/>
      <c r="C125" s="85"/>
      <c r="D125" s="85"/>
      <c r="E125" s="85"/>
      <c r="F125" s="85"/>
    </row>
    <row r="127" spans="1:12" x14ac:dyDescent="0.25">
      <c r="A127" s="65" t="s">
        <v>14</v>
      </c>
      <c r="B127" s="66" t="s">
        <v>638</v>
      </c>
      <c r="C127" s="67" t="s">
        <v>15</v>
      </c>
      <c r="D127" s="8"/>
      <c r="E127" s="8"/>
      <c r="F127" s="8"/>
    </row>
    <row r="128" spans="1:12" x14ac:dyDescent="0.25">
      <c r="A128" s="87" t="s">
        <v>16</v>
      </c>
      <c r="B128" s="69"/>
      <c r="C128" s="67">
        <v>2017</v>
      </c>
      <c r="D128" s="67">
        <v>2018</v>
      </c>
      <c r="E128" s="67">
        <v>2019</v>
      </c>
      <c r="F128" s="67">
        <v>2020</v>
      </c>
      <c r="G128" s="67">
        <v>2021</v>
      </c>
      <c r="H128" s="67">
        <v>2022</v>
      </c>
      <c r="I128" s="67">
        <v>2023</v>
      </c>
      <c r="J128" s="67">
        <v>2024</v>
      </c>
      <c r="K128" s="67">
        <v>2025</v>
      </c>
      <c r="L128" s="67">
        <v>2026</v>
      </c>
    </row>
    <row r="129" spans="1:12" x14ac:dyDescent="0.25">
      <c r="A129" s="87" t="s">
        <v>17</v>
      </c>
      <c r="B129" s="69"/>
      <c r="C129" s="72">
        <v>250</v>
      </c>
      <c r="D129" s="72">
        <v>250</v>
      </c>
      <c r="E129" s="72">
        <v>250</v>
      </c>
      <c r="F129" s="72">
        <v>250</v>
      </c>
      <c r="G129" s="72">
        <v>250</v>
      </c>
      <c r="H129" s="72">
        <v>250</v>
      </c>
      <c r="I129" s="72">
        <v>300</v>
      </c>
      <c r="J129" s="72">
        <v>300</v>
      </c>
      <c r="K129" s="72">
        <v>300</v>
      </c>
      <c r="L129" s="72">
        <v>300</v>
      </c>
    </row>
    <row r="130" spans="1:12" x14ac:dyDescent="0.25">
      <c r="A130" s="87" t="s">
        <v>18</v>
      </c>
      <c r="B130" s="69"/>
      <c r="C130" s="72">
        <v>312.5</v>
      </c>
      <c r="D130" s="72">
        <v>312.5</v>
      </c>
      <c r="E130" s="72">
        <v>312.5</v>
      </c>
      <c r="F130" s="72">
        <f>F129+D133</f>
        <v>251.98000000000002</v>
      </c>
      <c r="G130" s="72">
        <f>G129+0.25*E129</f>
        <v>312.5</v>
      </c>
      <c r="H130" s="72">
        <f>H129+0.25*F129</f>
        <v>312.5</v>
      </c>
      <c r="I130" s="72">
        <f>I129+0.25*G129</f>
        <v>362.5</v>
      </c>
      <c r="J130" s="72">
        <f>J129+3.72</f>
        <v>303.72000000000003</v>
      </c>
      <c r="K130" s="72">
        <f>K129+0.25*I129</f>
        <v>375</v>
      </c>
      <c r="L130" s="72">
        <f>L129+0.25*J129</f>
        <v>375</v>
      </c>
    </row>
    <row r="131" spans="1:12" ht="15" customHeight="1" x14ac:dyDescent="0.25">
      <c r="A131" s="87" t="s">
        <v>19</v>
      </c>
      <c r="B131" s="69"/>
      <c r="C131" s="681" t="s">
        <v>672</v>
      </c>
      <c r="D131" s="682"/>
      <c r="E131" s="682"/>
      <c r="F131" s="682"/>
      <c r="G131" s="682"/>
      <c r="H131" s="682"/>
      <c r="I131" s="682"/>
      <c r="J131" s="682"/>
      <c r="K131" s="683"/>
      <c r="L131" s="88"/>
    </row>
    <row r="132" spans="1:12" x14ac:dyDescent="0.25">
      <c r="A132" s="87" t="s">
        <v>20</v>
      </c>
      <c r="B132" s="69"/>
      <c r="C132" s="89">
        <v>219.03</v>
      </c>
      <c r="D132" s="89">
        <v>310.52</v>
      </c>
      <c r="E132" s="89">
        <v>158.13999999999999</v>
      </c>
      <c r="F132" s="89">
        <v>162.13</v>
      </c>
      <c r="G132" s="89">
        <v>30.84</v>
      </c>
      <c r="H132" s="89">
        <v>12.74</v>
      </c>
      <c r="I132" s="89">
        <v>0</v>
      </c>
      <c r="J132" s="89">
        <v>1</v>
      </c>
      <c r="K132" s="89"/>
      <c r="L132" s="90"/>
    </row>
    <row r="133" spans="1:12" x14ac:dyDescent="0.25">
      <c r="A133" s="87" t="s">
        <v>21</v>
      </c>
      <c r="B133" s="69"/>
      <c r="C133" s="72">
        <f t="shared" ref="C133:J133" si="6">C130-C132</f>
        <v>93.47</v>
      </c>
      <c r="D133" s="72">
        <f t="shared" si="6"/>
        <v>1.9800000000000182</v>
      </c>
      <c r="E133" s="72">
        <f t="shared" si="6"/>
        <v>154.36000000000001</v>
      </c>
      <c r="F133" s="72">
        <f t="shared" si="6"/>
        <v>89.850000000000023</v>
      </c>
      <c r="G133" s="72">
        <f t="shared" si="6"/>
        <v>281.66000000000003</v>
      </c>
      <c r="H133" s="72">
        <f t="shared" si="6"/>
        <v>299.76</v>
      </c>
      <c r="I133" s="72">
        <f>I130-I132</f>
        <v>362.5</v>
      </c>
      <c r="J133" s="72">
        <f t="shared" si="6"/>
        <v>302.72000000000003</v>
      </c>
      <c r="K133" s="72"/>
      <c r="L133" s="90"/>
    </row>
    <row r="134" spans="1:12" x14ac:dyDescent="0.25">
      <c r="A134" s="91" t="s">
        <v>22</v>
      </c>
      <c r="B134" s="74"/>
      <c r="C134" s="74">
        <v>2019</v>
      </c>
      <c r="D134" s="74">
        <v>2020</v>
      </c>
      <c r="E134" s="74">
        <v>2021</v>
      </c>
      <c r="F134" s="74">
        <v>2022</v>
      </c>
      <c r="G134" s="74">
        <v>2023</v>
      </c>
      <c r="H134" s="74">
        <v>2024</v>
      </c>
      <c r="I134" s="74">
        <v>2025</v>
      </c>
      <c r="J134" s="74">
        <v>2026</v>
      </c>
      <c r="K134" s="74">
        <v>2027</v>
      </c>
      <c r="L134" s="90">
        <v>2028</v>
      </c>
    </row>
    <row r="135" spans="1:12" x14ac:dyDescent="0.25">
      <c r="A135" s="92" t="s">
        <v>207</v>
      </c>
      <c r="B135" s="93"/>
      <c r="C135" s="93"/>
      <c r="D135" s="93"/>
      <c r="E135" s="93"/>
      <c r="F135" s="93"/>
      <c r="G135" s="19"/>
      <c r="H135" s="19"/>
      <c r="I135" s="19"/>
      <c r="J135" s="19"/>
      <c r="K135" s="19"/>
      <c r="L135" s="63"/>
    </row>
    <row r="136" spans="1:12" x14ac:dyDescent="0.25">
      <c r="A136" s="94" t="s">
        <v>252</v>
      </c>
      <c r="B136" s="8"/>
      <c r="C136" s="8"/>
      <c r="D136" s="8"/>
      <c r="E136" s="8"/>
      <c r="F136" s="8"/>
      <c r="L136" s="64"/>
    </row>
    <row r="137" spans="1:12" x14ac:dyDescent="0.25">
      <c r="A137" s="94" t="s">
        <v>413</v>
      </c>
      <c r="B137" s="8"/>
      <c r="C137" s="8"/>
      <c r="D137" s="8"/>
      <c r="E137" s="8"/>
      <c r="F137" s="8"/>
      <c r="L137" s="64"/>
    </row>
    <row r="138" spans="1:12" x14ac:dyDescent="0.25">
      <c r="A138" s="39" t="s">
        <v>574</v>
      </c>
      <c r="B138" s="8"/>
      <c r="C138" s="8"/>
      <c r="D138" s="8"/>
      <c r="E138" s="8"/>
      <c r="F138" s="8"/>
      <c r="L138" s="64"/>
    </row>
    <row r="139" spans="1:12" x14ac:dyDescent="0.25">
      <c r="A139" s="39" t="s">
        <v>766</v>
      </c>
      <c r="B139" s="8"/>
      <c r="C139" s="8"/>
      <c r="D139" s="8"/>
      <c r="E139" s="8"/>
      <c r="F139" s="8"/>
      <c r="L139" s="64"/>
    </row>
    <row r="140" spans="1:12" x14ac:dyDescent="0.25">
      <c r="A140" s="39" t="s">
        <v>924</v>
      </c>
      <c r="B140" s="8"/>
      <c r="C140" s="8"/>
      <c r="D140" s="8"/>
      <c r="E140" s="8"/>
      <c r="F140" s="8"/>
      <c r="L140" s="64"/>
    </row>
    <row r="141" spans="1:12" ht="12.75" customHeight="1" x14ac:dyDescent="0.25">
      <c r="A141" s="41" t="s">
        <v>991</v>
      </c>
      <c r="B141" s="85"/>
      <c r="C141" s="85"/>
      <c r="D141" s="85"/>
      <c r="E141" s="85"/>
      <c r="F141" s="85"/>
      <c r="G141" s="34"/>
      <c r="H141" s="34"/>
      <c r="I141" s="34"/>
      <c r="J141" s="34"/>
      <c r="K141" s="34"/>
      <c r="L141" s="48"/>
    </row>
    <row r="143" spans="1:12" x14ac:dyDescent="0.25">
      <c r="A143" s="65" t="s">
        <v>14</v>
      </c>
      <c r="B143" s="66" t="s">
        <v>623</v>
      </c>
      <c r="C143" s="67" t="s">
        <v>15</v>
      </c>
      <c r="D143" s="8"/>
      <c r="E143" s="8"/>
      <c r="F143" s="8"/>
    </row>
    <row r="144" spans="1:12" x14ac:dyDescent="0.25">
      <c r="A144" s="87" t="s">
        <v>16</v>
      </c>
      <c r="B144" s="69"/>
      <c r="C144" s="67">
        <v>2017</v>
      </c>
      <c r="D144" s="67">
        <v>2018</v>
      </c>
      <c r="E144" s="67">
        <v>2019</v>
      </c>
      <c r="F144" s="67">
        <v>2020</v>
      </c>
      <c r="G144" s="67">
        <v>2021</v>
      </c>
      <c r="H144" s="67">
        <v>2022</v>
      </c>
      <c r="I144" s="67">
        <v>2023</v>
      </c>
      <c r="J144" s="67">
        <v>2024</v>
      </c>
      <c r="K144" s="67">
        <v>2025</v>
      </c>
    </row>
    <row r="145" spans="1:11" x14ac:dyDescent="0.25">
      <c r="A145" s="87" t="s">
        <v>17</v>
      </c>
      <c r="B145" s="69"/>
      <c r="C145" s="72">
        <v>130</v>
      </c>
      <c r="D145" s="72">
        <v>130</v>
      </c>
      <c r="E145" s="72">
        <v>130</v>
      </c>
      <c r="F145" s="72">
        <v>130</v>
      </c>
      <c r="G145" s="72">
        <v>130</v>
      </c>
      <c r="H145" s="72">
        <v>130</v>
      </c>
      <c r="I145" s="72">
        <v>130</v>
      </c>
      <c r="J145" s="72">
        <v>130</v>
      </c>
      <c r="K145" s="72">
        <v>130</v>
      </c>
    </row>
    <row r="146" spans="1:11" x14ac:dyDescent="0.25">
      <c r="A146" s="87" t="s">
        <v>18</v>
      </c>
      <c r="B146" s="69"/>
      <c r="C146" s="72">
        <v>257</v>
      </c>
      <c r="D146" s="72">
        <v>257</v>
      </c>
      <c r="E146" s="72">
        <f>E145*1.4+75</f>
        <v>257</v>
      </c>
      <c r="F146" s="72">
        <f>F145*1.4+75</f>
        <v>257</v>
      </c>
      <c r="G146" s="72">
        <f>G145+0.4*E145+75</f>
        <v>257</v>
      </c>
      <c r="H146" s="72">
        <f>H145+0.4*F145+75</f>
        <v>257</v>
      </c>
      <c r="I146" s="72">
        <f>I145+0.4*G145+75</f>
        <v>257</v>
      </c>
      <c r="J146" s="72">
        <f>J145+0.4*H145+75</f>
        <v>257</v>
      </c>
      <c r="K146" s="72">
        <f>K145+0.4*I145+75</f>
        <v>257</v>
      </c>
    </row>
    <row r="147" spans="1:11" ht="14.4" customHeight="1" x14ac:dyDescent="0.25">
      <c r="A147" s="87" t="s">
        <v>19</v>
      </c>
      <c r="B147" s="69"/>
      <c r="C147" s="678" t="s">
        <v>167</v>
      </c>
      <c r="D147" s="679"/>
      <c r="E147" s="679"/>
      <c r="F147" s="679"/>
      <c r="G147" s="679"/>
      <c r="H147" s="679"/>
      <c r="I147" s="679"/>
      <c r="J147" s="679"/>
      <c r="K147" s="680"/>
    </row>
    <row r="148" spans="1:11" x14ac:dyDescent="0.25">
      <c r="A148" s="87" t="s">
        <v>20</v>
      </c>
      <c r="B148" s="69"/>
      <c r="C148" s="72">
        <v>59.08</v>
      </c>
      <c r="D148" s="72">
        <v>145.32</v>
      </c>
      <c r="E148" s="72">
        <v>116.8</v>
      </c>
      <c r="F148" s="72">
        <v>110.73</v>
      </c>
      <c r="G148" s="72">
        <v>94</v>
      </c>
      <c r="H148" s="72">
        <v>69.739999999999995</v>
      </c>
      <c r="I148" s="72">
        <v>76.75</v>
      </c>
      <c r="J148" s="72">
        <v>75.09</v>
      </c>
      <c r="K148" s="72"/>
    </row>
    <row r="149" spans="1:11" x14ac:dyDescent="0.25">
      <c r="A149" s="87" t="s">
        <v>21</v>
      </c>
      <c r="B149" s="69"/>
      <c r="C149" s="72">
        <f t="shared" ref="C149:J149" si="7">C146-C148</f>
        <v>197.92000000000002</v>
      </c>
      <c r="D149" s="72">
        <f t="shared" si="7"/>
        <v>111.68</v>
      </c>
      <c r="E149" s="72">
        <f t="shared" si="7"/>
        <v>140.19999999999999</v>
      </c>
      <c r="F149" s="72">
        <f t="shared" si="7"/>
        <v>146.26999999999998</v>
      </c>
      <c r="G149" s="72">
        <f t="shared" si="7"/>
        <v>163</v>
      </c>
      <c r="H149" s="72">
        <f t="shared" si="7"/>
        <v>187.26</v>
      </c>
      <c r="I149" s="72">
        <f t="shared" si="7"/>
        <v>180.25</v>
      </c>
      <c r="J149" s="72">
        <f t="shared" si="7"/>
        <v>181.91</v>
      </c>
      <c r="K149" s="72"/>
    </row>
    <row r="150" spans="1:11" x14ac:dyDescent="0.25">
      <c r="A150" s="91" t="s">
        <v>22</v>
      </c>
      <c r="B150" s="74"/>
      <c r="C150" s="74">
        <v>2019</v>
      </c>
      <c r="D150" s="74">
        <v>2020</v>
      </c>
      <c r="E150" s="74">
        <v>2021</v>
      </c>
      <c r="F150" s="74">
        <v>2022</v>
      </c>
      <c r="G150" s="74">
        <v>2023</v>
      </c>
      <c r="H150" s="74">
        <v>2024</v>
      </c>
      <c r="I150" s="74">
        <v>2025</v>
      </c>
      <c r="J150" s="74">
        <v>2026</v>
      </c>
      <c r="K150" s="74">
        <v>2027</v>
      </c>
    </row>
    <row r="151" spans="1:11" x14ac:dyDescent="0.25">
      <c r="A151" s="73" t="s">
        <v>253</v>
      </c>
      <c r="B151" s="75"/>
      <c r="C151" s="75"/>
      <c r="D151" s="75"/>
      <c r="E151" s="75"/>
      <c r="F151" s="75"/>
      <c r="G151" s="75"/>
      <c r="H151" s="46"/>
      <c r="I151" s="46"/>
      <c r="J151" s="46"/>
      <c r="K151" s="47"/>
    </row>
    <row r="152" spans="1:11" x14ac:dyDescent="0.25">
      <c r="A152" s="94" t="s">
        <v>208</v>
      </c>
      <c r="B152" s="8"/>
      <c r="C152" s="8"/>
      <c r="D152" s="8"/>
      <c r="E152" s="8"/>
      <c r="F152" s="8"/>
      <c r="G152" s="8"/>
      <c r="K152" s="64"/>
    </row>
    <row r="153" spans="1:11" x14ac:dyDescent="0.25">
      <c r="A153" s="94" t="s">
        <v>254</v>
      </c>
      <c r="B153" s="8"/>
      <c r="C153" s="8"/>
      <c r="D153" s="8"/>
      <c r="E153" s="8"/>
      <c r="F153" s="8"/>
      <c r="G153" s="8"/>
      <c r="K153" s="64"/>
    </row>
    <row r="154" spans="1:11" x14ac:dyDescent="0.25">
      <c r="A154" s="94" t="s">
        <v>414</v>
      </c>
      <c r="B154" s="8"/>
      <c r="C154" s="8"/>
      <c r="D154" s="8"/>
      <c r="E154" s="8"/>
      <c r="F154" s="8"/>
      <c r="G154" s="8"/>
      <c r="K154" s="64"/>
    </row>
    <row r="155" spans="1:11" x14ac:dyDescent="0.25">
      <c r="A155" s="94" t="s">
        <v>575</v>
      </c>
      <c r="B155" s="8"/>
      <c r="C155" s="8"/>
      <c r="D155" s="8"/>
      <c r="E155" s="8"/>
      <c r="F155" s="8"/>
      <c r="G155" s="8"/>
      <c r="K155" s="64"/>
    </row>
    <row r="156" spans="1:11" x14ac:dyDescent="0.25">
      <c r="A156" s="94" t="s">
        <v>767</v>
      </c>
      <c r="B156" s="8"/>
      <c r="C156" s="8"/>
      <c r="D156" s="8"/>
      <c r="E156" s="8"/>
      <c r="F156" s="8"/>
      <c r="G156" s="8"/>
      <c r="K156" s="64"/>
    </row>
    <row r="157" spans="1:11" x14ac:dyDescent="0.25">
      <c r="A157" s="94" t="s">
        <v>768</v>
      </c>
      <c r="B157" s="8"/>
      <c r="C157" s="8"/>
      <c r="D157" s="8"/>
      <c r="E157" s="8"/>
      <c r="F157" s="8"/>
      <c r="G157" s="8"/>
      <c r="K157" s="64"/>
    </row>
    <row r="158" spans="1:11" x14ac:dyDescent="0.25">
      <c r="A158" s="95" t="s">
        <v>992</v>
      </c>
      <c r="B158" s="85"/>
      <c r="C158" s="85"/>
      <c r="D158" s="85"/>
      <c r="E158" s="85"/>
      <c r="F158" s="85"/>
      <c r="G158" s="85"/>
      <c r="H158" s="34"/>
      <c r="I158" s="34"/>
      <c r="J158" s="34"/>
      <c r="K158" s="48"/>
    </row>
    <row r="160" spans="1:11" x14ac:dyDescent="0.25">
      <c r="A160" s="65" t="s">
        <v>14</v>
      </c>
      <c r="B160" s="66" t="s">
        <v>641</v>
      </c>
      <c r="C160" s="67" t="s">
        <v>15</v>
      </c>
      <c r="D160" s="8"/>
      <c r="E160" s="8"/>
      <c r="F160" s="8"/>
    </row>
    <row r="161" spans="1:11" x14ac:dyDescent="0.25">
      <c r="A161" s="69" t="s">
        <v>16</v>
      </c>
      <c r="B161" s="69"/>
      <c r="C161" s="67">
        <v>2017</v>
      </c>
      <c r="D161" s="67">
        <v>2018</v>
      </c>
      <c r="E161" s="67">
        <v>2019</v>
      </c>
      <c r="F161" s="67">
        <v>2020</v>
      </c>
      <c r="G161" s="67">
        <v>2021</v>
      </c>
      <c r="H161" s="67">
        <v>2022</v>
      </c>
      <c r="I161" s="67">
        <v>2023</v>
      </c>
      <c r="J161" s="67">
        <v>2024</v>
      </c>
      <c r="K161" s="67">
        <v>2025</v>
      </c>
    </row>
    <row r="162" spans="1:11" x14ac:dyDescent="0.25">
      <c r="A162" s="69" t="s">
        <v>17</v>
      </c>
      <c r="B162" s="69"/>
      <c r="C162" s="72">
        <v>125</v>
      </c>
      <c r="D162" s="72">
        <v>125</v>
      </c>
      <c r="E162" s="72">
        <v>125</v>
      </c>
      <c r="F162" s="72">
        <v>125</v>
      </c>
      <c r="G162" s="72">
        <v>125</v>
      </c>
      <c r="H162" s="72">
        <v>125</v>
      </c>
      <c r="I162" s="72">
        <v>125</v>
      </c>
      <c r="J162" s="72">
        <v>125</v>
      </c>
      <c r="K162" s="72">
        <v>125</v>
      </c>
    </row>
    <row r="163" spans="1:11" x14ac:dyDescent="0.25">
      <c r="A163" s="69" t="s">
        <v>18</v>
      </c>
      <c r="B163" s="69"/>
      <c r="C163" s="72">
        <v>275</v>
      </c>
      <c r="D163" s="72">
        <v>287.5</v>
      </c>
      <c r="E163" s="72">
        <f>E162*1.2+25+50+50</f>
        <v>275</v>
      </c>
      <c r="F163" s="72">
        <f>F162*1.2+25+50+50</f>
        <v>275</v>
      </c>
      <c r="G163" s="72">
        <f>G162+0.2*E162+25+50+50</f>
        <v>275</v>
      </c>
      <c r="H163" s="72">
        <f>H162+0.2*F162+24.94+50+50</f>
        <v>274.94</v>
      </c>
      <c r="I163" s="72">
        <f>I162+0.1*G162+25+50+50</f>
        <v>262.5</v>
      </c>
      <c r="J163" s="72">
        <f>J162+0.1*H162+25+50+50</f>
        <v>262.5</v>
      </c>
      <c r="K163" s="72">
        <f>K162+0.1*I162+25+50+50</f>
        <v>262.5</v>
      </c>
    </row>
    <row r="164" spans="1:11" ht="14.4" customHeight="1" x14ac:dyDescent="0.25">
      <c r="A164" s="69" t="s">
        <v>19</v>
      </c>
      <c r="B164" s="69"/>
      <c r="C164" s="96" t="s">
        <v>167</v>
      </c>
      <c r="D164" s="71"/>
      <c r="E164" s="71"/>
      <c r="F164" s="71"/>
      <c r="G164" s="71"/>
      <c r="H164" s="71"/>
      <c r="I164" s="71"/>
      <c r="J164" s="97"/>
      <c r="K164" s="97"/>
    </row>
    <row r="165" spans="1:11" x14ac:dyDescent="0.25">
      <c r="A165" s="69" t="s">
        <v>20</v>
      </c>
      <c r="B165" s="69"/>
      <c r="C165" s="72">
        <v>166.01</v>
      </c>
      <c r="D165" s="72">
        <v>115.22</v>
      </c>
      <c r="E165" s="72">
        <v>55.33</v>
      </c>
      <c r="F165" s="72">
        <v>2.12</v>
      </c>
      <c r="G165" s="72">
        <v>29.08</v>
      </c>
      <c r="H165" s="72">
        <v>0</v>
      </c>
      <c r="I165" s="72">
        <v>0</v>
      </c>
      <c r="J165" s="72">
        <v>12.23</v>
      </c>
      <c r="K165" s="72"/>
    </row>
    <row r="166" spans="1:11" x14ac:dyDescent="0.25">
      <c r="A166" s="69" t="s">
        <v>21</v>
      </c>
      <c r="B166" s="69"/>
      <c r="C166" s="72">
        <f t="shared" ref="C166:J166" si="8">C163-C165</f>
        <v>108.99000000000001</v>
      </c>
      <c r="D166" s="72">
        <f t="shared" si="8"/>
        <v>172.28</v>
      </c>
      <c r="E166" s="72">
        <f t="shared" si="8"/>
        <v>219.67000000000002</v>
      </c>
      <c r="F166" s="72">
        <f t="shared" si="8"/>
        <v>272.88</v>
      </c>
      <c r="G166" s="72">
        <f t="shared" si="8"/>
        <v>245.92000000000002</v>
      </c>
      <c r="H166" s="72">
        <f t="shared" si="8"/>
        <v>274.94</v>
      </c>
      <c r="I166" s="72">
        <f t="shared" si="8"/>
        <v>262.5</v>
      </c>
      <c r="J166" s="72">
        <f t="shared" si="8"/>
        <v>250.27</v>
      </c>
      <c r="K166" s="72"/>
    </row>
    <row r="167" spans="1:11" x14ac:dyDescent="0.25">
      <c r="A167" s="74" t="s">
        <v>22</v>
      </c>
      <c r="B167" s="74"/>
      <c r="C167" s="74">
        <v>2019</v>
      </c>
      <c r="D167" s="74">
        <v>2020</v>
      </c>
      <c r="E167" s="74">
        <v>2021</v>
      </c>
      <c r="F167" s="74">
        <v>2022</v>
      </c>
      <c r="G167" s="74">
        <v>2023</v>
      </c>
      <c r="H167" s="74">
        <v>2024</v>
      </c>
      <c r="I167" s="74">
        <v>2025</v>
      </c>
      <c r="J167" s="74">
        <v>2026</v>
      </c>
      <c r="K167" s="74">
        <v>2027</v>
      </c>
    </row>
    <row r="168" spans="1:11" x14ac:dyDescent="0.25">
      <c r="A168" s="92" t="s">
        <v>256</v>
      </c>
      <c r="B168" s="93"/>
      <c r="C168" s="93"/>
      <c r="D168" s="93"/>
      <c r="E168" s="93"/>
      <c r="F168" s="93"/>
      <c r="G168" s="19"/>
      <c r="H168" s="19"/>
      <c r="I168" s="19"/>
      <c r="J168" s="19"/>
      <c r="K168" s="63"/>
    </row>
    <row r="169" spans="1:11" x14ac:dyDescent="0.25">
      <c r="A169" s="94" t="s">
        <v>257</v>
      </c>
      <c r="B169" s="8"/>
      <c r="C169" s="8"/>
      <c r="D169" s="8"/>
      <c r="E169" s="8"/>
      <c r="F169" s="8"/>
      <c r="K169" s="64"/>
    </row>
    <row r="170" spans="1:11" x14ac:dyDescent="0.25">
      <c r="A170" s="94" t="s">
        <v>258</v>
      </c>
      <c r="B170" s="8"/>
      <c r="C170" s="8"/>
      <c r="D170" s="8"/>
      <c r="E170" s="8"/>
      <c r="F170" s="8"/>
      <c r="K170" s="64"/>
    </row>
    <row r="171" spans="1:11" x14ac:dyDescent="0.25">
      <c r="A171" s="94" t="s">
        <v>209</v>
      </c>
      <c r="B171" s="8"/>
      <c r="C171" s="8"/>
      <c r="D171" s="8"/>
      <c r="E171" s="8"/>
      <c r="F171" s="8"/>
      <c r="K171" s="64"/>
    </row>
    <row r="172" spans="1:11" x14ac:dyDescent="0.25">
      <c r="A172" s="94" t="s">
        <v>255</v>
      </c>
      <c r="B172" s="8"/>
      <c r="C172" s="8"/>
      <c r="D172" s="8"/>
      <c r="E172" s="8"/>
      <c r="F172" s="8"/>
      <c r="K172" s="64"/>
    </row>
    <row r="173" spans="1:11" x14ac:dyDescent="0.25">
      <c r="A173" s="94" t="s">
        <v>415</v>
      </c>
      <c r="B173" s="8"/>
      <c r="C173" s="8"/>
      <c r="D173" s="8"/>
      <c r="E173" s="8"/>
      <c r="F173" s="8"/>
      <c r="K173" s="64"/>
    </row>
    <row r="174" spans="1:11" x14ac:dyDescent="0.25">
      <c r="A174" s="39" t="s">
        <v>576</v>
      </c>
      <c r="B174" s="8"/>
      <c r="C174" s="8"/>
      <c r="D174" s="8"/>
      <c r="E174" s="8"/>
      <c r="F174" s="8"/>
      <c r="K174" s="64"/>
    </row>
    <row r="175" spans="1:11" x14ac:dyDescent="0.25">
      <c r="A175" s="39" t="s">
        <v>994</v>
      </c>
      <c r="B175" s="8"/>
      <c r="C175" s="8"/>
      <c r="D175" s="8"/>
      <c r="E175" s="8"/>
      <c r="F175" s="8"/>
      <c r="K175" s="64"/>
    </row>
    <row r="176" spans="1:11" x14ac:dyDescent="0.25">
      <c r="A176" s="39" t="s">
        <v>993</v>
      </c>
      <c r="B176" s="8"/>
      <c r="C176" s="8"/>
      <c r="D176" s="8"/>
      <c r="E176" s="8"/>
      <c r="F176" s="8"/>
      <c r="K176" s="64"/>
    </row>
    <row r="177" spans="1:13" x14ac:dyDescent="0.25">
      <c r="A177" s="41" t="s">
        <v>995</v>
      </c>
      <c r="B177" s="34"/>
      <c r="C177" s="34"/>
      <c r="D177" s="34"/>
      <c r="E177" s="34"/>
      <c r="F177" s="34"/>
      <c r="G177" s="34"/>
      <c r="H177" s="34"/>
      <c r="I177" s="34"/>
      <c r="J177" s="34"/>
      <c r="K177" s="48"/>
    </row>
    <row r="180" spans="1:13" x14ac:dyDescent="0.25">
      <c r="A180" s="98" t="s">
        <v>12</v>
      </c>
      <c r="B180" s="66" t="s">
        <v>165</v>
      </c>
      <c r="C180" s="8"/>
      <c r="D180" s="8"/>
      <c r="E180" s="8"/>
      <c r="F180" s="8"/>
      <c r="G180" s="8"/>
    </row>
    <row r="181" spans="1:13" x14ac:dyDescent="0.25">
      <c r="A181" s="98" t="s">
        <v>14</v>
      </c>
      <c r="B181" s="66" t="s">
        <v>624</v>
      </c>
      <c r="C181" s="67" t="s">
        <v>15</v>
      </c>
      <c r="D181" s="8"/>
      <c r="E181" s="8"/>
      <c r="F181" s="8"/>
      <c r="G181" s="8"/>
    </row>
    <row r="182" spans="1:13" x14ac:dyDescent="0.25">
      <c r="A182" s="68" t="s">
        <v>16</v>
      </c>
      <c r="B182" s="67">
        <v>2014</v>
      </c>
      <c r="C182" s="67">
        <v>2015</v>
      </c>
      <c r="D182" s="70">
        <v>2016</v>
      </c>
      <c r="E182" s="67">
        <v>2017</v>
      </c>
      <c r="F182" s="66">
        <v>2018</v>
      </c>
      <c r="G182" s="66">
        <v>2019</v>
      </c>
      <c r="H182" s="66">
        <v>2020</v>
      </c>
      <c r="I182" s="66">
        <v>2021</v>
      </c>
      <c r="J182" s="66">
        <v>2022</v>
      </c>
      <c r="K182" s="66">
        <v>2023</v>
      </c>
      <c r="L182" s="66">
        <v>2024</v>
      </c>
      <c r="M182" s="66">
        <v>2025</v>
      </c>
    </row>
    <row r="183" spans="1:13" x14ac:dyDescent="0.25">
      <c r="A183" s="68" t="s">
        <v>17</v>
      </c>
      <c r="B183" s="99">
        <v>200</v>
      </c>
      <c r="C183" s="99">
        <v>200</v>
      </c>
      <c r="D183" s="99">
        <v>200</v>
      </c>
      <c r="E183" s="99">
        <v>200</v>
      </c>
      <c r="F183" s="100">
        <v>200</v>
      </c>
      <c r="G183" s="100">
        <v>215</v>
      </c>
      <c r="H183" s="100">
        <v>215</v>
      </c>
      <c r="I183" s="100">
        <v>242</v>
      </c>
      <c r="J183" s="100">
        <v>242</v>
      </c>
      <c r="K183" s="100">
        <v>242</v>
      </c>
      <c r="L183" s="100">
        <v>302</v>
      </c>
      <c r="M183" s="100">
        <v>302</v>
      </c>
    </row>
    <row r="184" spans="1:13" x14ac:dyDescent="0.25">
      <c r="A184" s="68" t="s">
        <v>18</v>
      </c>
      <c r="B184" s="99">
        <v>250</v>
      </c>
      <c r="C184" s="99">
        <v>250</v>
      </c>
      <c r="D184" s="99">
        <v>250</v>
      </c>
      <c r="E184" s="99">
        <v>250</v>
      </c>
      <c r="F184" s="100">
        <v>250</v>
      </c>
      <c r="G184" s="100">
        <f>E183*0.25+G183</f>
        <v>265</v>
      </c>
      <c r="H184" s="100">
        <f t="shared" ref="H184:L184" si="9">H183+0.25*G183</f>
        <v>268.75</v>
      </c>
      <c r="I184" s="100">
        <f t="shared" si="9"/>
        <v>295.75</v>
      </c>
      <c r="J184" s="100">
        <f t="shared" si="9"/>
        <v>302.5</v>
      </c>
      <c r="K184" s="100">
        <f t="shared" si="9"/>
        <v>302.5</v>
      </c>
      <c r="L184" s="100">
        <f t="shared" si="9"/>
        <v>362.5</v>
      </c>
      <c r="M184" s="100">
        <f>M183+0.25*L183</f>
        <v>377.5</v>
      </c>
    </row>
    <row r="185" spans="1:13" x14ac:dyDescent="0.25">
      <c r="A185" s="68" t="s">
        <v>19</v>
      </c>
      <c r="B185" s="101" t="s">
        <v>316</v>
      </c>
      <c r="C185" s="101" t="s">
        <v>316</v>
      </c>
      <c r="D185" s="101" t="s">
        <v>316</v>
      </c>
      <c r="E185" s="101" t="s">
        <v>316</v>
      </c>
      <c r="F185" s="101" t="s">
        <v>316</v>
      </c>
      <c r="G185" s="101" t="s">
        <v>371</v>
      </c>
      <c r="H185" s="101" t="s">
        <v>426</v>
      </c>
      <c r="I185" s="101" t="s">
        <v>652</v>
      </c>
      <c r="J185" s="101" t="s">
        <v>653</v>
      </c>
      <c r="K185" s="101" t="s">
        <v>653</v>
      </c>
      <c r="L185" s="101" t="s">
        <v>1036</v>
      </c>
      <c r="M185" s="101" t="s">
        <v>1036</v>
      </c>
    </row>
    <row r="186" spans="1:13" x14ac:dyDescent="0.25">
      <c r="A186" s="68" t="s">
        <v>20</v>
      </c>
      <c r="B186" s="99">
        <v>0</v>
      </c>
      <c r="C186" s="99">
        <v>0</v>
      </c>
      <c r="D186" s="99">
        <v>0</v>
      </c>
      <c r="E186" s="99">
        <v>0</v>
      </c>
      <c r="F186" s="100">
        <v>0</v>
      </c>
      <c r="G186" s="100">
        <v>0</v>
      </c>
      <c r="H186" s="100">
        <v>0</v>
      </c>
      <c r="I186" s="100">
        <v>0</v>
      </c>
      <c r="J186" s="100">
        <v>0</v>
      </c>
      <c r="K186" s="100">
        <v>41</v>
      </c>
      <c r="L186" s="100">
        <v>18.62</v>
      </c>
      <c r="M186" s="100"/>
    </row>
    <row r="187" spans="1:13" x14ac:dyDescent="0.25">
      <c r="A187" s="68" t="s">
        <v>21</v>
      </c>
      <c r="B187" s="99">
        <v>250</v>
      </c>
      <c r="C187" s="99">
        <v>250</v>
      </c>
      <c r="D187" s="99">
        <v>250</v>
      </c>
      <c r="E187" s="99">
        <v>250</v>
      </c>
      <c r="F187" s="100">
        <v>250</v>
      </c>
      <c r="G187" s="100">
        <f>G184</f>
        <v>265</v>
      </c>
      <c r="H187" s="100">
        <f>H184</f>
        <v>268.75</v>
      </c>
      <c r="I187" s="100">
        <f>I184</f>
        <v>295.75</v>
      </c>
      <c r="J187" s="100">
        <f>J184-J186</f>
        <v>302.5</v>
      </c>
      <c r="K187" s="100">
        <f>K184-K186</f>
        <v>261.5</v>
      </c>
      <c r="L187" s="100">
        <f>L184-L186</f>
        <v>343.88</v>
      </c>
      <c r="M187" s="100"/>
    </row>
    <row r="188" spans="1:13" x14ac:dyDescent="0.25">
      <c r="A188" s="73" t="s">
        <v>22</v>
      </c>
      <c r="B188" s="102">
        <v>2015</v>
      </c>
      <c r="C188" s="102">
        <v>2016</v>
      </c>
      <c r="D188" s="102">
        <v>2017</v>
      </c>
      <c r="E188" s="102">
        <v>2018</v>
      </c>
      <c r="F188" s="102">
        <v>2019</v>
      </c>
      <c r="G188" s="102">
        <v>2020</v>
      </c>
      <c r="H188" s="102">
        <v>2021</v>
      </c>
      <c r="I188" s="102">
        <v>2022</v>
      </c>
      <c r="J188" s="102">
        <v>2023</v>
      </c>
      <c r="K188" s="102">
        <v>2024</v>
      </c>
      <c r="L188" s="102">
        <v>2025</v>
      </c>
      <c r="M188" s="102">
        <v>2026</v>
      </c>
    </row>
    <row r="189" spans="1:13" x14ac:dyDescent="0.25">
      <c r="A189" s="92" t="s">
        <v>1110</v>
      </c>
      <c r="B189" s="93"/>
      <c r="C189" s="93"/>
      <c r="D189" s="93"/>
      <c r="E189" s="93"/>
      <c r="F189" s="93"/>
      <c r="G189" s="93"/>
      <c r="H189" s="93"/>
      <c r="I189" s="93"/>
      <c r="J189" s="19"/>
      <c r="K189" s="19"/>
      <c r="L189" s="19"/>
      <c r="M189" s="63"/>
    </row>
    <row r="190" spans="1:13" x14ac:dyDescent="0.25">
      <c r="A190" s="84" t="s">
        <v>1111</v>
      </c>
      <c r="B190" s="34"/>
      <c r="C190" s="34"/>
      <c r="D190" s="34"/>
      <c r="E190" s="34"/>
      <c r="F190" s="34"/>
      <c r="G190" s="34"/>
      <c r="H190" s="34"/>
      <c r="I190" s="34"/>
      <c r="J190" s="34"/>
      <c r="K190" s="34"/>
      <c r="L190" s="34"/>
      <c r="M190" s="48"/>
    </row>
    <row r="191" spans="1:13" x14ac:dyDescent="0.25">
      <c r="A191" s="84"/>
      <c r="B191" s="34"/>
      <c r="C191" s="34"/>
    </row>
    <row r="192" spans="1:13" x14ac:dyDescent="0.25">
      <c r="A192" s="103" t="s">
        <v>14</v>
      </c>
      <c r="B192" s="104" t="s">
        <v>638</v>
      </c>
      <c r="C192" s="105" t="s">
        <v>15</v>
      </c>
      <c r="D192" s="8"/>
      <c r="E192" s="8"/>
      <c r="F192" s="8"/>
      <c r="G192" s="8"/>
    </row>
    <row r="193" spans="1:14" x14ac:dyDescent="0.25">
      <c r="A193" s="68" t="s">
        <v>16</v>
      </c>
      <c r="B193" s="67">
        <v>2014</v>
      </c>
      <c r="C193" s="67">
        <v>2015</v>
      </c>
      <c r="D193" s="70">
        <v>2016</v>
      </c>
      <c r="E193" s="67">
        <v>2017</v>
      </c>
      <c r="F193" s="66">
        <v>2018</v>
      </c>
      <c r="G193" s="66">
        <v>2019</v>
      </c>
      <c r="H193" s="66">
        <v>2020</v>
      </c>
      <c r="I193" s="66">
        <v>2021</v>
      </c>
      <c r="J193" s="66">
        <v>2022</v>
      </c>
      <c r="K193" s="66">
        <v>2023</v>
      </c>
      <c r="L193" s="66">
        <v>2024</v>
      </c>
      <c r="M193" s="66">
        <v>2025</v>
      </c>
      <c r="N193" s="66">
        <v>2026</v>
      </c>
    </row>
    <row r="194" spans="1:14" x14ac:dyDescent="0.25">
      <c r="A194" s="68" t="s">
        <v>17</v>
      </c>
      <c r="B194" s="106">
        <v>2160</v>
      </c>
      <c r="C194" s="106">
        <v>2160</v>
      </c>
      <c r="D194" s="106">
        <v>2160</v>
      </c>
      <c r="E194" s="106">
        <v>2160</v>
      </c>
      <c r="F194" s="107">
        <v>2160</v>
      </c>
      <c r="G194" s="107">
        <v>2160</v>
      </c>
      <c r="H194" s="107">
        <v>2160</v>
      </c>
      <c r="I194" s="107">
        <v>2160</v>
      </c>
      <c r="J194" s="107">
        <v>2160</v>
      </c>
      <c r="K194" s="107">
        <v>2600</v>
      </c>
      <c r="L194" s="107">
        <v>2600</v>
      </c>
      <c r="M194" s="107">
        <v>2600</v>
      </c>
      <c r="N194" s="107">
        <v>2600</v>
      </c>
    </row>
    <row r="195" spans="1:14" x14ac:dyDescent="0.25">
      <c r="A195" s="68" t="s">
        <v>18</v>
      </c>
      <c r="B195" s="106">
        <v>2700</v>
      </c>
      <c r="C195" s="106">
        <v>2700</v>
      </c>
      <c r="D195" s="106">
        <v>2700</v>
      </c>
      <c r="E195" s="106">
        <v>2600</v>
      </c>
      <c r="F195" s="106">
        <v>2600</v>
      </c>
      <c r="G195" s="106">
        <v>2600</v>
      </c>
      <c r="H195" s="106">
        <f>H194+0.25*G194-200</f>
        <v>2500</v>
      </c>
      <c r="I195" s="106">
        <f>I194+0.25*H194</f>
        <v>2700</v>
      </c>
      <c r="J195" s="106">
        <f>J194*(1+0.25)-259.96</f>
        <v>2440.04</v>
      </c>
      <c r="K195" s="106">
        <f>K194+0.25*I194-100</f>
        <v>3040</v>
      </c>
      <c r="L195" s="106">
        <f>L194-100</f>
        <v>2500</v>
      </c>
      <c r="M195" s="106">
        <f>M194+0.25*J194-100</f>
        <v>3040</v>
      </c>
      <c r="N195" s="106">
        <f>N194+0.25*L194-100</f>
        <v>3150</v>
      </c>
    </row>
    <row r="196" spans="1:14" ht="27.6" customHeight="1" x14ac:dyDescent="0.25">
      <c r="A196" s="68" t="s">
        <v>19</v>
      </c>
      <c r="B196" s="108" t="s">
        <v>317</v>
      </c>
      <c r="C196" s="108" t="s">
        <v>317</v>
      </c>
      <c r="D196" s="108" t="s">
        <v>317</v>
      </c>
      <c r="E196" s="108" t="s">
        <v>318</v>
      </c>
      <c r="F196" s="108" t="s">
        <v>318</v>
      </c>
      <c r="G196" s="108" t="s">
        <v>318</v>
      </c>
      <c r="H196" s="108" t="s">
        <v>428</v>
      </c>
      <c r="I196" s="108" t="s">
        <v>317</v>
      </c>
      <c r="J196" s="108" t="s">
        <v>911</v>
      </c>
      <c r="K196" s="108" t="s">
        <v>822</v>
      </c>
      <c r="L196" s="108" t="s">
        <v>1033</v>
      </c>
      <c r="M196" s="108" t="s">
        <v>822</v>
      </c>
      <c r="N196" s="108" t="s">
        <v>822</v>
      </c>
    </row>
    <row r="197" spans="1:14" x14ac:dyDescent="0.25">
      <c r="A197" s="68" t="s">
        <v>20</v>
      </c>
      <c r="B197" s="106">
        <v>462.36</v>
      </c>
      <c r="C197" s="106">
        <v>490.22</v>
      </c>
      <c r="D197" s="106">
        <v>657.59</v>
      </c>
      <c r="E197" s="106">
        <v>496.85</v>
      </c>
      <c r="F197" s="107">
        <v>396</v>
      </c>
      <c r="G197" s="107">
        <v>1002.664409132517</v>
      </c>
      <c r="H197" s="107">
        <v>617</v>
      </c>
      <c r="I197" s="107">
        <v>516</v>
      </c>
      <c r="J197" s="107">
        <v>543</v>
      </c>
      <c r="K197" s="107">
        <v>524</v>
      </c>
      <c r="L197" s="107">
        <v>605.1</v>
      </c>
      <c r="M197" s="107"/>
      <c r="N197" s="107"/>
    </row>
    <row r="198" spans="1:14" x14ac:dyDescent="0.25">
      <c r="A198" s="68" t="s">
        <v>21</v>
      </c>
      <c r="B198" s="106">
        <f t="shared" ref="B198:G198" si="10">B195-B197</f>
        <v>2237.64</v>
      </c>
      <c r="C198" s="106">
        <f t="shared" si="10"/>
        <v>2209.7799999999997</v>
      </c>
      <c r="D198" s="106">
        <f t="shared" si="10"/>
        <v>2042.4099999999999</v>
      </c>
      <c r="E198" s="106">
        <f t="shared" si="10"/>
        <v>2103.15</v>
      </c>
      <c r="F198" s="106">
        <f t="shared" si="10"/>
        <v>2204</v>
      </c>
      <c r="G198" s="106">
        <f t="shared" si="10"/>
        <v>1597.335590867483</v>
      </c>
      <c r="H198" s="106">
        <f>H195-H197</f>
        <v>1883</v>
      </c>
      <c r="I198" s="106">
        <f>I195-I197</f>
        <v>2184</v>
      </c>
      <c r="J198" s="106">
        <f>J195-J197</f>
        <v>1897.04</v>
      </c>
      <c r="K198" s="106">
        <f>K195-K197</f>
        <v>2516</v>
      </c>
      <c r="L198" s="106">
        <f>L195-L197</f>
        <v>1894.9</v>
      </c>
      <c r="M198" s="106"/>
      <c r="N198" s="106"/>
    </row>
    <row r="199" spans="1:14" x14ac:dyDescent="0.25">
      <c r="A199" s="73" t="s">
        <v>22</v>
      </c>
      <c r="B199" s="102">
        <v>2016</v>
      </c>
      <c r="C199" s="102">
        <v>2017</v>
      </c>
      <c r="D199" s="102">
        <v>2018</v>
      </c>
      <c r="E199" s="102">
        <v>2019</v>
      </c>
      <c r="F199" s="102">
        <v>2020</v>
      </c>
      <c r="G199" s="102">
        <v>2021</v>
      </c>
      <c r="H199" s="102">
        <v>2022</v>
      </c>
      <c r="I199" s="102">
        <v>2023</v>
      </c>
      <c r="J199" s="102">
        <v>2024</v>
      </c>
      <c r="K199" s="102">
        <v>2025</v>
      </c>
      <c r="L199" s="102">
        <v>2026</v>
      </c>
      <c r="M199" s="102">
        <v>2027</v>
      </c>
      <c r="N199" s="102">
        <v>2028</v>
      </c>
    </row>
    <row r="200" spans="1:14" x14ac:dyDescent="0.25">
      <c r="A200" s="676" t="s">
        <v>792</v>
      </c>
      <c r="B200" s="677"/>
      <c r="C200" s="677"/>
      <c r="D200" s="677"/>
      <c r="E200" s="677"/>
      <c r="F200" s="677"/>
      <c r="G200" s="677"/>
      <c r="H200" s="46"/>
      <c r="I200" s="46"/>
      <c r="J200" s="46"/>
      <c r="K200" s="47"/>
      <c r="L200" s="47"/>
      <c r="M200" s="47"/>
      <c r="N200" s="47"/>
    </row>
    <row r="201" spans="1:14" x14ac:dyDescent="0.25">
      <c r="A201" s="76" t="s">
        <v>319</v>
      </c>
      <c r="B201" s="77"/>
      <c r="C201" s="77"/>
      <c r="D201" s="77"/>
      <c r="E201" s="77"/>
      <c r="F201" s="77"/>
      <c r="G201" s="77"/>
      <c r="H201" s="46"/>
      <c r="I201" s="46"/>
      <c r="J201" s="46"/>
      <c r="K201" s="46"/>
      <c r="L201" s="46"/>
      <c r="M201" s="46"/>
      <c r="N201" s="47"/>
    </row>
    <row r="202" spans="1:14" x14ac:dyDescent="0.25">
      <c r="A202" s="109" t="s">
        <v>1030</v>
      </c>
      <c r="B202" s="80"/>
      <c r="C202" s="80"/>
      <c r="D202" s="80"/>
      <c r="E202" s="80"/>
      <c r="F202" s="80"/>
      <c r="G202" s="80"/>
      <c r="N202" s="64"/>
    </row>
    <row r="203" spans="1:14" x14ac:dyDescent="0.25">
      <c r="A203" s="109" t="s">
        <v>427</v>
      </c>
      <c r="B203" s="80"/>
      <c r="C203" s="80"/>
      <c r="D203" s="80"/>
      <c r="E203" s="80"/>
      <c r="F203" s="80"/>
      <c r="G203" s="80"/>
      <c r="N203" s="64"/>
    </row>
    <row r="204" spans="1:14" x14ac:dyDescent="0.25">
      <c r="A204" s="109" t="s">
        <v>910</v>
      </c>
      <c r="B204" s="80"/>
      <c r="C204" s="80"/>
      <c r="D204" s="80"/>
      <c r="E204" s="80"/>
      <c r="F204" s="80"/>
      <c r="G204" s="80"/>
      <c r="N204" s="64"/>
    </row>
    <row r="205" spans="1:14" x14ac:dyDescent="0.25">
      <c r="A205" s="109" t="s">
        <v>821</v>
      </c>
      <c r="B205" s="80"/>
      <c r="C205" s="80"/>
      <c r="D205" s="80"/>
      <c r="E205" s="80"/>
      <c r="F205" s="80"/>
      <c r="G205" s="80"/>
      <c r="N205" s="64"/>
    </row>
    <row r="206" spans="1:14" x14ac:dyDescent="0.25">
      <c r="A206" s="109" t="s">
        <v>1032</v>
      </c>
      <c r="B206" s="80"/>
      <c r="C206" s="80"/>
      <c r="D206" s="80"/>
      <c r="E206" s="80"/>
      <c r="F206" s="80"/>
      <c r="G206" s="80"/>
      <c r="N206" s="64"/>
    </row>
    <row r="207" spans="1:14" x14ac:dyDescent="0.25">
      <c r="A207" s="110" t="s">
        <v>1104</v>
      </c>
      <c r="B207" s="111"/>
      <c r="C207" s="111"/>
      <c r="D207" s="111"/>
      <c r="E207" s="111"/>
      <c r="F207" s="111"/>
      <c r="G207" s="111"/>
      <c r="H207" s="34"/>
      <c r="I207" s="34"/>
      <c r="J207" s="34"/>
      <c r="K207" s="34"/>
      <c r="L207" s="34"/>
      <c r="M207" s="34"/>
      <c r="N207" s="48"/>
    </row>
    <row r="209" spans="1:14" x14ac:dyDescent="0.25">
      <c r="A209" s="98" t="s">
        <v>14</v>
      </c>
      <c r="B209" s="66" t="s">
        <v>623</v>
      </c>
      <c r="C209" s="67" t="s">
        <v>15</v>
      </c>
      <c r="D209" s="8"/>
      <c r="E209" s="8"/>
      <c r="F209" s="8"/>
    </row>
    <row r="210" spans="1:14" x14ac:dyDescent="0.25">
      <c r="A210" s="68" t="s">
        <v>16</v>
      </c>
      <c r="B210" s="67">
        <v>2014</v>
      </c>
      <c r="C210" s="67">
        <v>2015</v>
      </c>
      <c r="D210" s="70">
        <v>2016</v>
      </c>
      <c r="E210" s="67">
        <v>2017</v>
      </c>
      <c r="F210" s="66">
        <v>2018</v>
      </c>
      <c r="G210" s="66">
        <v>2019</v>
      </c>
      <c r="H210" s="66">
        <v>2020</v>
      </c>
      <c r="I210" s="66">
        <v>2021</v>
      </c>
      <c r="J210" s="66">
        <v>2022</v>
      </c>
      <c r="K210" s="66">
        <v>2023</v>
      </c>
      <c r="L210" s="66">
        <v>2024</v>
      </c>
      <c r="M210" s="112">
        <v>2025</v>
      </c>
      <c r="N210" s="112">
        <v>2026</v>
      </c>
    </row>
    <row r="211" spans="1:14" x14ac:dyDescent="0.25">
      <c r="A211" s="68" t="s">
        <v>17</v>
      </c>
      <c r="B211" s="99">
        <v>50</v>
      </c>
      <c r="C211" s="99">
        <v>50</v>
      </c>
      <c r="D211" s="99">
        <v>50</v>
      </c>
      <c r="E211" s="99">
        <v>50</v>
      </c>
      <c r="F211" s="99">
        <v>50</v>
      </c>
      <c r="G211" s="99">
        <v>50</v>
      </c>
      <c r="H211" s="99">
        <v>50</v>
      </c>
      <c r="I211" s="99">
        <v>50</v>
      </c>
      <c r="J211" s="99">
        <v>50</v>
      </c>
      <c r="K211" s="99">
        <v>50</v>
      </c>
      <c r="L211" s="99">
        <v>50</v>
      </c>
      <c r="M211" s="113">
        <v>50</v>
      </c>
      <c r="N211" s="113">
        <v>50</v>
      </c>
    </row>
    <row r="212" spans="1:14" x14ac:dyDescent="0.25">
      <c r="A212" s="68" t="s">
        <v>18</v>
      </c>
      <c r="B212" s="99">
        <v>75</v>
      </c>
      <c r="C212" s="99">
        <v>50</v>
      </c>
      <c r="D212" s="99">
        <v>50</v>
      </c>
      <c r="E212" s="99">
        <f>E211*1.5-25</f>
        <v>50</v>
      </c>
      <c r="F212" s="99">
        <f>F211*1.4-25</f>
        <v>45</v>
      </c>
      <c r="G212" s="99">
        <f>G211*1.4-25</f>
        <v>45</v>
      </c>
      <c r="H212" s="99">
        <f>H211*1.4-25</f>
        <v>45</v>
      </c>
      <c r="I212" s="99">
        <f>I211*1.4-25</f>
        <v>45</v>
      </c>
      <c r="J212" s="99">
        <f>J211*1.4-25</f>
        <v>45</v>
      </c>
      <c r="K212" s="99">
        <f>50+0.4*50-25</f>
        <v>45</v>
      </c>
      <c r="L212" s="99">
        <f>50+0.4*50-25</f>
        <v>45</v>
      </c>
      <c r="M212" s="113">
        <f>(M211)+(0.4*50)</f>
        <v>70</v>
      </c>
      <c r="N212" s="113">
        <f>(N211)+(0.4*50)</f>
        <v>70</v>
      </c>
    </row>
    <row r="213" spans="1:14" x14ac:dyDescent="0.25">
      <c r="A213" s="68" t="s">
        <v>19</v>
      </c>
      <c r="B213" s="99" t="s">
        <v>320</v>
      </c>
      <c r="C213" s="99" t="s">
        <v>321</v>
      </c>
      <c r="D213" s="99" t="s">
        <v>321</v>
      </c>
      <c r="E213" s="99" t="s">
        <v>321</v>
      </c>
      <c r="F213" s="99" t="s">
        <v>322</v>
      </c>
      <c r="G213" s="99" t="s">
        <v>322</v>
      </c>
      <c r="H213" s="99" t="s">
        <v>322</v>
      </c>
      <c r="I213" s="99" t="s">
        <v>322</v>
      </c>
      <c r="J213" s="99" t="s">
        <v>322</v>
      </c>
      <c r="K213" s="99" t="s">
        <v>1115</v>
      </c>
      <c r="L213" s="99" t="s">
        <v>1115</v>
      </c>
      <c r="M213" s="114" t="s">
        <v>1154</v>
      </c>
      <c r="N213" s="114" t="s">
        <v>1154</v>
      </c>
    </row>
    <row r="214" spans="1:14" x14ac:dyDescent="0.25">
      <c r="A214" s="68" t="s">
        <v>20</v>
      </c>
      <c r="B214" s="99">
        <v>0</v>
      </c>
      <c r="C214" s="99">
        <v>0</v>
      </c>
      <c r="D214" s="99">
        <v>0</v>
      </c>
      <c r="E214" s="99">
        <v>0</v>
      </c>
      <c r="F214" s="99">
        <v>0</v>
      </c>
      <c r="G214" s="99">
        <v>0</v>
      </c>
      <c r="H214" s="99">
        <v>0</v>
      </c>
      <c r="I214" s="99">
        <v>0</v>
      </c>
      <c r="J214" s="99">
        <v>0</v>
      </c>
      <c r="K214" s="99">
        <v>0</v>
      </c>
      <c r="L214" s="99">
        <v>0</v>
      </c>
      <c r="M214" s="115"/>
      <c r="N214" s="113"/>
    </row>
    <row r="215" spans="1:14" x14ac:dyDescent="0.25">
      <c r="A215" s="68" t="s">
        <v>21</v>
      </c>
      <c r="B215" s="99">
        <f t="shared" ref="B215:I215" si="11">B212</f>
        <v>75</v>
      </c>
      <c r="C215" s="99">
        <f t="shared" si="11"/>
        <v>50</v>
      </c>
      <c r="D215" s="99">
        <f t="shared" si="11"/>
        <v>50</v>
      </c>
      <c r="E215" s="99">
        <f t="shared" si="11"/>
        <v>50</v>
      </c>
      <c r="F215" s="99">
        <f t="shared" si="11"/>
        <v>45</v>
      </c>
      <c r="G215" s="99">
        <f t="shared" si="11"/>
        <v>45</v>
      </c>
      <c r="H215" s="99">
        <f t="shared" si="11"/>
        <v>45</v>
      </c>
      <c r="I215" s="99">
        <f t="shared" si="11"/>
        <v>45</v>
      </c>
      <c r="J215" s="99">
        <f>J212-J214</f>
        <v>45</v>
      </c>
      <c r="K215" s="99">
        <f>K212-K214</f>
        <v>45</v>
      </c>
      <c r="L215" s="99">
        <f>L212-L214</f>
        <v>45</v>
      </c>
      <c r="M215" s="115"/>
      <c r="N215" s="113"/>
    </row>
    <row r="216" spans="1:14" x14ac:dyDescent="0.25">
      <c r="A216" s="92" t="s">
        <v>22</v>
      </c>
      <c r="B216" s="605">
        <v>2016</v>
      </c>
      <c r="C216" s="605">
        <v>2017</v>
      </c>
      <c r="D216" s="605">
        <v>2018</v>
      </c>
      <c r="E216" s="605">
        <v>2019</v>
      </c>
      <c r="F216" s="605">
        <v>2020</v>
      </c>
      <c r="G216" s="605">
        <v>2021</v>
      </c>
      <c r="H216" s="605">
        <v>2022</v>
      </c>
      <c r="I216" s="605">
        <v>2023</v>
      </c>
      <c r="J216" s="605">
        <v>2024</v>
      </c>
      <c r="K216" s="605">
        <v>2025</v>
      </c>
      <c r="L216" s="605">
        <v>2026</v>
      </c>
      <c r="M216" s="606"/>
      <c r="N216" s="606"/>
    </row>
    <row r="217" spans="1:14" x14ac:dyDescent="0.25">
      <c r="A217" s="686" t="s">
        <v>793</v>
      </c>
      <c r="B217" s="687"/>
      <c r="C217" s="687"/>
      <c r="D217" s="687"/>
      <c r="E217" s="687"/>
      <c r="F217" s="687"/>
      <c r="G217" s="687"/>
      <c r="H217" s="19"/>
      <c r="I217" s="19"/>
      <c r="J217" s="19"/>
      <c r="K217" s="19"/>
      <c r="L217" s="19"/>
      <c r="M217" s="19"/>
      <c r="N217" s="63"/>
    </row>
    <row r="218" spans="1:14" x14ac:dyDescent="0.25">
      <c r="A218" s="109" t="s">
        <v>1112</v>
      </c>
      <c r="B218" s="80"/>
      <c r="C218" s="80"/>
      <c r="D218" s="80"/>
      <c r="E218" s="80"/>
      <c r="F218" s="80"/>
      <c r="G218" s="80"/>
      <c r="N218" s="64"/>
    </row>
    <row r="219" spans="1:14" x14ac:dyDescent="0.25">
      <c r="A219" s="688" t="s">
        <v>1113</v>
      </c>
      <c r="B219" s="689"/>
      <c r="C219" s="689"/>
      <c r="D219" s="689"/>
      <c r="E219" s="689"/>
      <c r="F219" s="689"/>
      <c r="G219" s="689"/>
      <c r="N219" s="64"/>
    </row>
    <row r="220" spans="1:14" x14ac:dyDescent="0.25">
      <c r="A220" s="84" t="s">
        <v>1114</v>
      </c>
      <c r="B220" s="116"/>
      <c r="C220" s="116"/>
      <c r="D220" s="116"/>
      <c r="E220" s="116"/>
      <c r="F220" s="116"/>
      <c r="G220" s="116"/>
      <c r="H220" s="34"/>
      <c r="I220" s="34"/>
      <c r="J220" s="34"/>
      <c r="K220" s="34"/>
      <c r="L220" s="34"/>
      <c r="M220" s="34"/>
      <c r="N220" s="48"/>
    </row>
    <row r="221" spans="1:14" x14ac:dyDescent="0.25">
      <c r="A221" s="80"/>
      <c r="B221" s="80"/>
      <c r="C221" s="80"/>
      <c r="D221" s="80"/>
      <c r="E221" s="80"/>
      <c r="F221" s="80"/>
      <c r="G221" s="80"/>
    </row>
    <row r="223" spans="1:14" x14ac:dyDescent="0.25">
      <c r="A223" s="98" t="s">
        <v>14</v>
      </c>
      <c r="B223" s="66" t="s">
        <v>641</v>
      </c>
      <c r="C223" s="67" t="s">
        <v>15</v>
      </c>
      <c r="D223" s="8"/>
      <c r="E223" s="8"/>
      <c r="F223" s="8"/>
      <c r="G223" s="8"/>
    </row>
    <row r="224" spans="1:14" x14ac:dyDescent="0.25">
      <c r="A224" s="68" t="s">
        <v>16</v>
      </c>
      <c r="B224" s="67">
        <v>2014</v>
      </c>
      <c r="C224" s="67">
        <v>2015</v>
      </c>
      <c r="D224" s="70">
        <v>2016</v>
      </c>
      <c r="E224" s="67">
        <v>2017</v>
      </c>
      <c r="F224" s="66">
        <v>2018</v>
      </c>
      <c r="G224" s="66">
        <v>2019</v>
      </c>
      <c r="H224" s="66">
        <v>2020</v>
      </c>
      <c r="I224" s="66">
        <v>2021</v>
      </c>
      <c r="J224" s="66">
        <v>2022</v>
      </c>
      <c r="K224" s="66">
        <v>2023</v>
      </c>
      <c r="L224" s="66">
        <v>2024</v>
      </c>
      <c r="M224" s="66">
        <v>2025</v>
      </c>
      <c r="N224" s="66">
        <v>2026</v>
      </c>
    </row>
    <row r="225" spans="1:14" x14ac:dyDescent="0.25">
      <c r="A225" s="68" t="s">
        <v>17</v>
      </c>
      <c r="B225" s="106">
        <v>3940</v>
      </c>
      <c r="C225" s="106">
        <v>3940</v>
      </c>
      <c r="D225" s="106">
        <v>3940</v>
      </c>
      <c r="E225" s="106">
        <v>3940</v>
      </c>
      <c r="F225" s="106">
        <v>3940</v>
      </c>
      <c r="G225" s="106">
        <v>3940</v>
      </c>
      <c r="H225" s="106">
        <v>3940</v>
      </c>
      <c r="I225" s="106">
        <v>3940</v>
      </c>
      <c r="J225" s="106">
        <v>3940</v>
      </c>
      <c r="K225" s="106">
        <v>3940</v>
      </c>
      <c r="L225" s="106">
        <v>3940</v>
      </c>
      <c r="M225" s="106">
        <v>3940</v>
      </c>
      <c r="N225" s="106">
        <v>3940</v>
      </c>
    </row>
    <row r="226" spans="1:14" x14ac:dyDescent="0.25">
      <c r="A226" s="68" t="s">
        <v>18</v>
      </c>
      <c r="B226" s="106">
        <f>B225*1.3-50</f>
        <v>5072</v>
      </c>
      <c r="C226" s="106">
        <f>C225*1.3-50</f>
        <v>5072</v>
      </c>
      <c r="D226" s="106">
        <f>D225*1.3-50</f>
        <v>5072</v>
      </c>
      <c r="E226" s="106">
        <f>E225*1.3-50</f>
        <v>5072</v>
      </c>
      <c r="F226" s="106">
        <f>F225*1.2-50</f>
        <v>4678</v>
      </c>
      <c r="G226" s="106">
        <f>G225*1.2-50</f>
        <v>4678</v>
      </c>
      <c r="H226" s="106">
        <f>H225*1.2-50</f>
        <v>4678</v>
      </c>
      <c r="I226" s="106">
        <f>I225*1.2-50</f>
        <v>4678</v>
      </c>
      <c r="J226" s="106">
        <f>J225*1.2-50</f>
        <v>4678</v>
      </c>
      <c r="K226" s="106">
        <f>K225*1.1-50</f>
        <v>4284</v>
      </c>
      <c r="L226" s="106">
        <f>L225*1.1-50</f>
        <v>4284</v>
      </c>
      <c r="M226" s="106">
        <f>M225*1.1-50</f>
        <v>4284</v>
      </c>
      <c r="N226" s="106">
        <f>N225*1.1-50</f>
        <v>4284</v>
      </c>
    </row>
    <row r="227" spans="1:14" x14ac:dyDescent="0.25">
      <c r="A227" s="68" t="s">
        <v>19</v>
      </c>
      <c r="B227" s="106" t="s">
        <v>324</v>
      </c>
      <c r="C227" s="106" t="s">
        <v>324</v>
      </c>
      <c r="D227" s="106" t="s">
        <v>324</v>
      </c>
      <c r="E227" s="106" t="s">
        <v>324</v>
      </c>
      <c r="F227" s="106" t="s">
        <v>325</v>
      </c>
      <c r="G227" s="106" t="s">
        <v>325</v>
      </c>
      <c r="H227" s="106" t="s">
        <v>325</v>
      </c>
      <c r="I227" s="106" t="s">
        <v>325</v>
      </c>
      <c r="J227" s="106" t="s">
        <v>325</v>
      </c>
      <c r="K227" s="106" t="s">
        <v>1116</v>
      </c>
      <c r="L227" s="106" t="s">
        <v>1116</v>
      </c>
      <c r="M227" s="106" t="s">
        <v>1116</v>
      </c>
      <c r="N227" s="106" t="s">
        <v>1116</v>
      </c>
    </row>
    <row r="228" spans="1:14" x14ac:dyDescent="0.25">
      <c r="A228" s="68" t="s">
        <v>20</v>
      </c>
      <c r="B228" s="106">
        <v>2892.02</v>
      </c>
      <c r="C228" s="106">
        <v>2599.0703200000003</v>
      </c>
      <c r="D228" s="106">
        <v>2934.78017</v>
      </c>
      <c r="E228" s="106">
        <v>2406.0276984999996</v>
      </c>
      <c r="F228" s="106">
        <v>2798</v>
      </c>
      <c r="G228" s="106">
        <v>2858.8298242939013</v>
      </c>
      <c r="H228" s="106">
        <v>2105</v>
      </c>
      <c r="I228" s="106">
        <v>2823</v>
      </c>
      <c r="J228" s="106">
        <v>2197</v>
      </c>
      <c r="K228" s="106">
        <v>1984</v>
      </c>
      <c r="L228" s="106">
        <v>2377.3000000000002</v>
      </c>
      <c r="M228" s="106"/>
      <c r="N228" s="106"/>
    </row>
    <row r="229" spans="1:14" x14ac:dyDescent="0.25">
      <c r="A229" s="68" t="s">
        <v>21</v>
      </c>
      <c r="B229" s="106">
        <f t="shared" ref="B229:L229" si="12">B226-B228</f>
        <v>2179.98</v>
      </c>
      <c r="C229" s="106">
        <f t="shared" si="12"/>
        <v>2472.9296799999997</v>
      </c>
      <c r="D229" s="106">
        <f t="shared" si="12"/>
        <v>2137.21983</v>
      </c>
      <c r="E229" s="106">
        <f t="shared" si="12"/>
        <v>2665.9723015000004</v>
      </c>
      <c r="F229" s="106">
        <f t="shared" si="12"/>
        <v>1880</v>
      </c>
      <c r="G229" s="106">
        <f t="shared" si="12"/>
        <v>1819.1701757060987</v>
      </c>
      <c r="H229" s="106">
        <f t="shared" si="12"/>
        <v>2573</v>
      </c>
      <c r="I229" s="106">
        <f t="shared" si="12"/>
        <v>1855</v>
      </c>
      <c r="J229" s="106">
        <f t="shared" si="12"/>
        <v>2481</v>
      </c>
      <c r="K229" s="106">
        <f t="shared" si="12"/>
        <v>2300</v>
      </c>
      <c r="L229" s="106">
        <f t="shared" si="12"/>
        <v>1906.6999999999998</v>
      </c>
      <c r="M229" s="106"/>
      <c r="N229" s="106"/>
    </row>
    <row r="230" spans="1:14" x14ac:dyDescent="0.25">
      <c r="A230" s="73" t="s">
        <v>22</v>
      </c>
      <c r="B230" s="74">
        <v>2015</v>
      </c>
      <c r="C230" s="74">
        <v>2016</v>
      </c>
      <c r="D230" s="75">
        <v>2017</v>
      </c>
      <c r="E230" s="74">
        <v>2018</v>
      </c>
      <c r="F230" s="117">
        <v>2019</v>
      </c>
      <c r="G230" s="117">
        <v>2020</v>
      </c>
      <c r="H230" s="117">
        <v>2021</v>
      </c>
      <c r="I230" s="117">
        <v>2022</v>
      </c>
      <c r="J230" s="117">
        <v>2023</v>
      </c>
      <c r="K230" s="117">
        <v>2024</v>
      </c>
      <c r="L230" s="117">
        <v>2025</v>
      </c>
      <c r="M230" s="117">
        <v>2026</v>
      </c>
      <c r="N230" s="117">
        <v>2027</v>
      </c>
    </row>
    <row r="231" spans="1:14" x14ac:dyDescent="0.25">
      <c r="A231" s="676" t="s">
        <v>1034</v>
      </c>
      <c r="B231" s="677"/>
      <c r="C231" s="677"/>
      <c r="D231" s="677"/>
      <c r="E231" s="677"/>
      <c r="F231" s="677"/>
      <c r="G231" s="677"/>
      <c r="H231" s="46"/>
      <c r="I231" s="46"/>
      <c r="J231" s="46"/>
      <c r="K231" s="46"/>
      <c r="L231" s="46"/>
      <c r="M231" s="46"/>
      <c r="N231" s="47"/>
    </row>
    <row r="232" spans="1:14" x14ac:dyDescent="0.25">
      <c r="A232" s="110" t="s">
        <v>1035</v>
      </c>
      <c r="B232" s="111"/>
      <c r="C232" s="111"/>
      <c r="D232" s="111"/>
      <c r="E232" s="111"/>
      <c r="F232" s="111"/>
      <c r="G232" s="111"/>
      <c r="H232" s="34"/>
      <c r="I232" s="34"/>
      <c r="J232" s="34"/>
      <c r="K232" s="34"/>
      <c r="L232" s="34"/>
      <c r="M232" s="34"/>
      <c r="N232" s="48"/>
    </row>
    <row r="234" spans="1:14" x14ac:dyDescent="0.25">
      <c r="A234" s="98" t="s">
        <v>14</v>
      </c>
      <c r="B234" s="66" t="s">
        <v>66</v>
      </c>
      <c r="C234" s="67" t="s">
        <v>15</v>
      </c>
      <c r="D234" s="8"/>
      <c r="E234" s="8"/>
      <c r="F234" s="8"/>
    </row>
    <row r="235" spans="1:14" x14ac:dyDescent="0.25">
      <c r="A235" s="68" t="s">
        <v>16</v>
      </c>
      <c r="B235" s="69"/>
      <c r="C235" s="9">
        <v>2020</v>
      </c>
      <c r="D235" s="9">
        <v>2021</v>
      </c>
      <c r="E235" s="9">
        <v>2022</v>
      </c>
      <c r="F235" s="9">
        <v>2023</v>
      </c>
      <c r="G235" s="9">
        <v>2024</v>
      </c>
      <c r="H235" s="9">
        <v>2025</v>
      </c>
      <c r="I235" s="9">
        <v>2026</v>
      </c>
      <c r="J235" s="9">
        <v>2027</v>
      </c>
      <c r="K235" s="9">
        <v>2028</v>
      </c>
      <c r="L235" s="9"/>
    </row>
    <row r="236" spans="1:14" x14ac:dyDescent="0.25">
      <c r="A236" s="68" t="s">
        <v>17</v>
      </c>
      <c r="B236" s="72"/>
      <c r="C236" s="12">
        <v>6043</v>
      </c>
      <c r="D236" s="12">
        <v>5946.3120000000008</v>
      </c>
      <c r="E236" s="12">
        <v>5994.6559999999999</v>
      </c>
      <c r="F236" s="12">
        <v>5994.6559999999999</v>
      </c>
      <c r="G236" s="12">
        <v>5994.6559999999999</v>
      </c>
      <c r="H236" s="12">
        <v>5994.6559999999999</v>
      </c>
      <c r="I236" s="12">
        <v>5994.6559999999999</v>
      </c>
      <c r="J236" s="12">
        <v>5994.6559999999999</v>
      </c>
      <c r="K236" s="12">
        <v>5994.6559999999999</v>
      </c>
      <c r="L236" s="12"/>
    </row>
    <row r="237" spans="1:14" x14ac:dyDescent="0.25">
      <c r="A237" s="68" t="s">
        <v>18</v>
      </c>
      <c r="B237" s="72"/>
      <c r="C237" s="12"/>
      <c r="D237" s="12"/>
      <c r="E237" s="12">
        <f>E236+C240</f>
        <v>5753.6559999999999</v>
      </c>
      <c r="F237" s="12">
        <f>F236+D240</f>
        <v>5441.9680000000008</v>
      </c>
      <c r="G237" s="12">
        <f>G236-355.34</f>
        <v>5639.3159999999998</v>
      </c>
      <c r="H237" s="12">
        <f>H236-308+F240</f>
        <v>4764.6240000000007</v>
      </c>
      <c r="I237" s="12">
        <f>I236-308-G240</f>
        <v>3694.8900000000003</v>
      </c>
      <c r="J237" s="12">
        <f>J236-308+H240</f>
        <v>5686.6559999999999</v>
      </c>
      <c r="K237" s="12">
        <f>K236-308+I240</f>
        <v>5686.6559999999999</v>
      </c>
      <c r="L237" s="12"/>
    </row>
    <row r="238" spans="1:14" x14ac:dyDescent="0.25">
      <c r="A238" s="68" t="s">
        <v>19</v>
      </c>
      <c r="B238" s="72"/>
      <c r="C238" s="12"/>
      <c r="D238" s="12"/>
      <c r="E238" s="12" t="s">
        <v>715</v>
      </c>
      <c r="F238" s="12" t="s">
        <v>716</v>
      </c>
      <c r="G238" s="12" t="s">
        <v>938</v>
      </c>
      <c r="H238" s="12" t="s">
        <v>1037</v>
      </c>
      <c r="I238" s="12" t="s">
        <v>1155</v>
      </c>
      <c r="J238" s="12" t="s">
        <v>939</v>
      </c>
      <c r="K238" s="12" t="s">
        <v>940</v>
      </c>
      <c r="L238" s="12"/>
      <c r="M238" s="270"/>
    </row>
    <row r="239" spans="1:14" x14ac:dyDescent="0.25">
      <c r="A239" s="68" t="s">
        <v>20</v>
      </c>
      <c r="B239" s="72"/>
      <c r="C239" s="12">
        <v>6284</v>
      </c>
      <c r="D239" s="12">
        <v>6499</v>
      </c>
      <c r="E239" s="12">
        <v>7341</v>
      </c>
      <c r="F239" s="12">
        <v>6364</v>
      </c>
      <c r="G239" s="12">
        <v>3647.55</v>
      </c>
      <c r="H239" s="12"/>
      <c r="I239" s="12"/>
      <c r="J239" s="12"/>
      <c r="K239" s="12"/>
      <c r="L239" s="12"/>
    </row>
    <row r="240" spans="1:14" x14ac:dyDescent="0.25">
      <c r="A240" s="68" t="s">
        <v>21</v>
      </c>
      <c r="B240" s="101"/>
      <c r="C240" s="12">
        <f>C236-C239</f>
        <v>-241</v>
      </c>
      <c r="D240" s="12">
        <f>D236-D239</f>
        <v>-552.68799999999919</v>
      </c>
      <c r="E240" s="12">
        <f>E237-E239</f>
        <v>-1587.3440000000001</v>
      </c>
      <c r="F240" s="12">
        <f>F237-F239</f>
        <v>-922.03199999999924</v>
      </c>
      <c r="G240" s="12">
        <f>G237-G239</f>
        <v>1991.7659999999996</v>
      </c>
      <c r="H240" s="12"/>
      <c r="I240" s="12"/>
      <c r="J240" s="12"/>
      <c r="K240" s="12"/>
      <c r="L240" s="12"/>
    </row>
    <row r="241" spans="1:12" x14ac:dyDescent="0.25">
      <c r="A241" s="73" t="s">
        <v>22</v>
      </c>
      <c r="B241" s="102"/>
      <c r="C241" s="17">
        <v>2022</v>
      </c>
      <c r="D241" s="17">
        <v>2023</v>
      </c>
      <c r="E241" s="17">
        <v>2024</v>
      </c>
      <c r="F241" s="17">
        <v>2025</v>
      </c>
      <c r="G241" s="17">
        <v>2026</v>
      </c>
      <c r="H241" s="17">
        <v>2027</v>
      </c>
      <c r="I241" s="17">
        <v>2028</v>
      </c>
      <c r="J241" s="17">
        <v>2029</v>
      </c>
      <c r="K241" s="17">
        <v>2030</v>
      </c>
      <c r="L241" s="17"/>
    </row>
    <row r="242" spans="1:12" ht="12.75" customHeight="1" x14ac:dyDescent="0.25">
      <c r="A242" s="607" t="s">
        <v>23</v>
      </c>
      <c r="B242" s="608"/>
      <c r="C242" s="608"/>
      <c r="D242" s="608"/>
      <c r="E242" s="608"/>
      <c r="F242" s="608"/>
      <c r="G242" s="608"/>
      <c r="H242" s="608"/>
      <c r="I242" s="608"/>
      <c r="J242" s="608"/>
      <c r="K242" s="609"/>
      <c r="L242" s="609"/>
    </row>
    <row r="243" spans="1:12" ht="12.75" customHeight="1" x14ac:dyDescent="0.25">
      <c r="A243" s="611" t="s">
        <v>654</v>
      </c>
      <c r="B243" s="608"/>
      <c r="C243" s="608"/>
      <c r="D243" s="608"/>
      <c r="E243" s="608"/>
      <c r="F243" s="608"/>
      <c r="G243" s="258"/>
      <c r="H243" s="258"/>
      <c r="I243" s="19"/>
      <c r="J243" s="19"/>
      <c r="K243" s="19"/>
      <c r="L243" s="63"/>
    </row>
    <row r="244" spans="1:12" ht="12.75" customHeight="1" x14ac:dyDescent="0.25">
      <c r="A244" s="118" t="s">
        <v>937</v>
      </c>
      <c r="B244" s="610"/>
      <c r="C244" s="610"/>
      <c r="D244" s="610"/>
      <c r="E244" s="610"/>
      <c r="F244" s="610"/>
      <c r="G244" s="119"/>
      <c r="H244" s="119"/>
      <c r="L244" s="64"/>
    </row>
    <row r="245" spans="1:12" ht="12.75" customHeight="1" x14ac:dyDescent="0.25">
      <c r="A245" s="118"/>
      <c r="B245" s="610"/>
      <c r="C245" s="610"/>
      <c r="D245" s="610"/>
      <c r="E245" s="610"/>
      <c r="F245" s="610"/>
      <c r="G245" s="119"/>
      <c r="H245" s="119"/>
      <c r="L245" s="64"/>
    </row>
    <row r="246" spans="1:12" ht="12.75" customHeight="1" x14ac:dyDescent="0.25">
      <c r="A246" s="118"/>
      <c r="B246" s="610"/>
      <c r="C246" s="610"/>
      <c r="D246" s="610"/>
      <c r="E246" s="610"/>
      <c r="F246" s="610"/>
      <c r="G246" s="119"/>
      <c r="H246" s="119"/>
      <c r="L246" s="64"/>
    </row>
    <row r="247" spans="1:12" ht="12.75" customHeight="1" x14ac:dyDescent="0.25">
      <c r="A247" s="120"/>
      <c r="B247" s="121"/>
      <c r="C247" s="121"/>
      <c r="D247" s="121"/>
      <c r="E247" s="121"/>
      <c r="F247" s="122"/>
      <c r="G247" s="122"/>
      <c r="H247" s="122"/>
      <c r="I247" s="34"/>
      <c r="J247" s="34"/>
      <c r="K247" s="34"/>
      <c r="L247" s="48"/>
    </row>
    <row r="248" spans="1:12" x14ac:dyDescent="0.25">
      <c r="C248" s="123"/>
    </row>
    <row r="249" spans="1:12" x14ac:dyDescent="0.25">
      <c r="A249" s="98" t="s">
        <v>14</v>
      </c>
      <c r="B249" s="66" t="s">
        <v>74</v>
      </c>
      <c r="C249" s="67" t="s">
        <v>15</v>
      </c>
      <c r="D249" s="8"/>
      <c r="E249" s="8"/>
      <c r="F249" s="8"/>
    </row>
    <row r="250" spans="1:12" x14ac:dyDescent="0.25">
      <c r="A250" s="92" t="s">
        <v>16</v>
      </c>
      <c r="B250" s="124">
        <v>2014</v>
      </c>
      <c r="C250" s="124">
        <v>2015</v>
      </c>
      <c r="D250" s="125">
        <v>2016</v>
      </c>
      <c r="E250" s="124">
        <v>2017</v>
      </c>
      <c r="F250" s="126">
        <v>2018</v>
      </c>
      <c r="G250" s="127">
        <v>2019</v>
      </c>
      <c r="H250" s="127">
        <v>2020</v>
      </c>
      <c r="I250" s="127">
        <v>2021</v>
      </c>
      <c r="J250" s="127">
        <v>2022</v>
      </c>
      <c r="K250" s="128">
        <v>2023</v>
      </c>
      <c r="L250" s="128">
        <v>2024</v>
      </c>
    </row>
    <row r="251" spans="1:12" x14ac:dyDescent="0.25">
      <c r="A251" s="129" t="s">
        <v>17</v>
      </c>
      <c r="B251" s="130">
        <v>190</v>
      </c>
      <c r="C251" s="130">
        <v>190</v>
      </c>
      <c r="D251" s="130">
        <v>190</v>
      </c>
      <c r="E251" s="130">
        <v>190</v>
      </c>
      <c r="F251" s="130">
        <v>190</v>
      </c>
      <c r="G251" s="131">
        <v>190</v>
      </c>
      <c r="H251" s="131">
        <v>159.80000000000001</v>
      </c>
      <c r="I251" s="131">
        <v>159.80000000000001</v>
      </c>
      <c r="J251" s="131">
        <v>159.80000000000001</v>
      </c>
      <c r="K251" s="90">
        <v>159.80000000000001</v>
      </c>
      <c r="L251" s="90">
        <v>159.80000000000001</v>
      </c>
    </row>
    <row r="252" spans="1:12" x14ac:dyDescent="0.25">
      <c r="A252" s="129" t="s">
        <v>18</v>
      </c>
      <c r="B252" s="130"/>
      <c r="C252" s="130"/>
      <c r="D252" s="130"/>
      <c r="E252" s="130"/>
      <c r="F252" s="130"/>
      <c r="G252" s="131"/>
      <c r="H252" s="131"/>
      <c r="I252" s="131"/>
      <c r="J252" s="131">
        <v>159.80000000000001</v>
      </c>
      <c r="K252" s="90">
        <v>159.80000000000001</v>
      </c>
      <c r="L252" s="90">
        <v>159.80000000000001</v>
      </c>
    </row>
    <row r="253" spans="1:12" x14ac:dyDescent="0.25">
      <c r="A253" s="129" t="s">
        <v>19</v>
      </c>
      <c r="B253" s="130"/>
      <c r="C253" s="130"/>
      <c r="D253" s="130"/>
      <c r="E253" s="130"/>
      <c r="F253" s="130"/>
      <c r="G253" s="131"/>
      <c r="H253" s="131"/>
      <c r="I253" s="131"/>
      <c r="J253" s="131"/>
      <c r="K253" s="90"/>
      <c r="L253" s="90"/>
    </row>
    <row r="254" spans="1:12" x14ac:dyDescent="0.25">
      <c r="A254" s="129" t="s">
        <v>20</v>
      </c>
      <c r="B254" s="130">
        <v>104.95522</v>
      </c>
      <c r="C254" s="130">
        <v>89.182190000000006</v>
      </c>
      <c r="D254" s="130">
        <v>79.192750000000004</v>
      </c>
      <c r="E254" s="132">
        <v>64.003107999999997</v>
      </c>
      <c r="F254" s="130">
        <v>37</v>
      </c>
      <c r="G254" s="131">
        <v>19.91</v>
      </c>
      <c r="H254" s="131">
        <v>13</v>
      </c>
      <c r="I254" s="131">
        <v>2</v>
      </c>
      <c r="J254" s="131">
        <v>3</v>
      </c>
      <c r="K254" s="90">
        <v>5</v>
      </c>
      <c r="L254" s="90">
        <v>3.04</v>
      </c>
    </row>
    <row r="255" spans="1:12" x14ac:dyDescent="0.25">
      <c r="A255" s="129" t="s">
        <v>21</v>
      </c>
      <c r="B255" s="133"/>
      <c r="C255" s="133"/>
      <c r="D255" s="133"/>
      <c r="E255" s="133"/>
      <c r="F255" s="133"/>
      <c r="G255" s="90"/>
      <c r="H255" s="90"/>
      <c r="I255" s="90"/>
      <c r="J255" s="131">
        <f>J252-J254</f>
        <v>156.80000000000001</v>
      </c>
      <c r="K255" s="131">
        <f t="shared" ref="K255:L255" si="13">K252-K254</f>
        <v>154.80000000000001</v>
      </c>
      <c r="L255" s="131">
        <f t="shared" si="13"/>
        <v>156.76000000000002</v>
      </c>
    </row>
    <row r="256" spans="1:12" x14ac:dyDescent="0.25">
      <c r="A256" s="129" t="s">
        <v>22</v>
      </c>
      <c r="B256" s="134"/>
      <c r="C256" s="134"/>
      <c r="D256" s="134"/>
      <c r="E256" s="134"/>
      <c r="F256" s="134"/>
      <c r="G256" s="90"/>
      <c r="H256" s="90"/>
      <c r="I256" s="90"/>
      <c r="J256" s="90"/>
      <c r="K256" s="90"/>
      <c r="L256" s="90"/>
    </row>
    <row r="257" spans="1:12" ht="36" customHeight="1" x14ac:dyDescent="0.25">
      <c r="A257" s="691" t="s">
        <v>323</v>
      </c>
      <c r="B257" s="692"/>
      <c r="C257" s="692"/>
      <c r="D257" s="692"/>
      <c r="E257" s="692"/>
      <c r="F257" s="692"/>
      <c r="G257" s="692"/>
      <c r="H257" s="692"/>
      <c r="I257" s="692"/>
      <c r="J257" s="692"/>
      <c r="K257" s="692"/>
      <c r="L257" s="693"/>
    </row>
    <row r="258" spans="1:12" x14ac:dyDescent="0.25">
      <c r="C258" s="123"/>
    </row>
    <row r="259" spans="1:12" x14ac:dyDescent="0.25">
      <c r="A259" s="98" t="s">
        <v>14</v>
      </c>
      <c r="B259" s="66" t="s">
        <v>79</v>
      </c>
      <c r="C259" s="67" t="s">
        <v>15</v>
      </c>
      <c r="D259" s="8"/>
      <c r="E259" s="8"/>
      <c r="F259" s="8"/>
    </row>
    <row r="260" spans="1:12" x14ac:dyDescent="0.25">
      <c r="A260" s="68" t="s">
        <v>16</v>
      </c>
      <c r="B260" s="67">
        <v>2014</v>
      </c>
      <c r="C260" s="67">
        <v>2015</v>
      </c>
      <c r="D260" s="70">
        <v>2016</v>
      </c>
      <c r="E260" s="67">
        <v>2017</v>
      </c>
      <c r="F260" s="66">
        <v>2018</v>
      </c>
      <c r="G260" s="9">
        <v>2019</v>
      </c>
      <c r="H260" s="9">
        <v>2020</v>
      </c>
      <c r="I260" s="9">
        <v>2021</v>
      </c>
      <c r="J260" s="9">
        <v>2022</v>
      </c>
      <c r="K260" s="128">
        <v>2023</v>
      </c>
      <c r="L260" s="128">
        <v>2024</v>
      </c>
    </row>
    <row r="261" spans="1:12" x14ac:dyDescent="0.25">
      <c r="A261" s="68" t="s">
        <v>17</v>
      </c>
      <c r="B261" s="101">
        <v>50</v>
      </c>
      <c r="C261" s="101">
        <v>50</v>
      </c>
      <c r="D261" s="101">
        <v>50</v>
      </c>
      <c r="E261" s="101">
        <v>50</v>
      </c>
      <c r="F261" s="135">
        <v>50</v>
      </c>
      <c r="G261" s="12">
        <v>50</v>
      </c>
      <c r="H261" s="12">
        <v>50</v>
      </c>
      <c r="I261" s="12">
        <v>50</v>
      </c>
      <c r="J261" s="12">
        <v>50</v>
      </c>
      <c r="K261" s="90">
        <v>50</v>
      </c>
      <c r="L261" s="90">
        <v>50</v>
      </c>
    </row>
    <row r="262" spans="1:12" x14ac:dyDescent="0.25">
      <c r="A262" s="68" t="s">
        <v>18</v>
      </c>
      <c r="B262" s="101"/>
      <c r="C262" s="101"/>
      <c r="D262" s="101"/>
      <c r="E262" s="101"/>
      <c r="F262" s="135"/>
      <c r="G262" s="11"/>
      <c r="H262" s="12"/>
      <c r="I262" s="12"/>
      <c r="J262" s="12"/>
      <c r="K262" s="90"/>
      <c r="L262" s="90"/>
    </row>
    <row r="263" spans="1:12" x14ac:dyDescent="0.25">
      <c r="A263" s="68" t="s">
        <v>19</v>
      </c>
      <c r="B263" s="101"/>
      <c r="C263" s="101"/>
      <c r="D263" s="101"/>
      <c r="E263" s="101"/>
      <c r="F263" s="135"/>
      <c r="G263" s="11"/>
      <c r="H263" s="12"/>
      <c r="I263" s="12"/>
      <c r="J263" s="12"/>
      <c r="K263" s="90"/>
      <c r="L263" s="90"/>
    </row>
    <row r="264" spans="1:12" x14ac:dyDescent="0.25">
      <c r="A264" s="68" t="s">
        <v>20</v>
      </c>
      <c r="B264" s="101">
        <v>102.32362999999999</v>
      </c>
      <c r="C264" s="101">
        <v>121.20529999999999</v>
      </c>
      <c r="D264" s="101">
        <v>66.934179999999998</v>
      </c>
      <c r="E264" s="101">
        <v>46.581100000000006</v>
      </c>
      <c r="F264" s="101">
        <v>62</v>
      </c>
      <c r="G264" s="11">
        <v>76.31</v>
      </c>
      <c r="H264" s="12">
        <v>46</v>
      </c>
      <c r="I264" s="12">
        <v>0</v>
      </c>
      <c r="J264" s="12">
        <v>0</v>
      </c>
      <c r="K264" s="90">
        <v>17</v>
      </c>
      <c r="L264" s="90">
        <v>1.36</v>
      </c>
    </row>
    <row r="265" spans="1:12" x14ac:dyDescent="0.25">
      <c r="A265" s="68" t="s">
        <v>21</v>
      </c>
      <c r="B265" s="101"/>
      <c r="C265" s="101"/>
      <c r="D265" s="101"/>
      <c r="E265" s="101"/>
      <c r="F265" s="135"/>
      <c r="G265" s="11"/>
      <c r="H265" s="12"/>
      <c r="I265" s="12"/>
      <c r="J265" s="12"/>
      <c r="K265" s="90">
        <v>33</v>
      </c>
      <c r="L265" s="90">
        <v>48.64</v>
      </c>
    </row>
    <row r="266" spans="1:12" x14ac:dyDescent="0.25">
      <c r="A266" s="68" t="s">
        <v>22</v>
      </c>
      <c r="B266" s="69"/>
      <c r="C266" s="69"/>
      <c r="D266" s="136"/>
      <c r="E266" s="69"/>
      <c r="F266" s="137"/>
      <c r="G266" s="11"/>
      <c r="H266" s="12"/>
      <c r="I266" s="12"/>
      <c r="J266" s="12"/>
      <c r="K266" s="90"/>
      <c r="L266" s="90"/>
    </row>
    <row r="267" spans="1:12" x14ac:dyDescent="0.25">
      <c r="A267" s="675" t="s">
        <v>23</v>
      </c>
      <c r="B267" s="675"/>
      <c r="C267" s="675"/>
      <c r="D267" s="675"/>
      <c r="E267" s="675"/>
      <c r="F267" s="675"/>
      <c r="G267" s="11"/>
      <c r="H267" s="12"/>
      <c r="I267" s="12"/>
      <c r="J267" s="12"/>
      <c r="K267" s="90"/>
      <c r="L267" s="90"/>
    </row>
    <row r="268" spans="1:12" ht="38.25" customHeight="1" x14ac:dyDescent="0.25">
      <c r="A268" s="691" t="s">
        <v>323</v>
      </c>
      <c r="B268" s="692"/>
      <c r="C268" s="692"/>
      <c r="D268" s="692"/>
      <c r="E268" s="692"/>
      <c r="F268" s="692"/>
      <c r="G268" s="692"/>
      <c r="H268" s="692"/>
      <c r="I268" s="692"/>
      <c r="J268" s="692"/>
      <c r="K268" s="692"/>
      <c r="L268" s="693"/>
    </row>
    <row r="269" spans="1:12" ht="16.2" customHeight="1" x14ac:dyDescent="0.25">
      <c r="A269" s="138"/>
      <c r="B269" s="138"/>
      <c r="C269" s="138"/>
      <c r="D269" s="138"/>
      <c r="E269" s="138"/>
      <c r="F269" s="138"/>
      <c r="G269" s="138"/>
      <c r="H269" s="138"/>
      <c r="I269" s="138"/>
      <c r="J269" s="138"/>
      <c r="K269" s="138"/>
      <c r="L269" s="138"/>
    </row>
    <row r="270" spans="1:12" ht="16.2" customHeight="1" x14ac:dyDescent="0.25">
      <c r="A270" s="98" t="s">
        <v>14</v>
      </c>
      <c r="B270" s="66" t="s">
        <v>1156</v>
      </c>
      <c r="C270" s="67" t="s">
        <v>15</v>
      </c>
      <c r="D270" s="8"/>
      <c r="E270" s="8"/>
      <c r="F270" s="8"/>
      <c r="G270" s="138"/>
      <c r="H270" s="138"/>
      <c r="I270" s="138"/>
      <c r="J270" s="138"/>
      <c r="K270" s="138"/>
      <c r="L270" s="138"/>
    </row>
    <row r="271" spans="1:12" ht="16.2" customHeight="1" x14ac:dyDescent="0.25">
      <c r="A271" s="68" t="s">
        <v>16</v>
      </c>
      <c r="B271" s="67">
        <v>2023</v>
      </c>
      <c r="C271" s="67">
        <v>2024</v>
      </c>
      <c r="D271" s="612">
        <v>2025</v>
      </c>
      <c r="E271" s="138"/>
      <c r="F271" s="138"/>
      <c r="G271" s="138"/>
      <c r="H271" s="138"/>
      <c r="I271" s="138"/>
      <c r="J271" s="138"/>
    </row>
    <row r="272" spans="1:12" ht="16.2" customHeight="1" x14ac:dyDescent="0.25">
      <c r="A272" s="68" t="s">
        <v>17</v>
      </c>
      <c r="B272" s="101">
        <v>208</v>
      </c>
      <c r="C272" s="101">
        <v>208</v>
      </c>
      <c r="D272" s="101">
        <v>208</v>
      </c>
      <c r="E272" s="138"/>
      <c r="F272" s="138"/>
      <c r="G272" s="138"/>
      <c r="H272" s="138"/>
      <c r="I272" s="138"/>
      <c r="J272" s="138"/>
    </row>
    <row r="273" spans="1:12" ht="16.2" customHeight="1" x14ac:dyDescent="0.25">
      <c r="A273" s="68" t="s">
        <v>18</v>
      </c>
      <c r="B273" s="101"/>
      <c r="C273" s="101">
        <v>208</v>
      </c>
      <c r="D273" s="101">
        <v>208</v>
      </c>
      <c r="E273" s="138"/>
      <c r="F273" s="138"/>
      <c r="G273" s="138"/>
      <c r="H273" s="138"/>
      <c r="I273" s="138"/>
      <c r="J273" s="138"/>
    </row>
    <row r="274" spans="1:12" ht="16.2" customHeight="1" x14ac:dyDescent="0.25">
      <c r="A274" s="68" t="s">
        <v>19</v>
      </c>
      <c r="B274" s="101"/>
      <c r="C274" s="101"/>
      <c r="D274" s="101"/>
      <c r="E274" s="138"/>
      <c r="F274" s="138"/>
      <c r="G274" s="138"/>
      <c r="H274" s="138"/>
      <c r="I274" s="138"/>
      <c r="J274" s="138"/>
    </row>
    <row r="275" spans="1:12" ht="16.2" customHeight="1" x14ac:dyDescent="0.25">
      <c r="A275" s="68" t="s">
        <v>20</v>
      </c>
      <c r="B275" s="101">
        <v>121</v>
      </c>
      <c r="C275" s="101">
        <v>30.579499999999999</v>
      </c>
      <c r="D275" s="101"/>
      <c r="E275" s="138"/>
      <c r="F275" s="138"/>
      <c r="G275" s="138"/>
      <c r="H275" s="138"/>
      <c r="I275" s="138"/>
      <c r="J275" s="138"/>
    </row>
    <row r="276" spans="1:12" ht="16.2" customHeight="1" x14ac:dyDescent="0.25">
      <c r="A276" s="68" t="s">
        <v>21</v>
      </c>
      <c r="B276" s="101">
        <v>87</v>
      </c>
      <c r="C276" s="658">
        <f>C273-C275</f>
        <v>177.4205</v>
      </c>
      <c r="D276" s="101"/>
      <c r="E276" s="138"/>
      <c r="F276" s="138"/>
      <c r="G276" s="138"/>
      <c r="H276" s="138"/>
      <c r="I276" s="138"/>
      <c r="J276" s="138"/>
    </row>
    <row r="277" spans="1:12" ht="16.2" customHeight="1" x14ac:dyDescent="0.25">
      <c r="A277" s="92" t="s">
        <v>22</v>
      </c>
      <c r="B277" s="274">
        <v>2025</v>
      </c>
      <c r="C277" s="274">
        <v>2026</v>
      </c>
      <c r="D277" s="274">
        <v>2027</v>
      </c>
      <c r="E277" s="138"/>
      <c r="F277" s="138"/>
      <c r="G277" s="138"/>
      <c r="H277" s="138"/>
      <c r="I277" s="138"/>
      <c r="J277" s="138"/>
    </row>
    <row r="278" spans="1:12" x14ac:dyDescent="0.25">
      <c r="A278" s="613" t="s">
        <v>23</v>
      </c>
      <c r="B278" s="490"/>
      <c r="C278" s="490"/>
      <c r="D278" s="614"/>
      <c r="E278" s="8"/>
      <c r="F278" s="8"/>
    </row>
    <row r="279" spans="1:12" x14ac:dyDescent="0.25">
      <c r="A279" s="8"/>
      <c r="B279" s="8"/>
      <c r="C279" s="8"/>
      <c r="D279" s="8"/>
      <c r="E279" s="8"/>
      <c r="F279" s="8"/>
    </row>
    <row r="280" spans="1:12" x14ac:dyDescent="0.25">
      <c r="A280" s="10" t="s">
        <v>12</v>
      </c>
      <c r="B280" s="7" t="s">
        <v>171</v>
      </c>
    </row>
    <row r="281" spans="1:12" x14ac:dyDescent="0.25">
      <c r="A281" s="41" t="s">
        <v>14</v>
      </c>
      <c r="B281" s="24" t="s">
        <v>623</v>
      </c>
      <c r="C281" s="9" t="s">
        <v>15</v>
      </c>
    </row>
    <row r="282" spans="1:12" x14ac:dyDescent="0.25">
      <c r="A282" s="9" t="s">
        <v>16</v>
      </c>
      <c r="B282" s="9"/>
      <c r="C282" s="9">
        <v>2016</v>
      </c>
      <c r="D282" s="9">
        <v>2017</v>
      </c>
      <c r="E282" s="9">
        <v>2018</v>
      </c>
      <c r="F282" s="9">
        <v>2019</v>
      </c>
      <c r="G282" s="9">
        <v>2020</v>
      </c>
      <c r="H282" s="9">
        <v>2021</v>
      </c>
      <c r="I282" s="9">
        <v>2022</v>
      </c>
      <c r="J282" s="9">
        <v>2023</v>
      </c>
      <c r="K282" s="9">
        <v>2024</v>
      </c>
      <c r="L282" s="9">
        <v>2025</v>
      </c>
    </row>
    <row r="283" spans="1:12" x14ac:dyDescent="0.25">
      <c r="A283" s="11" t="s">
        <v>17</v>
      </c>
      <c r="B283" s="11"/>
      <c r="C283" s="12">
        <v>1348</v>
      </c>
      <c r="D283" s="12">
        <v>1348</v>
      </c>
      <c r="E283" s="12">
        <v>1348</v>
      </c>
      <c r="F283" s="12">
        <v>1348</v>
      </c>
      <c r="G283" s="12">
        <v>1348</v>
      </c>
      <c r="H283" s="12">
        <v>1348</v>
      </c>
      <c r="I283" s="12">
        <v>1348</v>
      </c>
      <c r="J283" s="12">
        <v>1348</v>
      </c>
      <c r="K283" s="12">
        <v>1348</v>
      </c>
      <c r="L283" s="90">
        <v>558.65</v>
      </c>
    </row>
    <row r="284" spans="1:12" x14ac:dyDescent="0.25">
      <c r="A284" s="11" t="s">
        <v>18</v>
      </c>
      <c r="B284" s="11"/>
      <c r="C284" s="12">
        <v>2040.2</v>
      </c>
      <c r="D284" s="12">
        <v>2070.1999999999998</v>
      </c>
      <c r="E284" s="12">
        <v>2070.1999999999998</v>
      </c>
      <c r="F284" s="12">
        <v>2045.1999999999998</v>
      </c>
      <c r="G284" s="12">
        <f>G283*1.15+125+35+35+100</f>
        <v>1845.1999999999998</v>
      </c>
      <c r="H284" s="12">
        <f>H283+0.15*F283+150+35+35+200</f>
        <v>1970.2</v>
      </c>
      <c r="I284" s="12">
        <f>I283+150+35+35+250+202.2</f>
        <v>2020.2</v>
      </c>
      <c r="J284" s="12">
        <f>J283+125+35+35+327+202.2</f>
        <v>2072.1999999999998</v>
      </c>
      <c r="K284" s="12">
        <f>K283+125+35+35+280+202.2</f>
        <v>2025.2</v>
      </c>
      <c r="L284" s="90">
        <v>608.46400499999982</v>
      </c>
    </row>
    <row r="285" spans="1:12" x14ac:dyDescent="0.25">
      <c r="A285" s="11" t="s">
        <v>19</v>
      </c>
      <c r="B285" s="11"/>
      <c r="C285" s="12"/>
      <c r="D285" s="12"/>
      <c r="E285" s="12"/>
      <c r="F285" s="12"/>
      <c r="G285" s="12"/>
      <c r="H285" s="12"/>
      <c r="I285" s="12"/>
      <c r="J285" s="12"/>
      <c r="K285" s="12"/>
      <c r="L285" s="90"/>
    </row>
    <row r="286" spans="1:12" x14ac:dyDescent="0.25">
      <c r="A286" s="11" t="s">
        <v>20</v>
      </c>
      <c r="B286" s="11"/>
      <c r="C286" s="12">
        <v>1558.88</v>
      </c>
      <c r="D286" s="12">
        <v>1209.21</v>
      </c>
      <c r="E286" s="12">
        <v>786.81</v>
      </c>
      <c r="F286" s="12">
        <v>997.23400000000004</v>
      </c>
      <c r="G286" s="12">
        <v>1335.83</v>
      </c>
      <c r="H286" s="12">
        <v>1380.2959000000001</v>
      </c>
      <c r="I286" s="12">
        <v>1343.9679999999998</v>
      </c>
      <c r="J286" s="12">
        <v>1925.9659999999999</v>
      </c>
      <c r="K286" s="12">
        <v>1687.3495874040746</v>
      </c>
      <c r="L286" s="90"/>
    </row>
    <row r="287" spans="1:12" x14ac:dyDescent="0.25">
      <c r="A287" s="11" t="s">
        <v>21</v>
      </c>
      <c r="B287" s="11"/>
      <c r="C287" s="12">
        <v>481.32</v>
      </c>
      <c r="D287" s="12">
        <v>860.99</v>
      </c>
      <c r="E287" s="12">
        <v>1283.3900000000001</v>
      </c>
      <c r="F287" s="12">
        <v>1047.9659999999999</v>
      </c>
      <c r="G287" s="12">
        <f>G284-G286</f>
        <v>509.36999999999989</v>
      </c>
      <c r="H287" s="12">
        <f>H284-H286</f>
        <v>589.90409999999997</v>
      </c>
      <c r="I287" s="12">
        <f>I284-I286</f>
        <v>676.2320000000002</v>
      </c>
      <c r="J287" s="12">
        <f>J284-J286</f>
        <v>146.23399999999992</v>
      </c>
      <c r="K287" s="12">
        <f>K284-K286</f>
        <v>337.85041259592549</v>
      </c>
      <c r="L287" s="90"/>
    </row>
    <row r="288" spans="1:12" x14ac:dyDescent="0.25">
      <c r="A288" s="17" t="s">
        <v>22</v>
      </c>
      <c r="B288" s="17"/>
      <c r="C288" s="17">
        <v>2018</v>
      </c>
      <c r="D288" s="17">
        <v>2019</v>
      </c>
      <c r="E288" s="17">
        <v>2020</v>
      </c>
      <c r="F288" s="17">
        <v>2021</v>
      </c>
      <c r="G288" s="17">
        <v>2022</v>
      </c>
      <c r="H288" s="17">
        <v>2023</v>
      </c>
      <c r="I288" s="17">
        <v>2024</v>
      </c>
      <c r="J288" s="17">
        <v>2025</v>
      </c>
      <c r="K288" s="17">
        <v>2026</v>
      </c>
      <c r="L288" s="90">
        <v>2027</v>
      </c>
    </row>
    <row r="289" spans="1:14" x14ac:dyDescent="0.25">
      <c r="A289" s="139" t="s">
        <v>168</v>
      </c>
      <c r="B289" s="61"/>
      <c r="C289" s="61"/>
      <c r="D289" s="61"/>
      <c r="E289" s="61"/>
      <c r="F289" s="61"/>
      <c r="G289" s="61"/>
      <c r="H289" s="61"/>
      <c r="I289" s="61"/>
      <c r="J289" s="61"/>
      <c r="K289" s="53"/>
      <c r="L289" s="140"/>
      <c r="M289" s="49"/>
      <c r="N289" s="49"/>
    </row>
    <row r="290" spans="1:14" x14ac:dyDescent="0.25">
      <c r="A290" s="56" t="s">
        <v>169</v>
      </c>
      <c r="B290" s="49"/>
      <c r="C290" s="49"/>
      <c r="D290" s="49"/>
      <c r="E290" s="49"/>
      <c r="F290" s="49"/>
      <c r="G290" s="49"/>
      <c r="H290" s="49"/>
      <c r="I290" s="49"/>
      <c r="J290" s="49"/>
      <c r="K290" s="49"/>
      <c r="L290" s="140"/>
      <c r="M290" s="49"/>
      <c r="N290" s="49"/>
    </row>
    <row r="291" spans="1:14" x14ac:dyDescent="0.25">
      <c r="A291" s="56" t="s">
        <v>170</v>
      </c>
      <c r="B291" s="49"/>
      <c r="C291" s="49"/>
      <c r="D291" s="49"/>
      <c r="E291" s="49"/>
      <c r="F291" s="49"/>
      <c r="G291" s="49"/>
      <c r="H291" s="49"/>
      <c r="I291" s="49"/>
      <c r="J291" s="49"/>
      <c r="K291" s="49"/>
      <c r="L291" s="140"/>
      <c r="M291" s="49"/>
      <c r="N291" s="49"/>
    </row>
    <row r="292" spans="1:14" x14ac:dyDescent="0.25">
      <c r="A292" s="56" t="s">
        <v>390</v>
      </c>
      <c r="L292" s="64"/>
    </row>
    <row r="293" spans="1:14" x14ac:dyDescent="0.25">
      <c r="A293" s="56" t="s">
        <v>511</v>
      </c>
      <c r="L293" s="64"/>
    </row>
    <row r="294" spans="1:14" x14ac:dyDescent="0.25">
      <c r="A294" s="56" t="s">
        <v>512</v>
      </c>
      <c r="L294" s="64"/>
    </row>
    <row r="295" spans="1:14" x14ac:dyDescent="0.25">
      <c r="A295" s="56" t="s">
        <v>606</v>
      </c>
      <c r="L295" s="64"/>
    </row>
    <row r="296" spans="1:14" x14ac:dyDescent="0.25">
      <c r="A296" s="56" t="s">
        <v>769</v>
      </c>
      <c r="L296" s="64"/>
    </row>
    <row r="297" spans="1:14" x14ac:dyDescent="0.25">
      <c r="A297" s="49" t="s">
        <v>981</v>
      </c>
      <c r="L297" s="64"/>
    </row>
    <row r="298" spans="1:14" s="34" customFormat="1" x14ac:dyDescent="0.25">
      <c r="A298" s="141"/>
      <c r="L298" s="48"/>
    </row>
    <row r="300" spans="1:14" x14ac:dyDescent="0.25">
      <c r="A300" s="6" t="s">
        <v>14</v>
      </c>
      <c r="B300" s="142" t="s">
        <v>645</v>
      </c>
      <c r="C300" s="9" t="s">
        <v>15</v>
      </c>
      <c r="E300" s="143"/>
    </row>
    <row r="301" spans="1:14" x14ac:dyDescent="0.25">
      <c r="A301" s="10" t="s">
        <v>16</v>
      </c>
      <c r="B301" s="10"/>
      <c r="C301" s="144">
        <v>2015</v>
      </c>
      <c r="D301" s="144">
        <v>2016</v>
      </c>
      <c r="E301" s="144">
        <v>2017</v>
      </c>
      <c r="F301" s="144">
        <v>2018</v>
      </c>
      <c r="G301" s="144">
        <v>2019</v>
      </c>
      <c r="H301" s="144">
        <v>2020</v>
      </c>
      <c r="I301" s="144">
        <v>2021</v>
      </c>
      <c r="J301" s="144">
        <v>2022</v>
      </c>
      <c r="K301" s="144">
        <v>2023</v>
      </c>
      <c r="L301" s="144">
        <v>2024</v>
      </c>
      <c r="M301" s="90">
        <v>2025</v>
      </c>
    </row>
    <row r="302" spans="1:14" x14ac:dyDescent="0.25">
      <c r="A302" s="10" t="s">
        <v>17</v>
      </c>
      <c r="B302" s="10"/>
      <c r="C302" s="145">
        <v>452.47</v>
      </c>
      <c r="D302" s="145">
        <v>452.47</v>
      </c>
      <c r="E302" s="145">
        <v>452.47</v>
      </c>
      <c r="F302" s="145">
        <v>530.59</v>
      </c>
      <c r="G302" s="145">
        <v>530.59</v>
      </c>
      <c r="H302" s="145">
        <v>530.59</v>
      </c>
      <c r="I302" s="145">
        <v>530.59</v>
      </c>
      <c r="J302" s="145">
        <v>558.65</v>
      </c>
      <c r="K302" s="145">
        <v>558.65</v>
      </c>
      <c r="L302" s="145">
        <v>558.65</v>
      </c>
      <c r="M302" s="90">
        <v>558.65</v>
      </c>
    </row>
    <row r="303" spans="1:14" x14ac:dyDescent="0.25">
      <c r="A303" s="10" t="s">
        <v>18</v>
      </c>
      <c r="B303" s="10"/>
      <c r="C303" s="145">
        <f>C302+24.4+86.5</f>
        <v>563.37</v>
      </c>
      <c r="D303" s="145">
        <f>D302+C306+51.98</f>
        <v>534.48</v>
      </c>
      <c r="E303" s="145">
        <f>E302+0.1*D302+55.98</f>
        <v>553.697</v>
      </c>
      <c r="F303" s="145">
        <f>F302+0.1*E302+73.98</f>
        <v>649.81700000000001</v>
      </c>
      <c r="G303" s="145">
        <f>G302+0.1*F302+9.62+60.44</f>
        <v>653.70900000000006</v>
      </c>
      <c r="H303" s="145">
        <f>H302+G306+79.44+4.78</f>
        <v>635.64900000000011</v>
      </c>
      <c r="I303" s="145">
        <f>I302+H306+100.44+4.78</f>
        <v>679.85600000000022</v>
      </c>
      <c r="J303" s="145">
        <f>J302+I306+60+4.78</f>
        <v>674.7560000000002</v>
      </c>
      <c r="K303" s="145">
        <f>K302+J306+5.18+60</f>
        <v>663.41600000000017</v>
      </c>
      <c r="L303" s="145">
        <f>L302+60+K306</f>
        <v>671.75200000000018</v>
      </c>
      <c r="M303" s="131">
        <f>M302+L306</f>
        <v>608.5050050000001</v>
      </c>
    </row>
    <row r="304" spans="1:14" x14ac:dyDescent="0.25">
      <c r="A304" s="10" t="s">
        <v>19</v>
      </c>
      <c r="B304" s="10"/>
      <c r="C304" s="146"/>
      <c r="D304" s="146"/>
      <c r="E304" s="146"/>
      <c r="F304" s="12"/>
      <c r="G304" s="12"/>
      <c r="H304" s="12"/>
      <c r="I304" s="12"/>
      <c r="J304" s="12"/>
      <c r="K304" s="12"/>
      <c r="L304" s="12"/>
      <c r="M304" s="90"/>
    </row>
    <row r="305" spans="1:13" x14ac:dyDescent="0.25">
      <c r="A305" s="10" t="s">
        <v>20</v>
      </c>
      <c r="B305" s="10"/>
      <c r="C305" s="145">
        <v>533.34</v>
      </c>
      <c r="D305" s="145">
        <v>473.69</v>
      </c>
      <c r="E305" s="146">
        <v>473.03</v>
      </c>
      <c r="F305" s="12">
        <v>553.98</v>
      </c>
      <c r="G305" s="12">
        <v>632.86999999999989</v>
      </c>
      <c r="H305" s="12">
        <v>591.60299999999995</v>
      </c>
      <c r="I305" s="12">
        <v>628.53</v>
      </c>
      <c r="J305" s="12">
        <v>635.16999999999996</v>
      </c>
      <c r="K305" s="12">
        <v>610.31399999999996</v>
      </c>
      <c r="L305" s="12">
        <v>621.89699500000006</v>
      </c>
      <c r="M305" s="90"/>
    </row>
    <row r="306" spans="1:13" x14ac:dyDescent="0.25">
      <c r="A306" s="10" t="s">
        <v>21</v>
      </c>
      <c r="B306" s="10"/>
      <c r="C306" s="12">
        <f>C303-C305</f>
        <v>30.029999999999973</v>
      </c>
      <c r="D306" s="12">
        <f t="shared" ref="D306:K306" si="14">D303-D305</f>
        <v>60.79000000000002</v>
      </c>
      <c r="E306" s="12">
        <f t="shared" si="14"/>
        <v>80.66700000000003</v>
      </c>
      <c r="F306" s="12">
        <f t="shared" si="14"/>
        <v>95.836999999999989</v>
      </c>
      <c r="G306" s="12">
        <f t="shared" si="14"/>
        <v>20.839000000000169</v>
      </c>
      <c r="H306" s="12">
        <f t="shared" si="14"/>
        <v>44.046000000000163</v>
      </c>
      <c r="I306" s="12">
        <f t="shared" si="14"/>
        <v>51.326000000000249</v>
      </c>
      <c r="J306" s="12">
        <f t="shared" si="14"/>
        <v>39.58600000000024</v>
      </c>
      <c r="K306" s="12">
        <f t="shared" si="14"/>
        <v>53.102000000000203</v>
      </c>
      <c r="L306" s="12">
        <f>L303-L305</f>
        <v>49.855005000000119</v>
      </c>
      <c r="M306" s="90"/>
    </row>
    <row r="307" spans="1:13" x14ac:dyDescent="0.25">
      <c r="A307" s="16" t="s">
        <v>22</v>
      </c>
      <c r="B307" s="16"/>
      <c r="C307" s="147">
        <v>2016</v>
      </c>
      <c r="D307" s="147">
        <v>2017</v>
      </c>
      <c r="E307" s="148">
        <v>2018</v>
      </c>
      <c r="F307" s="17">
        <v>2019</v>
      </c>
      <c r="G307" s="17">
        <v>2020</v>
      </c>
      <c r="H307" s="17">
        <v>2021</v>
      </c>
      <c r="I307" s="17">
        <v>2022</v>
      </c>
      <c r="J307" s="17">
        <v>2023</v>
      </c>
      <c r="K307" s="17">
        <v>2024</v>
      </c>
      <c r="L307" s="17">
        <v>2025</v>
      </c>
      <c r="M307" s="90">
        <v>2026</v>
      </c>
    </row>
    <row r="308" spans="1:13" x14ac:dyDescent="0.25">
      <c r="A308" s="16" t="s">
        <v>966</v>
      </c>
      <c r="B308" s="46"/>
      <c r="C308" s="149"/>
      <c r="D308" s="149"/>
      <c r="E308" s="61"/>
      <c r="F308" s="46"/>
      <c r="G308" s="46"/>
      <c r="H308" s="46"/>
      <c r="I308" s="46"/>
      <c r="J308" s="46"/>
      <c r="K308" s="46"/>
      <c r="L308" s="19"/>
      <c r="M308" s="64"/>
    </row>
    <row r="309" spans="1:13" x14ac:dyDescent="0.25">
      <c r="A309" s="56" t="s">
        <v>967</v>
      </c>
      <c r="B309" s="49"/>
      <c r="C309" s="49"/>
      <c r="D309" s="49"/>
      <c r="E309" s="49"/>
      <c r="F309" s="49"/>
      <c r="G309" s="49"/>
      <c r="M309" s="64"/>
    </row>
    <row r="310" spans="1:13" x14ac:dyDescent="0.25">
      <c r="A310" s="56" t="s">
        <v>968</v>
      </c>
      <c r="B310" s="49"/>
      <c r="C310" s="49"/>
      <c r="D310" s="49"/>
      <c r="E310" s="49"/>
      <c r="F310" s="49"/>
      <c r="G310" s="49"/>
      <c r="M310" s="64"/>
    </row>
    <row r="311" spans="1:13" x14ac:dyDescent="0.25">
      <c r="A311" s="56" t="s">
        <v>729</v>
      </c>
      <c r="B311" s="49"/>
      <c r="C311" s="49"/>
      <c r="D311" s="49"/>
      <c r="E311" s="49"/>
      <c r="F311" s="49"/>
      <c r="G311" s="49"/>
      <c r="M311" s="64"/>
    </row>
    <row r="312" spans="1:13" x14ac:dyDescent="0.25">
      <c r="A312" s="39" t="s">
        <v>730</v>
      </c>
      <c r="M312" s="64"/>
    </row>
    <row r="313" spans="1:13" x14ac:dyDescent="0.25">
      <c r="A313" s="39" t="s">
        <v>731</v>
      </c>
      <c r="M313" s="64"/>
    </row>
    <row r="314" spans="1:13" x14ac:dyDescent="0.25">
      <c r="A314" s="39" t="s">
        <v>732</v>
      </c>
      <c r="M314" s="64"/>
    </row>
    <row r="315" spans="1:13" x14ac:dyDescent="0.25">
      <c r="A315" s="39" t="s">
        <v>770</v>
      </c>
      <c r="M315" s="64"/>
    </row>
    <row r="316" spans="1:13" x14ac:dyDescent="0.25">
      <c r="A316" s="39" t="s">
        <v>887</v>
      </c>
      <c r="M316" s="64"/>
    </row>
    <row r="317" spans="1:13" x14ac:dyDescent="0.25">
      <c r="A317" s="39" t="s">
        <v>980</v>
      </c>
      <c r="M317" s="64"/>
    </row>
    <row r="318" spans="1:13" x14ac:dyDescent="0.25">
      <c r="A318" s="150" t="s">
        <v>1157</v>
      </c>
      <c r="M318" s="64"/>
    </row>
    <row r="319" spans="1:13" x14ac:dyDescent="0.25">
      <c r="A319" s="41" t="s">
        <v>607</v>
      </c>
      <c r="B319" s="34"/>
      <c r="C319" s="34"/>
      <c r="D319" s="34"/>
      <c r="E319" s="34"/>
      <c r="F319" s="34"/>
      <c r="G319" s="34"/>
      <c r="H319" s="34"/>
      <c r="I319" s="34"/>
      <c r="J319" s="34"/>
      <c r="K319" s="34"/>
      <c r="L319" s="34"/>
      <c r="M319" s="48"/>
    </row>
    <row r="322" spans="1:17" x14ac:dyDescent="0.25">
      <c r="A322" s="6" t="s">
        <v>12</v>
      </c>
      <c r="B322" s="7" t="s">
        <v>153</v>
      </c>
    </row>
    <row r="323" spans="1:17" x14ac:dyDescent="0.25">
      <c r="A323" s="151" t="s">
        <v>14</v>
      </c>
      <c r="B323" s="7" t="s">
        <v>624</v>
      </c>
      <c r="C323" s="9" t="s">
        <v>15</v>
      </c>
    </row>
    <row r="324" spans="1:17" x14ac:dyDescent="0.25">
      <c r="A324" s="152" t="s">
        <v>16</v>
      </c>
      <c r="B324" s="153">
        <v>2010</v>
      </c>
      <c r="C324" s="153">
        <v>2011</v>
      </c>
      <c r="D324" s="153">
        <v>2012</v>
      </c>
      <c r="E324" s="153">
        <v>2013</v>
      </c>
      <c r="F324" s="153">
        <v>2014</v>
      </c>
      <c r="G324" s="153">
        <v>2015</v>
      </c>
      <c r="H324" s="153">
        <v>2016</v>
      </c>
      <c r="I324" s="153">
        <v>2017</v>
      </c>
      <c r="J324" s="153">
        <v>2018</v>
      </c>
      <c r="K324" s="153">
        <v>2019</v>
      </c>
      <c r="L324" s="154">
        <v>2020</v>
      </c>
      <c r="M324" s="154">
        <v>2021</v>
      </c>
      <c r="N324" s="154">
        <v>2022</v>
      </c>
      <c r="O324" s="154">
        <v>2023</v>
      </c>
      <c r="P324" s="154">
        <v>2024</v>
      </c>
      <c r="Q324" s="154">
        <v>2025</v>
      </c>
    </row>
    <row r="325" spans="1:17" x14ac:dyDescent="0.25">
      <c r="A325" s="152" t="s">
        <v>17</v>
      </c>
      <c r="B325" s="155">
        <v>200</v>
      </c>
      <c r="C325" s="155">
        <v>200</v>
      </c>
      <c r="D325" s="155">
        <v>200</v>
      </c>
      <c r="E325" s="155">
        <v>200</v>
      </c>
      <c r="F325" s="155">
        <v>200</v>
      </c>
      <c r="G325" s="155">
        <v>200</v>
      </c>
      <c r="H325" s="156">
        <v>200</v>
      </c>
      <c r="I325" s="155">
        <v>200</v>
      </c>
      <c r="J325" s="155">
        <v>200</v>
      </c>
      <c r="K325" s="155">
        <v>215</v>
      </c>
      <c r="L325" s="12">
        <v>215</v>
      </c>
      <c r="M325" s="12">
        <v>242</v>
      </c>
      <c r="N325" s="12">
        <v>242</v>
      </c>
      <c r="O325" s="12">
        <v>242</v>
      </c>
      <c r="P325" s="12">
        <v>302</v>
      </c>
      <c r="Q325" s="12">
        <v>302</v>
      </c>
    </row>
    <row r="326" spans="1:17" x14ac:dyDescent="0.25">
      <c r="A326" s="152" t="s">
        <v>18</v>
      </c>
      <c r="B326" s="155">
        <v>250</v>
      </c>
      <c r="C326" s="155">
        <v>250</v>
      </c>
      <c r="D326" s="155">
        <v>250</v>
      </c>
      <c r="E326" s="155">
        <v>250</v>
      </c>
      <c r="F326" s="155">
        <v>200</v>
      </c>
      <c r="G326" s="155">
        <v>250</v>
      </c>
      <c r="H326" s="156">
        <v>250</v>
      </c>
      <c r="I326" s="155">
        <v>250</v>
      </c>
      <c r="J326" s="155">
        <v>250</v>
      </c>
      <c r="K326" s="155">
        <v>265</v>
      </c>
      <c r="L326" s="155">
        <v>265</v>
      </c>
      <c r="M326" s="155">
        <f>M325+0.25*K325</f>
        <v>295.75</v>
      </c>
      <c r="N326" s="155">
        <f>N325+0.25*L325</f>
        <v>295.75</v>
      </c>
      <c r="O326" s="155">
        <f>O325+M329</f>
        <v>246.43</v>
      </c>
      <c r="P326" s="155">
        <f>P325+N329</f>
        <v>357.88</v>
      </c>
      <c r="Q326" s="155">
        <f>Q325+O329</f>
        <v>357.93</v>
      </c>
    </row>
    <row r="327" spans="1:17" x14ac:dyDescent="0.25">
      <c r="A327" s="152" t="s">
        <v>19</v>
      </c>
      <c r="B327" s="155"/>
      <c r="C327" s="155"/>
      <c r="D327" s="155"/>
      <c r="E327" s="155"/>
      <c r="F327" s="155"/>
      <c r="G327" s="155"/>
      <c r="H327" s="156"/>
      <c r="I327" s="156"/>
      <c r="J327" s="156"/>
      <c r="K327" s="156"/>
      <c r="L327" s="156"/>
      <c r="M327" s="12"/>
      <c r="N327" s="12"/>
      <c r="O327" s="12"/>
      <c r="P327" s="12"/>
      <c r="Q327" s="12"/>
    </row>
    <row r="328" spans="1:17" x14ac:dyDescent="0.25">
      <c r="A328" s="152" t="s">
        <v>20</v>
      </c>
      <c r="B328" s="155">
        <v>150</v>
      </c>
      <c r="C328" s="155">
        <v>101</v>
      </c>
      <c r="D328" s="155">
        <v>21</v>
      </c>
      <c r="E328" s="155">
        <v>81.085999999999999</v>
      </c>
      <c r="F328" s="155">
        <v>34.866999999999997</v>
      </c>
      <c r="G328" s="155">
        <v>20.963999999999999</v>
      </c>
      <c r="H328" s="156">
        <v>103.196</v>
      </c>
      <c r="I328" s="156">
        <v>123.654</v>
      </c>
      <c r="J328" s="156">
        <v>123.839</v>
      </c>
      <c r="K328" s="156">
        <v>129.16</v>
      </c>
      <c r="L328" s="156">
        <v>207.66</v>
      </c>
      <c r="M328" s="12">
        <v>291.32</v>
      </c>
      <c r="N328" s="12">
        <v>239.87</v>
      </c>
      <c r="O328" s="12">
        <v>190.5</v>
      </c>
      <c r="P328" s="131">
        <v>279.01</v>
      </c>
      <c r="Q328" s="12"/>
    </row>
    <row r="329" spans="1:17" x14ac:dyDescent="0.25">
      <c r="A329" s="152" t="s">
        <v>21</v>
      </c>
      <c r="B329" s="155">
        <v>100</v>
      </c>
      <c r="C329" s="155">
        <v>149</v>
      </c>
      <c r="D329" s="155">
        <v>229</v>
      </c>
      <c r="E329" s="155">
        <v>168.91399999999999</v>
      </c>
      <c r="F329" s="155">
        <v>165.13300000000001</v>
      </c>
      <c r="G329" s="155">
        <v>229.036</v>
      </c>
      <c r="H329" s="156">
        <v>146.804</v>
      </c>
      <c r="I329" s="156">
        <v>126.364</v>
      </c>
      <c r="J329" s="156">
        <v>126.161</v>
      </c>
      <c r="K329" s="156">
        <v>135.84</v>
      </c>
      <c r="L329" s="156">
        <f>L326-L328</f>
        <v>57.34</v>
      </c>
      <c r="M329" s="156">
        <f>M326-M328</f>
        <v>4.4300000000000068</v>
      </c>
      <c r="N329" s="156">
        <f>N326-N328</f>
        <v>55.879999999999995</v>
      </c>
      <c r="O329" s="156">
        <f>O326-O328</f>
        <v>55.930000000000007</v>
      </c>
      <c r="P329" s="156">
        <f>P326-P328</f>
        <v>78.87</v>
      </c>
      <c r="Q329" s="12">
        <v>357.93</v>
      </c>
    </row>
    <row r="330" spans="1:17" x14ac:dyDescent="0.25">
      <c r="A330" s="157" t="s">
        <v>22</v>
      </c>
      <c r="B330" s="158">
        <v>2012</v>
      </c>
      <c r="C330" s="158">
        <v>2013</v>
      </c>
      <c r="D330" s="158">
        <v>2014</v>
      </c>
      <c r="E330" s="158">
        <v>2015</v>
      </c>
      <c r="F330" s="158">
        <v>2016</v>
      </c>
      <c r="G330" s="158">
        <v>2017</v>
      </c>
      <c r="H330" s="159">
        <v>2018</v>
      </c>
      <c r="I330" s="159">
        <v>2019</v>
      </c>
      <c r="J330" s="159">
        <v>2020</v>
      </c>
      <c r="K330" s="159">
        <v>2021</v>
      </c>
      <c r="L330" s="159">
        <v>2022</v>
      </c>
      <c r="M330" s="159">
        <v>2023</v>
      </c>
      <c r="N330" s="159">
        <v>2024</v>
      </c>
      <c r="O330" s="159">
        <v>2025</v>
      </c>
      <c r="P330" s="159">
        <v>2026</v>
      </c>
      <c r="Q330" s="159">
        <v>2027</v>
      </c>
    </row>
    <row r="331" spans="1:17" x14ac:dyDescent="0.25">
      <c r="A331" s="696" t="s">
        <v>154</v>
      </c>
      <c r="B331" s="697"/>
      <c r="C331" s="697"/>
      <c r="D331" s="697"/>
      <c r="E331" s="697"/>
      <c r="F331" s="697"/>
      <c r="G331" s="697"/>
      <c r="H331" s="697"/>
      <c r="I331" s="697"/>
      <c r="J331" s="697"/>
      <c r="K331" s="697"/>
      <c r="L331" s="697"/>
      <c r="M331" s="697"/>
      <c r="N331" s="697"/>
      <c r="O331" s="697"/>
      <c r="P331" s="88"/>
      <c r="Q331" s="88"/>
    </row>
    <row r="332" spans="1:17" x14ac:dyDescent="0.25">
      <c r="A332" s="160" t="s">
        <v>328</v>
      </c>
      <c r="B332" s="19"/>
      <c r="C332" s="19"/>
      <c r="D332" s="19"/>
      <c r="E332" s="19"/>
      <c r="F332" s="19"/>
      <c r="G332" s="19"/>
      <c r="H332" s="19"/>
      <c r="I332" s="19"/>
      <c r="J332" s="19"/>
      <c r="K332" s="19"/>
      <c r="L332" s="19"/>
      <c r="M332" s="19"/>
      <c r="N332" s="19"/>
      <c r="O332" s="19"/>
      <c r="P332" s="19"/>
      <c r="Q332" s="63"/>
    </row>
    <row r="333" spans="1:17" x14ac:dyDescent="0.25">
      <c r="A333" s="161" t="s">
        <v>372</v>
      </c>
      <c r="Q333" s="64"/>
    </row>
    <row r="334" spans="1:17" x14ac:dyDescent="0.25">
      <c r="A334" s="161" t="s">
        <v>373</v>
      </c>
      <c r="Q334" s="64"/>
    </row>
    <row r="335" spans="1:17" x14ac:dyDescent="0.25">
      <c r="A335" s="161" t="s">
        <v>431</v>
      </c>
      <c r="Q335" s="64"/>
    </row>
    <row r="336" spans="1:17" x14ac:dyDescent="0.25">
      <c r="A336" s="161" t="s">
        <v>608</v>
      </c>
      <c r="Q336" s="64"/>
    </row>
    <row r="337" spans="1:18" x14ac:dyDescent="0.25">
      <c r="A337" s="161" t="s">
        <v>771</v>
      </c>
      <c r="Q337" s="64"/>
    </row>
    <row r="338" spans="1:18" x14ac:dyDescent="0.25">
      <c r="A338" s="161" t="s">
        <v>997</v>
      </c>
      <c r="Q338" s="64"/>
    </row>
    <row r="339" spans="1:18" s="34" customFormat="1" x14ac:dyDescent="0.25">
      <c r="A339" s="162" t="s">
        <v>1123</v>
      </c>
      <c r="Q339" s="48"/>
    </row>
    <row r="341" spans="1:18" x14ac:dyDescent="0.25">
      <c r="A341" s="9" t="s">
        <v>14</v>
      </c>
      <c r="B341" s="9" t="s">
        <v>638</v>
      </c>
      <c r="C341" s="9" t="s">
        <v>15</v>
      </c>
    </row>
    <row r="342" spans="1:18" x14ac:dyDescent="0.25">
      <c r="A342" s="152" t="s">
        <v>16</v>
      </c>
      <c r="B342" s="153">
        <v>2010</v>
      </c>
      <c r="C342" s="153">
        <v>2011</v>
      </c>
      <c r="D342" s="153">
        <v>2012</v>
      </c>
      <c r="E342" s="153">
        <v>2013</v>
      </c>
      <c r="F342" s="153">
        <v>2014</v>
      </c>
      <c r="G342" s="153">
        <v>2015</v>
      </c>
      <c r="H342" s="153">
        <v>2016</v>
      </c>
      <c r="I342" s="153">
        <v>2017</v>
      </c>
      <c r="J342" s="153">
        <v>2018</v>
      </c>
      <c r="K342" s="153">
        <v>2019</v>
      </c>
      <c r="L342" s="153">
        <v>2020</v>
      </c>
      <c r="M342" s="154">
        <v>2021</v>
      </c>
      <c r="N342" s="154">
        <v>2022</v>
      </c>
      <c r="O342" s="154">
        <v>2023</v>
      </c>
      <c r="P342" s="154">
        <v>2024</v>
      </c>
      <c r="Q342" s="154">
        <v>2025</v>
      </c>
      <c r="R342" s="154">
        <v>2026</v>
      </c>
    </row>
    <row r="343" spans="1:18" x14ac:dyDescent="0.25">
      <c r="A343" s="152" t="s">
        <v>17</v>
      </c>
      <c r="B343" s="155">
        <v>100</v>
      </c>
      <c r="C343" s="155">
        <v>100</v>
      </c>
      <c r="D343" s="155">
        <v>100</v>
      </c>
      <c r="E343" s="155">
        <v>100</v>
      </c>
      <c r="F343" s="155">
        <v>100</v>
      </c>
      <c r="G343" s="155">
        <v>100</v>
      </c>
      <c r="H343" s="156">
        <v>100</v>
      </c>
      <c r="I343" s="155">
        <v>200</v>
      </c>
      <c r="J343" s="156">
        <v>200</v>
      </c>
      <c r="K343" s="155">
        <v>200</v>
      </c>
      <c r="L343" s="155">
        <v>200</v>
      </c>
      <c r="M343" s="156">
        <v>200</v>
      </c>
      <c r="N343" s="156">
        <v>200</v>
      </c>
      <c r="O343" s="156">
        <v>240</v>
      </c>
      <c r="P343" s="156">
        <v>240</v>
      </c>
      <c r="Q343" s="156">
        <v>240</v>
      </c>
      <c r="R343" s="156">
        <v>240</v>
      </c>
    </row>
    <row r="344" spans="1:18" x14ac:dyDescent="0.25">
      <c r="A344" s="152" t="s">
        <v>18</v>
      </c>
      <c r="B344" s="155">
        <v>100</v>
      </c>
      <c r="C344" s="155">
        <v>100</v>
      </c>
      <c r="D344" s="155">
        <v>100</v>
      </c>
      <c r="E344" s="155">
        <v>100</v>
      </c>
      <c r="F344" s="155">
        <v>100</v>
      </c>
      <c r="G344" s="155">
        <v>125</v>
      </c>
      <c r="H344" s="156">
        <v>125</v>
      </c>
      <c r="I344" s="155">
        <f>200+G347</f>
        <v>204.595</v>
      </c>
      <c r="J344" s="155">
        <v>250</v>
      </c>
      <c r="K344" s="155">
        <f>K343+I347</f>
        <v>220.04499999999999</v>
      </c>
      <c r="L344" s="155">
        <v>250</v>
      </c>
      <c r="M344" s="156">
        <f>M343*1.25</f>
        <v>250</v>
      </c>
      <c r="N344" s="156">
        <f>N343*1.25</f>
        <v>250</v>
      </c>
      <c r="O344" s="156">
        <f>O343+0.25*M343</f>
        <v>290</v>
      </c>
      <c r="P344" s="156">
        <f>P343+2.98</f>
        <v>242.98</v>
      </c>
      <c r="Q344" s="156">
        <f>Q343+O343*0.25</f>
        <v>300</v>
      </c>
      <c r="R344" s="156">
        <f>R343+P343*0.25</f>
        <v>300</v>
      </c>
    </row>
    <row r="345" spans="1:18" x14ac:dyDescent="0.25">
      <c r="A345" s="152" t="s">
        <v>19</v>
      </c>
      <c r="B345" s="163"/>
      <c r="C345" s="163"/>
      <c r="D345" s="163"/>
      <c r="E345" s="163"/>
      <c r="F345" s="163"/>
      <c r="G345" s="163"/>
      <c r="H345" s="12"/>
      <c r="I345" s="12"/>
      <c r="J345" s="12"/>
      <c r="K345" s="12"/>
      <c r="L345" s="12"/>
      <c r="M345" s="12"/>
      <c r="N345" s="12"/>
      <c r="O345" s="12"/>
      <c r="P345" s="12"/>
      <c r="Q345" s="12"/>
      <c r="R345" s="12"/>
    </row>
    <row r="346" spans="1:18" x14ac:dyDescent="0.25">
      <c r="A346" s="152" t="s">
        <v>20</v>
      </c>
      <c r="B346" s="155">
        <v>100</v>
      </c>
      <c r="C346" s="155">
        <v>80.05</v>
      </c>
      <c r="D346" s="155">
        <v>61.02</v>
      </c>
      <c r="E346" s="155">
        <v>65.126999999999995</v>
      </c>
      <c r="F346" s="155">
        <v>33.822000000000003</v>
      </c>
      <c r="G346" s="155">
        <v>120.405</v>
      </c>
      <c r="H346" s="156">
        <v>94.369</v>
      </c>
      <c r="I346" s="156">
        <v>184.55</v>
      </c>
      <c r="J346" s="156">
        <v>116.455</v>
      </c>
      <c r="K346" s="156">
        <v>132.07</v>
      </c>
      <c r="L346" s="156">
        <v>183.94</v>
      </c>
      <c r="M346" s="156">
        <v>9.66</v>
      </c>
      <c r="N346" s="156">
        <v>31.19</v>
      </c>
      <c r="O346" s="156">
        <v>91.44</v>
      </c>
      <c r="P346" s="156">
        <v>116.16</v>
      </c>
      <c r="Q346" s="156"/>
      <c r="R346" s="156"/>
    </row>
    <row r="347" spans="1:18" x14ac:dyDescent="0.25">
      <c r="A347" s="152" t="s">
        <v>21</v>
      </c>
      <c r="B347" s="155">
        <f>B344-B346</f>
        <v>0</v>
      </c>
      <c r="C347" s="155">
        <f t="shared" ref="C347:P347" si="15">C344-C346</f>
        <v>19.950000000000003</v>
      </c>
      <c r="D347" s="155">
        <f t="shared" si="15"/>
        <v>38.979999999999997</v>
      </c>
      <c r="E347" s="155">
        <f t="shared" si="15"/>
        <v>34.873000000000005</v>
      </c>
      <c r="F347" s="155">
        <f t="shared" si="15"/>
        <v>66.177999999999997</v>
      </c>
      <c r="G347" s="155">
        <f t="shared" si="15"/>
        <v>4.5949999999999989</v>
      </c>
      <c r="H347" s="155">
        <f t="shared" si="15"/>
        <v>30.631</v>
      </c>
      <c r="I347" s="155">
        <f t="shared" si="15"/>
        <v>20.044999999999987</v>
      </c>
      <c r="J347" s="155">
        <f t="shared" si="15"/>
        <v>133.54500000000002</v>
      </c>
      <c r="K347" s="155">
        <f t="shared" si="15"/>
        <v>87.974999999999994</v>
      </c>
      <c r="L347" s="155">
        <f t="shared" si="15"/>
        <v>66.06</v>
      </c>
      <c r="M347" s="155">
        <f t="shared" si="15"/>
        <v>240.34</v>
      </c>
      <c r="N347" s="155">
        <f t="shared" si="15"/>
        <v>218.81</v>
      </c>
      <c r="O347" s="155">
        <f t="shared" si="15"/>
        <v>198.56</v>
      </c>
      <c r="P347" s="155">
        <f t="shared" si="15"/>
        <v>126.82</v>
      </c>
      <c r="Q347" s="156"/>
      <c r="R347" s="156"/>
    </row>
    <row r="348" spans="1:18" x14ac:dyDescent="0.25">
      <c r="A348" s="157" t="s">
        <v>22</v>
      </c>
      <c r="B348" s="158">
        <v>2012</v>
      </c>
      <c r="C348" s="158">
        <v>2013</v>
      </c>
      <c r="D348" s="158">
        <v>2014</v>
      </c>
      <c r="E348" s="158">
        <v>2015</v>
      </c>
      <c r="F348" s="158">
        <v>2016</v>
      </c>
      <c r="G348" s="158">
        <v>2017</v>
      </c>
      <c r="H348" s="159">
        <v>2018</v>
      </c>
      <c r="I348" s="159">
        <v>2019</v>
      </c>
      <c r="J348" s="159">
        <v>2020</v>
      </c>
      <c r="K348" s="159">
        <v>2021</v>
      </c>
      <c r="L348" s="159">
        <v>2022</v>
      </c>
      <c r="M348" s="159">
        <v>2023</v>
      </c>
      <c r="N348" s="159">
        <v>2024</v>
      </c>
      <c r="O348" s="159">
        <v>2025</v>
      </c>
      <c r="P348" s="159">
        <v>2026</v>
      </c>
      <c r="Q348" s="159">
        <v>2027</v>
      </c>
      <c r="R348" s="159">
        <v>2028</v>
      </c>
    </row>
    <row r="349" spans="1:18" x14ac:dyDescent="0.25">
      <c r="A349" s="29" t="s">
        <v>154</v>
      </c>
      <c r="B349" s="30"/>
      <c r="C349" s="30"/>
      <c r="D349" s="30"/>
      <c r="E349" s="30"/>
      <c r="F349" s="30"/>
      <c r="G349" s="30"/>
      <c r="H349" s="30"/>
      <c r="I349" s="30"/>
      <c r="J349" s="30"/>
      <c r="K349" s="30"/>
      <c r="L349" s="30"/>
      <c r="M349" s="30"/>
      <c r="N349" s="30"/>
      <c r="O349" s="30"/>
      <c r="P349" s="88"/>
      <c r="Q349" s="88"/>
      <c r="R349" s="88"/>
    </row>
    <row r="350" spans="1:18" x14ac:dyDescent="0.25">
      <c r="A350" s="160" t="s">
        <v>155</v>
      </c>
      <c r="B350" s="19"/>
      <c r="C350" s="19"/>
      <c r="D350" s="19"/>
      <c r="E350" s="19"/>
      <c r="F350" s="19"/>
      <c r="G350" s="19"/>
      <c r="H350" s="19"/>
      <c r="I350" s="19"/>
      <c r="J350" s="19"/>
      <c r="K350" s="19"/>
      <c r="L350" s="19"/>
      <c r="M350" s="19"/>
      <c r="N350" s="19"/>
      <c r="O350" s="19"/>
      <c r="P350" s="19"/>
      <c r="Q350" s="19"/>
      <c r="R350" s="63"/>
    </row>
    <row r="351" spans="1:18" x14ac:dyDescent="0.25">
      <c r="A351" s="161" t="s">
        <v>336</v>
      </c>
      <c r="R351" s="64"/>
    </row>
    <row r="352" spans="1:18" x14ac:dyDescent="0.25">
      <c r="A352" s="161" t="s">
        <v>156</v>
      </c>
      <c r="R352" s="64"/>
    </row>
    <row r="353" spans="1:18" x14ac:dyDescent="0.25">
      <c r="A353" s="161" t="s">
        <v>337</v>
      </c>
      <c r="R353" s="64"/>
    </row>
    <row r="354" spans="1:18" x14ac:dyDescent="0.25">
      <c r="A354" s="161" t="s">
        <v>432</v>
      </c>
      <c r="R354" s="64"/>
    </row>
    <row r="355" spans="1:18" x14ac:dyDescent="0.25">
      <c r="A355" s="161" t="s">
        <v>578</v>
      </c>
      <c r="R355" s="64"/>
    </row>
    <row r="356" spans="1:18" x14ac:dyDescent="0.25">
      <c r="A356" s="161" t="s">
        <v>772</v>
      </c>
      <c r="R356" s="64"/>
    </row>
    <row r="357" spans="1:18" x14ac:dyDescent="0.25">
      <c r="A357" s="161" t="s">
        <v>925</v>
      </c>
      <c r="R357" s="64"/>
    </row>
    <row r="358" spans="1:18" x14ac:dyDescent="0.25">
      <c r="A358" s="162" t="s">
        <v>1117</v>
      </c>
      <c r="B358" s="34"/>
      <c r="C358" s="34"/>
      <c r="D358" s="34"/>
      <c r="E358" s="34"/>
      <c r="F358" s="34"/>
      <c r="G358" s="34"/>
      <c r="H358" s="34"/>
      <c r="I358" s="34"/>
      <c r="J358" s="34"/>
      <c r="K358" s="34"/>
      <c r="L358" s="34"/>
      <c r="M358" s="34"/>
      <c r="N358" s="34"/>
      <c r="O358" s="34"/>
      <c r="P358" s="34"/>
      <c r="Q358" s="34"/>
      <c r="R358" s="48"/>
    </row>
    <row r="360" spans="1:18" x14ac:dyDescent="0.25">
      <c r="A360" s="6" t="s">
        <v>14</v>
      </c>
      <c r="B360" s="7" t="s">
        <v>623</v>
      </c>
      <c r="C360" s="7" t="s">
        <v>15</v>
      </c>
    </row>
    <row r="361" spans="1:18" x14ac:dyDescent="0.25">
      <c r="A361" s="164" t="s">
        <v>16</v>
      </c>
      <c r="B361" s="165">
        <v>2010</v>
      </c>
      <c r="C361" s="153">
        <v>2011</v>
      </c>
      <c r="D361" s="153">
        <v>2012</v>
      </c>
      <c r="E361" s="153">
        <v>2013</v>
      </c>
      <c r="F361" s="153">
        <v>2014</v>
      </c>
      <c r="G361" s="153">
        <v>2015</v>
      </c>
      <c r="H361" s="153">
        <v>2016</v>
      </c>
      <c r="I361" s="153">
        <v>2017</v>
      </c>
      <c r="J361" s="153">
        <v>2018</v>
      </c>
      <c r="K361" s="153">
        <v>2019</v>
      </c>
      <c r="L361" s="153">
        <v>2020</v>
      </c>
      <c r="M361" s="154">
        <v>2021</v>
      </c>
      <c r="N361" s="154">
        <v>2022</v>
      </c>
      <c r="O361" s="154">
        <v>2023</v>
      </c>
      <c r="P361" s="154">
        <v>2024</v>
      </c>
      <c r="Q361" s="90">
        <v>2025</v>
      </c>
    </row>
    <row r="362" spans="1:18" x14ac:dyDescent="0.25">
      <c r="A362" s="152" t="s">
        <v>17</v>
      </c>
      <c r="B362" s="155">
        <v>75</v>
      </c>
      <c r="C362" s="155">
        <v>75</v>
      </c>
      <c r="D362" s="155">
        <v>75</v>
      </c>
      <c r="E362" s="155">
        <v>75</v>
      </c>
      <c r="F362" s="155">
        <v>75</v>
      </c>
      <c r="G362" s="155">
        <v>75</v>
      </c>
      <c r="H362" s="155">
        <v>75</v>
      </c>
      <c r="I362" s="155">
        <v>75</v>
      </c>
      <c r="J362" s="156">
        <v>100</v>
      </c>
      <c r="K362" s="155">
        <v>100</v>
      </c>
      <c r="L362" s="155">
        <v>100</v>
      </c>
      <c r="M362" s="156">
        <v>100</v>
      </c>
      <c r="N362" s="156">
        <v>100</v>
      </c>
      <c r="O362" s="156">
        <v>100</v>
      </c>
      <c r="P362" s="156">
        <v>100</v>
      </c>
      <c r="Q362" s="90">
        <v>111</v>
      </c>
    </row>
    <row r="363" spans="1:18" x14ac:dyDescent="0.25">
      <c r="A363" s="152" t="s">
        <v>18</v>
      </c>
      <c r="B363" s="155">
        <v>79</v>
      </c>
      <c r="C363" s="155">
        <v>80</v>
      </c>
      <c r="D363" s="155">
        <v>105.3</v>
      </c>
      <c r="E363" s="155">
        <v>100</v>
      </c>
      <c r="F363" s="155">
        <v>100</v>
      </c>
      <c r="G363" s="156">
        <v>104.054</v>
      </c>
      <c r="H363" s="155">
        <v>137.5</v>
      </c>
      <c r="I363" s="155">
        <v>88</v>
      </c>
      <c r="J363" s="156">
        <v>90.442999999999998</v>
      </c>
      <c r="K363" s="155">
        <f>K362-12.726+6.69</f>
        <v>93.963999999999999</v>
      </c>
      <c r="L363" s="155">
        <v>103.95</v>
      </c>
      <c r="M363" s="156">
        <f>M362+K366</f>
        <v>102.404</v>
      </c>
      <c r="N363" s="156">
        <f>N362+L366</f>
        <v>107.78</v>
      </c>
      <c r="O363" s="156">
        <f>O362+0.15*M362</f>
        <v>115</v>
      </c>
      <c r="P363" s="156">
        <f>P362+0.15*N362</f>
        <v>115</v>
      </c>
      <c r="Q363" s="90">
        <v>121</v>
      </c>
    </row>
    <row r="364" spans="1:18" x14ac:dyDescent="0.25">
      <c r="A364" s="152" t="s">
        <v>19</v>
      </c>
      <c r="B364" s="155"/>
      <c r="C364" s="155"/>
      <c r="D364" s="155"/>
      <c r="E364" s="155"/>
      <c r="F364" s="155"/>
      <c r="G364" s="156"/>
      <c r="H364" s="156"/>
      <c r="I364" s="156"/>
      <c r="J364" s="166"/>
      <c r="K364" s="156"/>
      <c r="L364" s="156"/>
      <c r="M364" s="156"/>
      <c r="N364" s="156"/>
      <c r="O364" s="156"/>
      <c r="P364" s="156"/>
      <c r="Q364" s="90"/>
    </row>
    <row r="365" spans="1:18" x14ac:dyDescent="0.25">
      <c r="A365" s="152" t="s">
        <v>20</v>
      </c>
      <c r="B365" s="155">
        <v>74</v>
      </c>
      <c r="C365" s="155">
        <v>74.7</v>
      </c>
      <c r="D365" s="155">
        <v>59</v>
      </c>
      <c r="E365" s="155">
        <v>95.945999999999998</v>
      </c>
      <c r="F365" s="155">
        <v>60.292999999999999</v>
      </c>
      <c r="G365" s="156">
        <v>140.78</v>
      </c>
      <c r="H365" s="156">
        <v>135.05699999999999</v>
      </c>
      <c r="I365" s="156">
        <v>81.31</v>
      </c>
      <c r="J365" s="156">
        <v>86.498000000000005</v>
      </c>
      <c r="K365" s="156">
        <v>91.56</v>
      </c>
      <c r="L365" s="156">
        <v>96.17</v>
      </c>
      <c r="M365" s="156">
        <v>58.583999999999996</v>
      </c>
      <c r="N365" s="156">
        <v>37.61</v>
      </c>
      <c r="O365" s="156">
        <v>105</v>
      </c>
      <c r="P365" s="156">
        <v>103.21</v>
      </c>
      <c r="Q365" s="90"/>
    </row>
    <row r="366" spans="1:18" x14ac:dyDescent="0.25">
      <c r="A366" s="152" t="s">
        <v>21</v>
      </c>
      <c r="B366" s="155">
        <v>5</v>
      </c>
      <c r="C366" s="155">
        <v>5.3</v>
      </c>
      <c r="D366" s="155">
        <v>46.3</v>
      </c>
      <c r="E366" s="155">
        <v>4.0540000000000003</v>
      </c>
      <c r="F366" s="155">
        <v>39.707000000000001</v>
      </c>
      <c r="G366" s="156">
        <v>-36.725999999999999</v>
      </c>
      <c r="H366" s="156">
        <v>2.4430000000000001</v>
      </c>
      <c r="I366" s="156">
        <v>6.6899999999999977</v>
      </c>
      <c r="J366" s="156">
        <v>3.9449999999999998</v>
      </c>
      <c r="K366" s="156">
        <f t="shared" ref="K366:P366" si="16">K363-K365</f>
        <v>2.4039999999999964</v>
      </c>
      <c r="L366" s="156">
        <f t="shared" si="16"/>
        <v>7.7800000000000011</v>
      </c>
      <c r="M366" s="156">
        <f t="shared" si="16"/>
        <v>43.82</v>
      </c>
      <c r="N366" s="156">
        <f t="shared" si="16"/>
        <v>70.17</v>
      </c>
      <c r="O366" s="156">
        <f t="shared" si="16"/>
        <v>10</v>
      </c>
      <c r="P366" s="156">
        <f t="shared" si="16"/>
        <v>11.790000000000006</v>
      </c>
      <c r="Q366" s="90"/>
    </row>
    <row r="367" spans="1:18" x14ac:dyDescent="0.25">
      <c r="A367" s="157" t="s">
        <v>22</v>
      </c>
      <c r="B367" s="158">
        <v>2011</v>
      </c>
      <c r="C367" s="158">
        <v>2012</v>
      </c>
      <c r="D367" s="158">
        <v>2014</v>
      </c>
      <c r="E367" s="158">
        <v>2015</v>
      </c>
      <c r="F367" s="158">
        <v>2016</v>
      </c>
      <c r="G367" s="159">
        <v>2017</v>
      </c>
      <c r="H367" s="159">
        <v>2018</v>
      </c>
      <c r="I367" s="159">
        <v>2019</v>
      </c>
      <c r="J367" s="159">
        <v>2020</v>
      </c>
      <c r="K367" s="159">
        <v>2021</v>
      </c>
      <c r="L367" s="159">
        <v>2022</v>
      </c>
      <c r="M367" s="17">
        <v>2023</v>
      </c>
      <c r="N367" s="17">
        <v>2024</v>
      </c>
      <c r="O367" s="17">
        <v>2025</v>
      </c>
      <c r="P367" s="17">
        <v>2026</v>
      </c>
      <c r="Q367" s="90">
        <v>2027</v>
      </c>
    </row>
    <row r="368" spans="1:18" x14ac:dyDescent="0.25">
      <c r="A368" s="16" t="s">
        <v>154</v>
      </c>
      <c r="B368" s="46"/>
      <c r="C368" s="46"/>
      <c r="D368" s="46"/>
      <c r="E368" s="46"/>
      <c r="F368" s="46"/>
      <c r="G368" s="46"/>
      <c r="H368" s="46"/>
      <c r="I368" s="46"/>
      <c r="J368" s="46"/>
      <c r="K368" s="46"/>
      <c r="L368" s="46"/>
      <c r="M368" s="46"/>
      <c r="N368" s="46"/>
      <c r="O368" s="47"/>
      <c r="P368" s="47"/>
      <c r="Q368" s="90"/>
    </row>
    <row r="369" spans="1:17" x14ac:dyDescent="0.25">
      <c r="A369" s="704" t="s">
        <v>433</v>
      </c>
      <c r="B369" s="705"/>
      <c r="C369" s="705"/>
      <c r="D369" s="705"/>
      <c r="E369" s="705"/>
      <c r="F369" s="705"/>
      <c r="G369" s="705"/>
      <c r="H369" s="705"/>
      <c r="I369" s="705"/>
      <c r="J369" s="705"/>
      <c r="K369" s="705"/>
      <c r="L369" s="705"/>
      <c r="M369" s="705"/>
      <c r="N369" s="36"/>
      <c r="O369" s="36"/>
      <c r="P369" s="30"/>
      <c r="Q369" s="88"/>
    </row>
    <row r="370" spans="1:17" x14ac:dyDescent="0.25">
      <c r="A370" s="160" t="s">
        <v>338</v>
      </c>
      <c r="B370" s="19"/>
      <c r="C370" s="19"/>
      <c r="D370" s="19"/>
      <c r="E370" s="19"/>
      <c r="F370" s="19"/>
      <c r="G370" s="19"/>
      <c r="H370" s="19"/>
      <c r="I370" s="19"/>
      <c r="J370" s="19"/>
      <c r="K370" s="19"/>
      <c r="L370" s="19"/>
      <c r="M370" s="19"/>
      <c r="N370" s="19"/>
      <c r="O370" s="19"/>
      <c r="P370" s="19"/>
      <c r="Q370" s="63"/>
    </row>
    <row r="371" spans="1:17" x14ac:dyDescent="0.25">
      <c r="A371" s="39" t="s">
        <v>157</v>
      </c>
      <c r="Q371" s="64"/>
    </row>
    <row r="372" spans="1:17" x14ac:dyDescent="0.25">
      <c r="A372" s="39" t="s">
        <v>434</v>
      </c>
      <c r="Q372" s="64"/>
    </row>
    <row r="373" spans="1:17" x14ac:dyDescent="0.25">
      <c r="A373" s="39" t="s">
        <v>435</v>
      </c>
      <c r="Q373" s="64"/>
    </row>
    <row r="374" spans="1:17" x14ac:dyDescent="0.25">
      <c r="A374" s="39" t="s">
        <v>609</v>
      </c>
      <c r="Q374" s="64"/>
    </row>
    <row r="375" spans="1:17" x14ac:dyDescent="0.25">
      <c r="A375" s="39" t="s">
        <v>773</v>
      </c>
      <c r="Q375" s="64"/>
    </row>
    <row r="376" spans="1:17" x14ac:dyDescent="0.25">
      <c r="A376" s="39" t="s">
        <v>998</v>
      </c>
      <c r="Q376" s="64"/>
    </row>
    <row r="377" spans="1:17" s="34" customFormat="1" x14ac:dyDescent="0.25">
      <c r="A377" s="42" t="s">
        <v>1158</v>
      </c>
      <c r="Q377" s="48"/>
    </row>
    <row r="379" spans="1:17" x14ac:dyDescent="0.25">
      <c r="A379" s="6" t="s">
        <v>14</v>
      </c>
      <c r="B379" s="7" t="s">
        <v>641</v>
      </c>
      <c r="C379" s="7" t="s">
        <v>15</v>
      </c>
    </row>
    <row r="380" spans="1:17" x14ac:dyDescent="0.25">
      <c r="A380" s="152" t="s">
        <v>16</v>
      </c>
      <c r="B380" s="153">
        <v>2010</v>
      </c>
      <c r="C380" s="153">
        <v>2011</v>
      </c>
      <c r="D380" s="153">
        <v>2012</v>
      </c>
      <c r="E380" s="153">
        <v>2013</v>
      </c>
      <c r="F380" s="153">
        <v>2014</v>
      </c>
      <c r="G380" s="153">
        <v>2015</v>
      </c>
      <c r="H380" s="153">
        <v>2016</v>
      </c>
      <c r="I380" s="153">
        <v>2017</v>
      </c>
      <c r="J380" s="154">
        <v>2018</v>
      </c>
      <c r="K380" s="153">
        <v>2019</v>
      </c>
      <c r="L380" s="153">
        <v>2020</v>
      </c>
      <c r="M380" s="154">
        <v>2021</v>
      </c>
      <c r="N380" s="154">
        <v>2022</v>
      </c>
      <c r="O380" s="154">
        <v>2023</v>
      </c>
      <c r="P380" s="154">
        <v>2024</v>
      </c>
      <c r="Q380" s="154">
        <v>2025</v>
      </c>
    </row>
    <row r="381" spans="1:17" x14ac:dyDescent="0.25">
      <c r="A381" s="152" t="s">
        <v>17</v>
      </c>
      <c r="B381" s="155">
        <v>263</v>
      </c>
      <c r="C381" s="155">
        <v>263</v>
      </c>
      <c r="D381" s="155">
        <v>263</v>
      </c>
      <c r="E381" s="155">
        <v>263</v>
      </c>
      <c r="F381" s="155">
        <v>263</v>
      </c>
      <c r="G381" s="155">
        <v>263</v>
      </c>
      <c r="H381" s="155">
        <v>263</v>
      </c>
      <c r="I381" s="155">
        <v>313</v>
      </c>
      <c r="J381" s="156">
        <v>313</v>
      </c>
      <c r="K381" s="155">
        <v>313</v>
      </c>
      <c r="L381" s="155">
        <v>313</v>
      </c>
      <c r="M381" s="155">
        <v>313</v>
      </c>
      <c r="N381" s="155">
        <v>313</v>
      </c>
      <c r="O381" s="155">
        <v>313</v>
      </c>
      <c r="P381" s="155">
        <v>313</v>
      </c>
      <c r="Q381" s="90">
        <v>313</v>
      </c>
    </row>
    <row r="382" spans="1:17" x14ac:dyDescent="0.25">
      <c r="A382" s="152" t="s">
        <v>18</v>
      </c>
      <c r="B382" s="155">
        <v>393</v>
      </c>
      <c r="C382" s="155">
        <v>362</v>
      </c>
      <c r="D382" s="155">
        <v>377.49</v>
      </c>
      <c r="E382" s="155">
        <v>263</v>
      </c>
      <c r="F382" s="155">
        <v>324.99</v>
      </c>
      <c r="G382" s="156">
        <v>330.03800000000001</v>
      </c>
      <c r="H382" s="155">
        <v>341.9</v>
      </c>
      <c r="I382" s="155">
        <v>315.34399999999999</v>
      </c>
      <c r="J382" s="156">
        <v>391.9</v>
      </c>
      <c r="K382" s="155">
        <v>326.76</v>
      </c>
      <c r="L382" s="155">
        <v>350.05</v>
      </c>
      <c r="M382" s="12">
        <f>M381+0.2*K381</f>
        <v>375.6</v>
      </c>
      <c r="N382" s="12">
        <f>N381+0.2*L381</f>
        <v>375.6</v>
      </c>
      <c r="O382" s="12">
        <f>O381+0.1*M381</f>
        <v>344.3</v>
      </c>
      <c r="P382" s="12">
        <f>P381+0.1*N381</f>
        <v>344.3</v>
      </c>
      <c r="Q382" s="131">
        <f>Q381+0.1*O381</f>
        <v>344.3</v>
      </c>
    </row>
    <row r="383" spans="1:17" x14ac:dyDescent="0.25">
      <c r="A383" s="152" t="s">
        <v>19</v>
      </c>
      <c r="B383" s="155"/>
      <c r="C383" s="155"/>
      <c r="D383" s="155"/>
      <c r="E383" s="155"/>
      <c r="F383" s="155"/>
      <c r="G383" s="156"/>
      <c r="H383" s="156"/>
      <c r="I383" s="156"/>
      <c r="J383" s="156"/>
      <c r="K383" s="156"/>
      <c r="L383" s="156"/>
      <c r="M383" s="11"/>
      <c r="N383" s="11"/>
      <c r="O383" s="11"/>
      <c r="P383" s="11"/>
      <c r="Q383" s="90"/>
    </row>
    <row r="384" spans="1:17" x14ac:dyDescent="0.25">
      <c r="A384" s="152" t="s">
        <v>20</v>
      </c>
      <c r="B384" s="155">
        <v>294</v>
      </c>
      <c r="C384" s="155">
        <v>247.51</v>
      </c>
      <c r="D384" s="155">
        <v>315.5</v>
      </c>
      <c r="E384" s="155">
        <v>195.96199999999999</v>
      </c>
      <c r="F384" s="155">
        <v>205.89400000000001</v>
      </c>
      <c r="G384" s="156">
        <v>327.69600000000003</v>
      </c>
      <c r="H384" s="156">
        <v>222.22</v>
      </c>
      <c r="I384" s="156">
        <v>301.58</v>
      </c>
      <c r="J384" s="156">
        <v>354.85</v>
      </c>
      <c r="K384" s="156">
        <v>210.91</v>
      </c>
      <c r="L384" s="156">
        <v>88.54</v>
      </c>
      <c r="M384" s="11">
        <v>36.729999999999997</v>
      </c>
      <c r="N384" s="11">
        <v>187.61</v>
      </c>
      <c r="O384" s="11">
        <v>109.44</v>
      </c>
      <c r="P384" s="11">
        <v>127.83</v>
      </c>
      <c r="Q384" s="90"/>
    </row>
    <row r="385" spans="1:17" x14ac:dyDescent="0.25">
      <c r="A385" s="152" t="s">
        <v>21</v>
      </c>
      <c r="B385" s="155">
        <v>99</v>
      </c>
      <c r="C385" s="155">
        <v>114.49</v>
      </c>
      <c r="D385" s="155">
        <v>61.99</v>
      </c>
      <c r="E385" s="155">
        <v>67.037999999999997</v>
      </c>
      <c r="F385" s="155">
        <v>119.096</v>
      </c>
      <c r="G385" s="156">
        <v>2.3439999999999999</v>
      </c>
      <c r="H385" s="156">
        <v>119.68</v>
      </c>
      <c r="I385" s="156">
        <v>13.759999999999991</v>
      </c>
      <c r="J385" s="156">
        <v>37.049999999999997</v>
      </c>
      <c r="K385" s="156">
        <f t="shared" ref="K385:P385" si="17">K382-K384</f>
        <v>115.85</v>
      </c>
      <c r="L385" s="156">
        <f t="shared" si="17"/>
        <v>261.51</v>
      </c>
      <c r="M385" s="156">
        <f t="shared" si="17"/>
        <v>338.87</v>
      </c>
      <c r="N385" s="156">
        <f t="shared" si="17"/>
        <v>187.99</v>
      </c>
      <c r="O385" s="156">
        <f t="shared" si="17"/>
        <v>234.86</v>
      </c>
      <c r="P385" s="156">
        <f t="shared" si="17"/>
        <v>216.47000000000003</v>
      </c>
      <c r="Q385" s="90"/>
    </row>
    <row r="386" spans="1:17" x14ac:dyDescent="0.25">
      <c r="A386" s="167" t="s">
        <v>22</v>
      </c>
      <c r="B386" s="168">
        <v>2011</v>
      </c>
      <c r="C386" s="168">
        <v>2012</v>
      </c>
      <c r="D386" s="168">
        <v>2014</v>
      </c>
      <c r="E386" s="168">
        <v>2015</v>
      </c>
      <c r="F386" s="168">
        <v>2016</v>
      </c>
      <c r="G386" s="169">
        <v>2017</v>
      </c>
      <c r="H386" s="169">
        <v>2018</v>
      </c>
      <c r="I386" s="169">
        <v>2019</v>
      </c>
      <c r="J386" s="169">
        <v>2020</v>
      </c>
      <c r="K386" s="169">
        <v>2021</v>
      </c>
      <c r="L386" s="169">
        <v>2022</v>
      </c>
      <c r="M386" s="127">
        <v>2023</v>
      </c>
      <c r="N386" s="127">
        <v>2024</v>
      </c>
      <c r="O386" s="127">
        <v>2025</v>
      </c>
      <c r="P386" s="127">
        <v>2026</v>
      </c>
      <c r="Q386" s="127">
        <v>2027</v>
      </c>
    </row>
    <row r="387" spans="1:17" x14ac:dyDescent="0.25">
      <c r="A387" s="29" t="s">
        <v>154</v>
      </c>
      <c r="B387" s="30"/>
      <c r="C387" s="30"/>
      <c r="D387" s="30"/>
      <c r="E387" s="30"/>
      <c r="F387" s="30"/>
      <c r="G387" s="30"/>
      <c r="H387" s="30"/>
      <c r="I387" s="30"/>
      <c r="J387" s="30"/>
      <c r="K387" s="30"/>
      <c r="L387" s="30"/>
      <c r="M387" s="30"/>
      <c r="N387" s="30"/>
      <c r="O387" s="30"/>
      <c r="P387" s="30"/>
      <c r="Q387" s="63"/>
    </row>
    <row r="388" spans="1:17" x14ac:dyDescent="0.25">
      <c r="A388" s="161" t="s">
        <v>158</v>
      </c>
      <c r="Q388" s="63"/>
    </row>
    <row r="389" spans="1:17" x14ac:dyDescent="0.25">
      <c r="A389" s="161" t="s">
        <v>339</v>
      </c>
      <c r="Q389" s="64"/>
    </row>
    <row r="390" spans="1:17" x14ac:dyDescent="0.25">
      <c r="A390" s="161" t="s">
        <v>340</v>
      </c>
      <c r="Q390" s="64"/>
    </row>
    <row r="391" spans="1:17" x14ac:dyDescent="0.25">
      <c r="A391" s="161" t="s">
        <v>436</v>
      </c>
      <c r="Q391" s="64"/>
    </row>
    <row r="392" spans="1:17" x14ac:dyDescent="0.25">
      <c r="A392" s="161" t="s">
        <v>610</v>
      </c>
      <c r="Q392" s="64"/>
    </row>
    <row r="393" spans="1:17" x14ac:dyDescent="0.25">
      <c r="A393" s="161" t="s">
        <v>774</v>
      </c>
      <c r="Q393" s="64"/>
    </row>
    <row r="394" spans="1:17" x14ac:dyDescent="0.25">
      <c r="A394" s="3" t="s">
        <v>999</v>
      </c>
      <c r="Q394" s="64"/>
    </row>
    <row r="395" spans="1:17" x14ac:dyDescent="0.25">
      <c r="A395" s="43" t="s">
        <v>1159</v>
      </c>
      <c r="B395" s="34"/>
      <c r="C395" s="34"/>
      <c r="D395" s="34"/>
      <c r="E395" s="34"/>
      <c r="F395" s="34"/>
      <c r="G395" s="34"/>
      <c r="H395" s="34"/>
      <c r="I395" s="34"/>
      <c r="J395" s="34"/>
      <c r="K395" s="34"/>
      <c r="L395" s="34"/>
      <c r="M395" s="34"/>
      <c r="N395" s="34"/>
      <c r="O395" s="34"/>
      <c r="P395" s="34"/>
      <c r="Q395" s="48"/>
    </row>
    <row r="397" spans="1:17" x14ac:dyDescent="0.25">
      <c r="A397" s="6" t="s">
        <v>14</v>
      </c>
      <c r="B397" s="7" t="s">
        <v>66</v>
      </c>
      <c r="C397" s="7" t="s">
        <v>15</v>
      </c>
    </row>
    <row r="398" spans="1:17" x14ac:dyDescent="0.25">
      <c r="A398" s="164" t="s">
        <v>16</v>
      </c>
      <c r="B398" s="165">
        <v>2010</v>
      </c>
      <c r="C398" s="153">
        <v>2011</v>
      </c>
      <c r="D398" s="153">
        <v>2012</v>
      </c>
      <c r="E398" s="153">
        <v>2013</v>
      </c>
      <c r="F398" s="153">
        <v>2014</v>
      </c>
      <c r="G398" s="153">
        <v>2015</v>
      </c>
      <c r="H398" s="153">
        <v>2016</v>
      </c>
      <c r="I398" s="153">
        <v>2017</v>
      </c>
      <c r="J398" s="153">
        <v>2018</v>
      </c>
      <c r="K398" s="154">
        <v>2019</v>
      </c>
      <c r="L398" s="154">
        <v>2020</v>
      </c>
      <c r="M398" s="154">
        <v>2021</v>
      </c>
      <c r="N398" s="154">
        <v>2022</v>
      </c>
      <c r="O398" s="154">
        <v>2023</v>
      </c>
      <c r="P398" s="154">
        <v>2024</v>
      </c>
      <c r="Q398" s="154">
        <v>2025</v>
      </c>
    </row>
    <row r="399" spans="1:17" x14ac:dyDescent="0.25">
      <c r="A399" s="152" t="s">
        <v>17</v>
      </c>
      <c r="B399" s="155">
        <v>5900</v>
      </c>
      <c r="C399" s="155">
        <v>5572</v>
      </c>
      <c r="D399" s="155">
        <v>5572</v>
      </c>
      <c r="E399" s="155">
        <v>5572</v>
      </c>
      <c r="F399" s="155">
        <v>5572</v>
      </c>
      <c r="G399" s="155">
        <v>5572</v>
      </c>
      <c r="H399" s="155">
        <v>5376</v>
      </c>
      <c r="I399" s="155">
        <v>5376</v>
      </c>
      <c r="J399" s="156">
        <v>5376</v>
      </c>
      <c r="K399" s="156">
        <v>5376</v>
      </c>
      <c r="L399" s="156">
        <v>4462.08</v>
      </c>
      <c r="M399" s="156">
        <v>4390.6867200000006</v>
      </c>
      <c r="N399" s="156">
        <v>4426.38</v>
      </c>
      <c r="O399" s="156">
        <v>4426.38</v>
      </c>
      <c r="P399" s="156">
        <v>4426.38</v>
      </c>
      <c r="Q399" s="90">
        <v>4624.07</v>
      </c>
    </row>
    <row r="400" spans="1:17" x14ac:dyDescent="0.25">
      <c r="A400" s="152" t="s">
        <v>18</v>
      </c>
      <c r="B400" s="155">
        <v>9670</v>
      </c>
      <c r="C400" s="155">
        <v>8572</v>
      </c>
      <c r="D400" s="155">
        <v>10173</v>
      </c>
      <c r="E400" s="155">
        <v>8502</v>
      </c>
      <c r="F400" s="155">
        <v>10173.6</v>
      </c>
      <c r="G400" s="155">
        <v>10173.6</v>
      </c>
      <c r="H400" s="155">
        <v>7182.4</v>
      </c>
      <c r="I400" s="155">
        <v>7182.4</v>
      </c>
      <c r="J400" s="155">
        <v>7182.4</v>
      </c>
      <c r="K400" s="156">
        <v>7182.4</v>
      </c>
      <c r="L400" s="156">
        <f>L399+0.15*J399+600</f>
        <v>5868.48</v>
      </c>
      <c r="M400" s="156">
        <f>M399+0.1*K399+600</f>
        <v>5528.286720000001</v>
      </c>
      <c r="N400" s="156">
        <f>N399+0.1*L399+600</f>
        <v>5472.5879999999997</v>
      </c>
      <c r="O400" s="156">
        <f>O399+0.1*M399+600</f>
        <v>5465.4486720000004</v>
      </c>
      <c r="P400" s="156">
        <f>P399+0.1*N399+600</f>
        <v>5469.018</v>
      </c>
      <c r="Q400" s="90">
        <v>5024.22</v>
      </c>
    </row>
    <row r="401" spans="1:17" x14ac:dyDescent="0.25">
      <c r="A401" s="152" t="s">
        <v>19</v>
      </c>
      <c r="B401" s="152"/>
      <c r="C401" s="152"/>
      <c r="D401" s="152"/>
      <c r="E401" s="152"/>
      <c r="F401" s="152"/>
      <c r="G401" s="11"/>
      <c r="H401" s="11"/>
      <c r="I401" s="11"/>
      <c r="J401" s="170"/>
      <c r="K401" s="11"/>
      <c r="L401" s="11"/>
      <c r="M401" s="11"/>
      <c r="N401" s="11"/>
      <c r="O401" s="11"/>
      <c r="P401" s="11"/>
      <c r="Q401" s="90"/>
    </row>
    <row r="402" spans="1:17" x14ac:dyDescent="0.25">
      <c r="A402" s="152" t="s">
        <v>20</v>
      </c>
      <c r="B402" s="155">
        <v>5489</v>
      </c>
      <c r="C402" s="155">
        <v>3720.78</v>
      </c>
      <c r="D402" s="155">
        <v>3231</v>
      </c>
      <c r="E402" s="155">
        <v>2371.0340000000001</v>
      </c>
      <c r="F402" s="155">
        <v>2231.75</v>
      </c>
      <c r="G402" s="156">
        <v>4941.848</v>
      </c>
      <c r="H402" s="156">
        <v>5852.39</v>
      </c>
      <c r="I402" s="156">
        <v>5514.3580000000002</v>
      </c>
      <c r="J402" s="156">
        <v>4823.0860000000002</v>
      </c>
      <c r="K402" s="156">
        <v>5718.49</v>
      </c>
      <c r="L402" s="156">
        <v>3613.58</v>
      </c>
      <c r="M402" s="156">
        <v>1638.49</v>
      </c>
      <c r="N402" s="156">
        <v>3248.94</v>
      </c>
      <c r="O402" s="156">
        <v>5415.3</v>
      </c>
      <c r="P402" s="156">
        <v>5132.71</v>
      </c>
      <c r="Q402" s="90"/>
    </row>
    <row r="403" spans="1:17" x14ac:dyDescent="0.25">
      <c r="A403" s="152" t="s">
        <v>21</v>
      </c>
      <c r="B403" s="155">
        <v>4181</v>
      </c>
      <c r="C403" s="155">
        <v>4581.22</v>
      </c>
      <c r="D403" s="155">
        <v>6942</v>
      </c>
      <c r="E403" s="155">
        <v>6130.6959999999999</v>
      </c>
      <c r="F403" s="155">
        <v>7941.85</v>
      </c>
      <c r="G403" s="156">
        <v>5232.116</v>
      </c>
      <c r="H403" s="156">
        <v>1330.01</v>
      </c>
      <c r="I403" s="156">
        <v>1449.932</v>
      </c>
      <c r="J403" s="156">
        <v>2359.3139999999999</v>
      </c>
      <c r="K403" s="156">
        <f t="shared" ref="K403:P403" si="18">K400-K402</f>
        <v>1463.9099999999999</v>
      </c>
      <c r="L403" s="156">
        <f t="shared" si="18"/>
        <v>2254.8999999999996</v>
      </c>
      <c r="M403" s="156">
        <f t="shared" si="18"/>
        <v>3889.7967200000012</v>
      </c>
      <c r="N403" s="156">
        <f t="shared" si="18"/>
        <v>2223.6479999999997</v>
      </c>
      <c r="O403" s="156">
        <f t="shared" si="18"/>
        <v>50.148672000000261</v>
      </c>
      <c r="P403" s="156">
        <f t="shared" si="18"/>
        <v>336.30799999999999</v>
      </c>
      <c r="Q403" s="90"/>
    </row>
    <row r="404" spans="1:17" x14ac:dyDescent="0.25">
      <c r="A404" s="157" t="s">
        <v>22</v>
      </c>
      <c r="B404" s="157">
        <v>2012</v>
      </c>
      <c r="C404" s="157">
        <v>2013</v>
      </c>
      <c r="D404" s="157">
        <v>2014</v>
      </c>
      <c r="E404" s="157">
        <v>2015</v>
      </c>
      <c r="F404" s="157">
        <v>2016</v>
      </c>
      <c r="G404" s="17">
        <v>2017</v>
      </c>
      <c r="H404" s="17">
        <v>2018</v>
      </c>
      <c r="I404" s="17">
        <v>2019</v>
      </c>
      <c r="J404" s="17">
        <v>2020</v>
      </c>
      <c r="K404" s="17">
        <v>2021</v>
      </c>
      <c r="L404" s="17">
        <v>2022</v>
      </c>
      <c r="M404" s="17">
        <v>2023</v>
      </c>
      <c r="N404" s="17">
        <v>2024</v>
      </c>
      <c r="O404" s="17">
        <v>2025</v>
      </c>
      <c r="P404" s="17">
        <v>2026</v>
      </c>
      <c r="Q404" s="62"/>
    </row>
    <row r="405" spans="1:17" x14ac:dyDescent="0.25">
      <c r="A405" s="10" t="s">
        <v>154</v>
      </c>
      <c r="B405" s="36"/>
      <c r="C405" s="36"/>
      <c r="D405" s="36"/>
      <c r="E405" s="36"/>
      <c r="F405" s="36"/>
      <c r="G405" s="36"/>
      <c r="H405" s="36"/>
      <c r="I405" s="36"/>
      <c r="J405" s="36"/>
      <c r="K405" s="36"/>
      <c r="L405" s="36"/>
      <c r="M405" s="36"/>
      <c r="N405" s="36"/>
      <c r="O405" s="36"/>
      <c r="P405" s="30"/>
      <c r="Q405" s="88"/>
    </row>
    <row r="406" spans="1:17" x14ac:dyDescent="0.25">
      <c r="A406" s="161" t="s">
        <v>159</v>
      </c>
      <c r="Q406" s="63"/>
    </row>
    <row r="407" spans="1:17" x14ac:dyDescent="0.25">
      <c r="A407" s="161" t="s">
        <v>160</v>
      </c>
      <c r="Q407" s="64"/>
    </row>
    <row r="408" spans="1:17" x14ac:dyDescent="0.25">
      <c r="A408" s="161" t="s">
        <v>437</v>
      </c>
      <c r="Q408" s="64"/>
    </row>
    <row r="409" spans="1:17" x14ac:dyDescent="0.25">
      <c r="A409" s="161" t="s">
        <v>590</v>
      </c>
      <c r="Q409" s="64"/>
    </row>
    <row r="410" spans="1:17" x14ac:dyDescent="0.25">
      <c r="A410" s="161" t="s">
        <v>611</v>
      </c>
      <c r="Q410" s="64"/>
    </row>
    <row r="411" spans="1:17" x14ac:dyDescent="0.25">
      <c r="A411" s="161" t="s">
        <v>775</v>
      </c>
      <c r="Q411" s="64"/>
    </row>
    <row r="412" spans="1:17" x14ac:dyDescent="0.25">
      <c r="A412" s="123" t="s">
        <v>1000</v>
      </c>
      <c r="Q412" s="64"/>
    </row>
    <row r="413" spans="1:17" x14ac:dyDescent="0.25">
      <c r="A413" s="171" t="s">
        <v>1160</v>
      </c>
      <c r="B413" s="34"/>
      <c r="C413" s="34"/>
      <c r="D413" s="34"/>
      <c r="E413" s="34"/>
      <c r="F413" s="34"/>
      <c r="G413" s="34"/>
      <c r="H413" s="34"/>
      <c r="I413" s="34"/>
      <c r="J413" s="34"/>
      <c r="K413" s="34"/>
      <c r="L413" s="34"/>
      <c r="M413" s="34"/>
      <c r="N413" s="34"/>
      <c r="O413" s="34"/>
      <c r="P413" s="34"/>
      <c r="Q413" s="48"/>
    </row>
    <row r="415" spans="1:17" x14ac:dyDescent="0.25">
      <c r="A415" s="6" t="s">
        <v>14</v>
      </c>
      <c r="B415" s="7" t="s">
        <v>74</v>
      </c>
      <c r="C415" s="7" t="s">
        <v>15</v>
      </c>
    </row>
    <row r="416" spans="1:17" x14ac:dyDescent="0.25">
      <c r="A416" s="164" t="s">
        <v>16</v>
      </c>
      <c r="B416" s="165">
        <v>2010</v>
      </c>
      <c r="C416" s="153">
        <v>2011</v>
      </c>
      <c r="D416" s="153">
        <v>2012</v>
      </c>
      <c r="E416" s="153">
        <v>2013</v>
      </c>
      <c r="F416" s="153">
        <v>2014</v>
      </c>
      <c r="G416" s="153">
        <v>2015</v>
      </c>
      <c r="H416" s="153">
        <v>2016</v>
      </c>
      <c r="I416" s="153">
        <v>2017</v>
      </c>
      <c r="J416" s="153">
        <v>2018</v>
      </c>
      <c r="K416" s="154">
        <v>2019</v>
      </c>
      <c r="L416" s="154">
        <v>2020</v>
      </c>
      <c r="M416" s="154">
        <v>2021</v>
      </c>
      <c r="N416" s="154">
        <v>2022</v>
      </c>
      <c r="O416" s="154">
        <v>2023</v>
      </c>
      <c r="P416" s="154">
        <v>2024</v>
      </c>
      <c r="Q416" s="154">
        <v>2025</v>
      </c>
    </row>
    <row r="417" spans="1:17" x14ac:dyDescent="0.25">
      <c r="A417" s="152" t="s">
        <v>17</v>
      </c>
      <c r="B417" s="155">
        <v>100.5</v>
      </c>
      <c r="C417" s="155">
        <v>100.5</v>
      </c>
      <c r="D417" s="155">
        <v>100.5</v>
      </c>
      <c r="E417" s="155">
        <v>45</v>
      </c>
      <c r="F417" s="155">
        <v>45</v>
      </c>
      <c r="G417" s="155">
        <v>45</v>
      </c>
      <c r="H417" s="155">
        <v>45</v>
      </c>
      <c r="I417" s="155">
        <v>45</v>
      </c>
      <c r="J417" s="156">
        <v>45</v>
      </c>
      <c r="K417" s="156">
        <v>45</v>
      </c>
      <c r="L417" s="156">
        <v>37.9</v>
      </c>
      <c r="M417" s="156">
        <v>37.9</v>
      </c>
      <c r="N417" s="156">
        <v>37.9</v>
      </c>
      <c r="O417" s="156">
        <v>37.9</v>
      </c>
      <c r="P417" s="156">
        <v>37.9</v>
      </c>
      <c r="Q417" s="156">
        <v>37.9</v>
      </c>
    </row>
    <row r="418" spans="1:17" x14ac:dyDescent="0.25">
      <c r="A418" s="152" t="s">
        <v>18</v>
      </c>
      <c r="B418" s="155">
        <v>100.5</v>
      </c>
      <c r="C418" s="155">
        <v>100.5</v>
      </c>
      <c r="D418" s="155">
        <v>100.5</v>
      </c>
      <c r="E418" s="155">
        <v>45</v>
      </c>
      <c r="F418" s="155">
        <v>45</v>
      </c>
      <c r="G418" s="155">
        <v>45</v>
      </c>
      <c r="H418" s="155">
        <v>50.34</v>
      </c>
      <c r="I418" s="155">
        <v>45.585000000000001</v>
      </c>
      <c r="J418" s="155">
        <v>45.628999999999998</v>
      </c>
      <c r="K418" s="156">
        <v>50.27</v>
      </c>
      <c r="L418" s="156">
        <f>L417+J421</f>
        <v>41.338000000000001</v>
      </c>
      <c r="M418" s="156">
        <f>M417+K421</f>
        <v>41.77</v>
      </c>
      <c r="N418" s="156"/>
      <c r="O418" s="156"/>
      <c r="P418" s="156"/>
      <c r="Q418" s="156"/>
    </row>
    <row r="419" spans="1:17" x14ac:dyDescent="0.25">
      <c r="A419" s="152" t="s">
        <v>19</v>
      </c>
      <c r="B419" s="152"/>
      <c r="C419" s="152"/>
      <c r="D419" s="152"/>
      <c r="E419" s="152"/>
      <c r="F419" s="152"/>
      <c r="G419" s="11"/>
      <c r="H419" s="11"/>
      <c r="I419" s="11"/>
      <c r="J419" s="11"/>
      <c r="K419" s="11"/>
      <c r="L419" s="11"/>
      <c r="M419" s="11"/>
      <c r="N419" s="11"/>
      <c r="O419" s="11"/>
      <c r="P419" s="11"/>
      <c r="Q419" s="11"/>
    </row>
    <row r="420" spans="1:17" x14ac:dyDescent="0.25">
      <c r="A420" s="152" t="s">
        <v>20</v>
      </c>
      <c r="B420" s="155">
        <v>77</v>
      </c>
      <c r="C420" s="155">
        <v>99.5</v>
      </c>
      <c r="D420" s="155">
        <v>35</v>
      </c>
      <c r="E420" s="155">
        <v>44.86</v>
      </c>
      <c r="F420" s="155">
        <v>39.659999999999997</v>
      </c>
      <c r="G420" s="156">
        <v>44.414999999999999</v>
      </c>
      <c r="H420" s="156">
        <v>49.710999999999999</v>
      </c>
      <c r="I420" s="156">
        <v>40.31</v>
      </c>
      <c r="J420" s="156">
        <v>42.191000000000003</v>
      </c>
      <c r="K420" s="156">
        <v>46.4</v>
      </c>
      <c r="L420" s="156">
        <v>37.24</v>
      </c>
      <c r="M420" s="156">
        <v>4.03</v>
      </c>
      <c r="N420" s="156">
        <v>10.41</v>
      </c>
      <c r="O420" s="156">
        <v>35.4</v>
      </c>
      <c r="P420" s="156">
        <v>37.36</v>
      </c>
      <c r="Q420" s="156"/>
    </row>
    <row r="421" spans="1:17" x14ac:dyDescent="0.25">
      <c r="A421" s="152" t="s">
        <v>21</v>
      </c>
      <c r="B421" s="155">
        <v>23.5</v>
      </c>
      <c r="C421" s="155">
        <v>1</v>
      </c>
      <c r="D421" s="155">
        <v>65.5</v>
      </c>
      <c r="E421" s="155">
        <v>0.14199999999999999</v>
      </c>
      <c r="F421" s="155">
        <v>5.34</v>
      </c>
      <c r="G421" s="156">
        <v>0.58499999999999996</v>
      </c>
      <c r="H421" s="156">
        <v>0.629</v>
      </c>
      <c r="I421" s="156">
        <v>5.269999999999996</v>
      </c>
      <c r="J421" s="156">
        <v>3.4380000000000002</v>
      </c>
      <c r="K421" s="156">
        <f>K418-K420</f>
        <v>3.8700000000000045</v>
      </c>
      <c r="L421" s="156">
        <f>L418-L420</f>
        <v>4.097999999999999</v>
      </c>
      <c r="M421" s="156">
        <f>M418-M420</f>
        <v>37.74</v>
      </c>
      <c r="N421" s="156">
        <f>N417-N420</f>
        <v>27.49</v>
      </c>
      <c r="O421" s="156">
        <f>O417-O420</f>
        <v>2.5</v>
      </c>
      <c r="P421" s="156">
        <f>P417-P420</f>
        <v>0.53999999999999915</v>
      </c>
      <c r="Q421" s="156"/>
    </row>
    <row r="422" spans="1:17" x14ac:dyDescent="0.25">
      <c r="A422" s="157" t="s">
        <v>22</v>
      </c>
      <c r="B422" s="158" t="s">
        <v>161</v>
      </c>
      <c r="C422" s="158" t="s">
        <v>161</v>
      </c>
      <c r="D422" s="158" t="s">
        <v>161</v>
      </c>
      <c r="E422" s="158">
        <v>2015</v>
      </c>
      <c r="F422" s="158">
        <v>2016</v>
      </c>
      <c r="G422" s="159">
        <v>2017</v>
      </c>
      <c r="H422" s="159">
        <v>2018</v>
      </c>
      <c r="I422" s="159">
        <v>2019</v>
      </c>
      <c r="J422" s="159">
        <v>2020</v>
      </c>
      <c r="K422" s="159">
        <v>2021</v>
      </c>
      <c r="L422" s="158"/>
      <c r="M422" s="158"/>
      <c r="N422" s="158"/>
      <c r="O422" s="158"/>
      <c r="P422" s="158"/>
      <c r="Q422" s="158"/>
    </row>
    <row r="423" spans="1:17" x14ac:dyDescent="0.25">
      <c r="A423" s="90" t="s">
        <v>154</v>
      </c>
      <c r="B423" s="90"/>
      <c r="C423" s="90"/>
      <c r="D423" s="90"/>
      <c r="E423" s="90"/>
      <c r="F423" s="90"/>
      <c r="G423" s="90"/>
      <c r="H423" s="90"/>
      <c r="I423" s="90"/>
      <c r="J423" s="90"/>
      <c r="K423" s="90"/>
      <c r="L423" s="90"/>
      <c r="M423" s="90"/>
      <c r="N423" s="90"/>
      <c r="O423" s="90"/>
      <c r="P423" s="90"/>
      <c r="Q423" s="90"/>
    </row>
    <row r="424" spans="1:17" x14ac:dyDescent="0.25">
      <c r="A424" s="29" t="s">
        <v>612</v>
      </c>
      <c r="B424" s="30"/>
      <c r="C424" s="30"/>
      <c r="D424" s="30"/>
      <c r="E424" s="30"/>
      <c r="F424" s="30"/>
      <c r="G424" s="30"/>
      <c r="H424" s="30"/>
      <c r="I424" s="30"/>
      <c r="J424" s="30"/>
      <c r="K424" s="30"/>
      <c r="L424" s="30"/>
      <c r="M424" s="30"/>
      <c r="N424" s="30"/>
      <c r="O424" s="30"/>
      <c r="P424" s="88"/>
      <c r="Q424" s="88"/>
    </row>
    <row r="425" spans="1:17" x14ac:dyDescent="0.25">
      <c r="A425" s="160" t="s">
        <v>162</v>
      </c>
      <c r="B425" s="19"/>
      <c r="C425" s="19"/>
      <c r="D425" s="19"/>
      <c r="E425" s="19"/>
      <c r="F425" s="19"/>
      <c r="G425" s="19"/>
      <c r="H425" s="19"/>
      <c r="I425" s="19"/>
      <c r="J425" s="19"/>
      <c r="K425" s="19"/>
      <c r="L425" s="19"/>
      <c r="M425" s="19"/>
      <c r="N425" s="19"/>
      <c r="O425" s="19"/>
      <c r="P425" s="19"/>
      <c r="Q425" s="63"/>
    </row>
    <row r="426" spans="1:17" x14ac:dyDescent="0.25">
      <c r="A426" s="161" t="s">
        <v>341</v>
      </c>
      <c r="Q426" s="64"/>
    </row>
    <row r="427" spans="1:17" x14ac:dyDescent="0.25">
      <c r="A427" s="39" t="s">
        <v>342</v>
      </c>
      <c r="Q427" s="64"/>
    </row>
    <row r="428" spans="1:17" x14ac:dyDescent="0.25">
      <c r="A428" s="39" t="s">
        <v>438</v>
      </c>
      <c r="Q428" s="64"/>
    </row>
    <row r="429" spans="1:17" x14ac:dyDescent="0.25">
      <c r="A429" s="41" t="s">
        <v>776</v>
      </c>
      <c r="B429" s="34"/>
      <c r="C429" s="34"/>
      <c r="D429" s="34"/>
      <c r="E429" s="34"/>
      <c r="F429" s="34"/>
      <c r="G429" s="34"/>
      <c r="H429" s="34"/>
      <c r="I429" s="34"/>
      <c r="J429" s="34"/>
      <c r="K429" s="34"/>
      <c r="L429" s="34"/>
      <c r="M429" s="34"/>
      <c r="N429" s="34"/>
      <c r="O429" s="34"/>
      <c r="P429" s="34"/>
      <c r="Q429" s="48"/>
    </row>
    <row r="431" spans="1:17" x14ac:dyDescent="0.25">
      <c r="A431" s="6" t="s">
        <v>14</v>
      </c>
      <c r="B431" s="7" t="s">
        <v>79</v>
      </c>
      <c r="C431" s="7" t="s">
        <v>15</v>
      </c>
    </row>
    <row r="432" spans="1:17" x14ac:dyDescent="0.25">
      <c r="A432" s="164" t="s">
        <v>16</v>
      </c>
      <c r="B432" s="165">
        <v>2010</v>
      </c>
      <c r="C432" s="153">
        <v>2011</v>
      </c>
      <c r="D432" s="153">
        <v>2012</v>
      </c>
      <c r="E432" s="153">
        <v>2013</v>
      </c>
      <c r="F432" s="153">
        <v>2014</v>
      </c>
      <c r="G432" s="153">
        <v>2015</v>
      </c>
      <c r="H432" s="153">
        <v>2016</v>
      </c>
      <c r="I432" s="153">
        <v>2017</v>
      </c>
      <c r="J432" s="153">
        <v>2018</v>
      </c>
      <c r="K432" s="154">
        <v>2019</v>
      </c>
      <c r="L432" s="154">
        <v>2020</v>
      </c>
      <c r="M432" s="154">
        <v>2021</v>
      </c>
      <c r="N432" s="154">
        <v>2022</v>
      </c>
      <c r="O432" s="154">
        <v>2023</v>
      </c>
      <c r="P432" s="154">
        <v>2024</v>
      </c>
      <c r="Q432" s="154">
        <v>2025</v>
      </c>
    </row>
    <row r="433" spans="1:17" x14ac:dyDescent="0.25">
      <c r="A433" s="152" t="s">
        <v>17</v>
      </c>
      <c r="B433" s="155">
        <v>9.9</v>
      </c>
      <c r="C433" s="155">
        <v>9.9</v>
      </c>
      <c r="D433" s="155">
        <v>9.9</v>
      </c>
      <c r="E433" s="155">
        <v>10</v>
      </c>
      <c r="F433" s="155">
        <v>10</v>
      </c>
      <c r="G433" s="155">
        <v>10</v>
      </c>
      <c r="H433" s="156">
        <v>10</v>
      </c>
      <c r="I433" s="156">
        <v>10</v>
      </c>
      <c r="J433" s="156">
        <v>10</v>
      </c>
      <c r="K433" s="156">
        <v>10</v>
      </c>
      <c r="L433" s="156">
        <v>10</v>
      </c>
      <c r="M433" s="156">
        <v>10</v>
      </c>
      <c r="N433" s="156">
        <v>10</v>
      </c>
      <c r="O433" s="156">
        <v>10</v>
      </c>
      <c r="P433" s="156">
        <v>10</v>
      </c>
      <c r="Q433" s="156">
        <v>10</v>
      </c>
    </row>
    <row r="434" spans="1:17" x14ac:dyDescent="0.25">
      <c r="A434" s="152" t="s">
        <v>18</v>
      </c>
      <c r="B434" s="155">
        <v>9.9</v>
      </c>
      <c r="C434" s="155">
        <v>9.9</v>
      </c>
      <c r="D434" s="155">
        <v>9.9</v>
      </c>
      <c r="E434" s="155">
        <v>10</v>
      </c>
      <c r="F434" s="155">
        <v>10</v>
      </c>
      <c r="G434" s="155">
        <v>12</v>
      </c>
      <c r="H434" s="156">
        <v>12</v>
      </c>
      <c r="I434" s="156">
        <v>12</v>
      </c>
      <c r="J434" s="155">
        <v>12</v>
      </c>
      <c r="K434" s="156">
        <v>12</v>
      </c>
      <c r="L434" s="156">
        <f>L433*1.2</f>
        <v>12</v>
      </c>
      <c r="M434" s="156">
        <f>M433*1.2</f>
        <v>12</v>
      </c>
      <c r="N434" s="156"/>
      <c r="O434" s="156"/>
      <c r="P434" s="156"/>
      <c r="Q434" s="156"/>
    </row>
    <row r="435" spans="1:17" x14ac:dyDescent="0.25">
      <c r="A435" s="152" t="s">
        <v>19</v>
      </c>
      <c r="B435" s="152"/>
      <c r="C435" s="152"/>
      <c r="D435" s="152"/>
      <c r="E435" s="152"/>
      <c r="F435" s="152"/>
      <c r="G435" s="11"/>
      <c r="H435" s="11"/>
      <c r="I435" s="11"/>
      <c r="J435" s="11"/>
      <c r="K435" s="11"/>
      <c r="L435" s="11"/>
      <c r="M435" s="11"/>
      <c r="N435" s="11"/>
      <c r="O435" s="11"/>
      <c r="P435" s="11"/>
      <c r="Q435" s="11"/>
    </row>
    <row r="436" spans="1:17" x14ac:dyDescent="0.25">
      <c r="A436" s="152" t="s">
        <v>20</v>
      </c>
      <c r="B436" s="155">
        <v>8</v>
      </c>
      <c r="C436" s="155">
        <v>0.73</v>
      </c>
      <c r="D436" s="155">
        <v>0.21</v>
      </c>
      <c r="E436" s="155">
        <v>2.1179999999999999</v>
      </c>
      <c r="F436" s="155">
        <v>0</v>
      </c>
      <c r="G436" s="156">
        <v>0.34799999999999998</v>
      </c>
      <c r="H436" s="156">
        <v>0.26300000000000001</v>
      </c>
      <c r="I436" s="156">
        <v>2.5299999999999998</v>
      </c>
      <c r="J436" s="156">
        <v>3.23</v>
      </c>
      <c r="K436" s="156">
        <v>2.88</v>
      </c>
      <c r="L436" s="156">
        <v>1.81</v>
      </c>
      <c r="M436" s="156">
        <v>1.57</v>
      </c>
      <c r="N436" s="156">
        <v>2.13</v>
      </c>
      <c r="O436" s="156">
        <v>1.5</v>
      </c>
      <c r="P436" s="156">
        <v>1.92</v>
      </c>
      <c r="Q436" s="156"/>
    </row>
    <row r="437" spans="1:17" x14ac:dyDescent="0.25">
      <c r="A437" s="152" t="s">
        <v>21</v>
      </c>
      <c r="B437" s="155">
        <v>1.9</v>
      </c>
      <c r="C437" s="155">
        <v>9.17</v>
      </c>
      <c r="D437" s="155">
        <v>9.69</v>
      </c>
      <c r="E437" s="155">
        <v>7.8819999999999997</v>
      </c>
      <c r="F437" s="155">
        <v>10</v>
      </c>
      <c r="G437" s="156">
        <v>11.651999999999999</v>
      </c>
      <c r="H437" s="156">
        <v>11.737</v>
      </c>
      <c r="I437" s="156">
        <v>9.4700000000000006</v>
      </c>
      <c r="J437" s="156">
        <v>8.77</v>
      </c>
      <c r="K437" s="156">
        <f>K434-K436</f>
        <v>9.120000000000001</v>
      </c>
      <c r="L437" s="156">
        <f>L434-L436</f>
        <v>10.19</v>
      </c>
      <c r="M437" s="156">
        <f>M434-M436</f>
        <v>10.43</v>
      </c>
      <c r="N437" s="156">
        <f>N433-N436</f>
        <v>7.87</v>
      </c>
      <c r="O437" s="156">
        <f>O433-O436</f>
        <v>8.5</v>
      </c>
      <c r="P437" s="156">
        <f>P433-P436</f>
        <v>8.08</v>
      </c>
      <c r="Q437" s="156"/>
    </row>
    <row r="438" spans="1:17" x14ac:dyDescent="0.25">
      <c r="A438" s="157" t="s">
        <v>22</v>
      </c>
      <c r="B438" s="158" t="s">
        <v>161</v>
      </c>
      <c r="C438" s="158" t="s">
        <v>161</v>
      </c>
      <c r="D438" s="158" t="s">
        <v>161</v>
      </c>
      <c r="E438" s="158">
        <v>2015</v>
      </c>
      <c r="F438" s="158">
        <v>2016</v>
      </c>
      <c r="G438" s="159">
        <v>2017</v>
      </c>
      <c r="H438" s="159">
        <v>2018</v>
      </c>
      <c r="I438" s="159">
        <v>2019</v>
      </c>
      <c r="J438" s="159">
        <v>2020</v>
      </c>
      <c r="K438" s="159">
        <v>2021</v>
      </c>
      <c r="L438" s="158"/>
      <c r="M438" s="158"/>
      <c r="N438" s="158"/>
      <c r="O438" s="158"/>
      <c r="P438" s="158"/>
      <c r="Q438" s="158"/>
    </row>
    <row r="439" spans="1:17" x14ac:dyDescent="0.25">
      <c r="A439" s="29" t="s">
        <v>154</v>
      </c>
      <c r="B439" s="30"/>
      <c r="C439" s="30"/>
      <c r="D439" s="30"/>
      <c r="E439" s="30"/>
      <c r="F439" s="30"/>
      <c r="G439" s="30"/>
      <c r="H439" s="30"/>
      <c r="I439" s="30"/>
      <c r="J439" s="30"/>
      <c r="K439" s="30"/>
      <c r="L439" s="30"/>
      <c r="M439" s="30"/>
      <c r="N439" s="30"/>
      <c r="O439" s="30"/>
      <c r="P439" s="88"/>
      <c r="Q439" s="63"/>
    </row>
    <row r="440" spans="1:17" x14ac:dyDescent="0.25">
      <c r="A440" s="39" t="s">
        <v>613</v>
      </c>
      <c r="Q440" s="63"/>
    </row>
    <row r="441" spans="1:17" x14ac:dyDescent="0.25">
      <c r="A441" s="39" t="s">
        <v>163</v>
      </c>
      <c r="Q441" s="64"/>
    </row>
    <row r="442" spans="1:17" x14ac:dyDescent="0.25">
      <c r="A442" s="39" t="s">
        <v>343</v>
      </c>
      <c r="Q442" s="64"/>
    </row>
    <row r="443" spans="1:17" x14ac:dyDescent="0.25">
      <c r="A443" s="39" t="s">
        <v>439</v>
      </c>
      <c r="Q443" s="64"/>
    </row>
    <row r="444" spans="1:17" x14ac:dyDescent="0.25">
      <c r="A444" s="41" t="s">
        <v>776</v>
      </c>
      <c r="B444" s="34"/>
      <c r="C444" s="34"/>
      <c r="D444" s="34"/>
      <c r="E444" s="34"/>
      <c r="F444" s="34"/>
      <c r="G444" s="34"/>
      <c r="H444" s="34"/>
      <c r="I444" s="34"/>
      <c r="J444" s="34"/>
      <c r="K444" s="34"/>
      <c r="L444" s="34"/>
      <c r="M444" s="34"/>
      <c r="N444" s="34"/>
      <c r="O444" s="34"/>
      <c r="P444" s="34"/>
      <c r="Q444" s="48"/>
    </row>
    <row r="447" spans="1:17" x14ac:dyDescent="0.25">
      <c r="A447" s="6" t="s">
        <v>12</v>
      </c>
      <c r="B447" s="7" t="s">
        <v>85</v>
      </c>
    </row>
    <row r="448" spans="1:17" x14ac:dyDescent="0.25">
      <c r="A448" s="6" t="s">
        <v>14</v>
      </c>
      <c r="B448" s="7" t="s">
        <v>624</v>
      </c>
      <c r="C448" s="9" t="s">
        <v>15</v>
      </c>
    </row>
    <row r="449" spans="1:12" x14ac:dyDescent="0.25">
      <c r="A449" s="10" t="s">
        <v>16</v>
      </c>
      <c r="B449" s="154">
        <v>2015</v>
      </c>
      <c r="C449" s="172">
        <v>2016</v>
      </c>
      <c r="D449" s="154">
        <v>2017</v>
      </c>
      <c r="E449" s="173">
        <v>2018</v>
      </c>
      <c r="F449" s="173">
        <v>2019</v>
      </c>
      <c r="G449" s="154">
        <v>2020</v>
      </c>
      <c r="H449" s="154">
        <v>2021</v>
      </c>
      <c r="I449" s="154">
        <v>2022</v>
      </c>
      <c r="J449" s="154">
        <v>2023</v>
      </c>
      <c r="K449" s="154">
        <v>2024</v>
      </c>
      <c r="L449" s="154">
        <v>2025</v>
      </c>
    </row>
    <row r="450" spans="1:12" x14ac:dyDescent="0.25">
      <c r="A450" s="10" t="s">
        <v>17</v>
      </c>
      <c r="B450" s="156">
        <v>3271.7</v>
      </c>
      <c r="C450" s="174">
        <v>3271.7</v>
      </c>
      <c r="D450" s="156">
        <v>3271.7</v>
      </c>
      <c r="E450" s="175">
        <v>3926</v>
      </c>
      <c r="F450" s="175">
        <v>3926</v>
      </c>
      <c r="G450" s="156">
        <v>3926</v>
      </c>
      <c r="H450" s="156">
        <v>4416.8999999999996</v>
      </c>
      <c r="I450" s="156">
        <v>4416.8999999999996</v>
      </c>
      <c r="J450" s="156">
        <v>4416.8999999999996</v>
      </c>
      <c r="K450" s="156">
        <v>5521.1</v>
      </c>
      <c r="L450" s="156">
        <v>5521.1</v>
      </c>
    </row>
    <row r="451" spans="1:12" x14ac:dyDescent="0.25">
      <c r="A451" s="10" t="s">
        <v>18</v>
      </c>
      <c r="B451" s="156">
        <v>3789.62</v>
      </c>
      <c r="C451" s="174">
        <v>3789.62</v>
      </c>
      <c r="D451" s="156">
        <v>3789.62</v>
      </c>
      <c r="E451" s="175">
        <v>4281.62</v>
      </c>
      <c r="F451" s="175">
        <v>4543.9250000000002</v>
      </c>
      <c r="G451" s="175">
        <v>4707.5</v>
      </c>
      <c r="H451" s="175">
        <f>H450+0.25*F450-200</f>
        <v>5198.3999999999996</v>
      </c>
      <c r="I451" s="175">
        <f>I450+0.25*G450-200</f>
        <v>5198.3999999999996</v>
      </c>
      <c r="J451" s="175">
        <f>J450+0.25*H450-200</f>
        <v>5321.125</v>
      </c>
      <c r="K451" s="175">
        <f>K450+0.25*I450-200</f>
        <v>6425.3250000000007</v>
      </c>
      <c r="L451" s="175">
        <f>L450+0.25*J450-200</f>
        <v>6425.3250000000007</v>
      </c>
    </row>
    <row r="452" spans="1:12" ht="26.4" x14ac:dyDescent="0.25">
      <c r="A452" s="10" t="s">
        <v>19</v>
      </c>
      <c r="B452" s="176" t="s">
        <v>86</v>
      </c>
      <c r="C452" s="176" t="s">
        <v>86</v>
      </c>
      <c r="D452" s="176" t="s">
        <v>86</v>
      </c>
      <c r="E452" s="177" t="s">
        <v>87</v>
      </c>
      <c r="F452" s="177" t="s">
        <v>391</v>
      </c>
      <c r="G452" s="177" t="s">
        <v>392</v>
      </c>
      <c r="H452" s="177" t="s">
        <v>442</v>
      </c>
      <c r="I452" s="177" t="s">
        <v>442</v>
      </c>
      <c r="J452" s="177" t="s">
        <v>778</v>
      </c>
      <c r="K452" s="177" t="s">
        <v>970</v>
      </c>
      <c r="L452" s="177" t="s">
        <v>970</v>
      </c>
    </row>
    <row r="453" spans="1:12" x14ac:dyDescent="0.25">
      <c r="A453" s="10" t="s">
        <v>20</v>
      </c>
      <c r="B453" s="156">
        <v>2857</v>
      </c>
      <c r="C453" s="174">
        <v>3134</v>
      </c>
      <c r="D453" s="156">
        <v>2385</v>
      </c>
      <c r="E453" s="156">
        <v>2926</v>
      </c>
      <c r="F453" s="175">
        <v>2770</v>
      </c>
      <c r="G453" s="156">
        <v>3549</v>
      </c>
      <c r="H453" s="156">
        <v>2896</v>
      </c>
      <c r="I453" s="156">
        <v>2806</v>
      </c>
      <c r="J453" s="156">
        <v>2782</v>
      </c>
      <c r="K453" s="156">
        <v>2446</v>
      </c>
      <c r="L453" s="156"/>
    </row>
    <row r="454" spans="1:12" x14ac:dyDescent="0.25">
      <c r="A454" s="10" t="s">
        <v>21</v>
      </c>
      <c r="B454" s="156">
        <v>932.62</v>
      </c>
      <c r="C454" s="174">
        <v>655.62</v>
      </c>
      <c r="D454" s="156">
        <v>1404.62</v>
      </c>
      <c r="E454" s="156">
        <v>1355.62</v>
      </c>
      <c r="F454" s="175">
        <v>1773.9250000000002</v>
      </c>
      <c r="G454" s="175">
        <f t="shared" ref="G454:L454" si="19">G451-G453</f>
        <v>1158.5</v>
      </c>
      <c r="H454" s="175">
        <f t="shared" si="19"/>
        <v>2302.3999999999996</v>
      </c>
      <c r="I454" s="175">
        <f t="shared" si="19"/>
        <v>2392.3999999999996</v>
      </c>
      <c r="J454" s="156">
        <f t="shared" si="19"/>
        <v>2539.125</v>
      </c>
      <c r="K454" s="156">
        <f t="shared" si="19"/>
        <v>3979.3250000000007</v>
      </c>
      <c r="L454" s="156">
        <f t="shared" si="19"/>
        <v>6425.3250000000007</v>
      </c>
    </row>
    <row r="455" spans="1:12" x14ac:dyDescent="0.25">
      <c r="A455" s="16" t="s">
        <v>22</v>
      </c>
      <c r="B455" s="159">
        <v>2017</v>
      </c>
      <c r="C455" s="178">
        <v>2018</v>
      </c>
      <c r="D455" s="159">
        <v>2019</v>
      </c>
      <c r="E455" s="179">
        <v>2020</v>
      </c>
      <c r="F455" s="179">
        <v>2021</v>
      </c>
      <c r="G455" s="159">
        <v>2022</v>
      </c>
      <c r="H455" s="159">
        <v>2023</v>
      </c>
      <c r="I455" s="159">
        <v>2024</v>
      </c>
      <c r="J455" s="159">
        <v>2025</v>
      </c>
      <c r="K455" s="159">
        <v>2026</v>
      </c>
      <c r="L455" s="180">
        <v>2027</v>
      </c>
    </row>
    <row r="456" spans="1:12" x14ac:dyDescent="0.25">
      <c r="A456" s="16" t="s">
        <v>23</v>
      </c>
      <c r="B456" s="46"/>
      <c r="C456" s="46"/>
      <c r="D456" s="46"/>
      <c r="E456" s="46"/>
      <c r="F456" s="46"/>
      <c r="G456" s="46"/>
      <c r="H456" s="46"/>
      <c r="I456" s="46"/>
      <c r="J456" s="47"/>
      <c r="K456" s="47"/>
      <c r="L456" s="62"/>
    </row>
    <row r="457" spans="1:12" x14ac:dyDescent="0.25">
      <c r="A457" s="16" t="s">
        <v>88</v>
      </c>
      <c r="B457" s="46"/>
      <c r="C457" s="46"/>
      <c r="D457" s="46"/>
      <c r="E457" s="46"/>
      <c r="F457" s="46"/>
      <c r="G457" s="46"/>
      <c r="H457" s="46"/>
      <c r="I457" s="46"/>
      <c r="J457" s="46"/>
      <c r="K457" s="19"/>
      <c r="L457" s="63"/>
    </row>
    <row r="458" spans="1:12" x14ac:dyDescent="0.25">
      <c r="A458" s="660" t="s">
        <v>393</v>
      </c>
      <c r="B458" s="661"/>
      <c r="C458" s="661"/>
      <c r="D458" s="661"/>
      <c r="E458" s="661"/>
      <c r="F458" s="661"/>
      <c r="G458" s="661"/>
      <c r="L458" s="64"/>
    </row>
    <row r="459" spans="1:12" x14ac:dyDescent="0.25">
      <c r="A459" s="39" t="s">
        <v>344</v>
      </c>
      <c r="L459" s="64"/>
    </row>
    <row r="460" spans="1:12" x14ac:dyDescent="0.25">
      <c r="A460" s="39" t="s">
        <v>394</v>
      </c>
      <c r="L460" s="64"/>
    </row>
    <row r="461" spans="1:12" x14ac:dyDescent="0.25">
      <c r="A461" s="39" t="s">
        <v>440</v>
      </c>
      <c r="L461" s="64"/>
    </row>
    <row r="462" spans="1:12" x14ac:dyDescent="0.25">
      <c r="A462" s="39" t="s">
        <v>441</v>
      </c>
      <c r="L462" s="64"/>
    </row>
    <row r="463" spans="1:12" x14ac:dyDescent="0.25">
      <c r="A463" s="39" t="s">
        <v>585</v>
      </c>
      <c r="L463" s="64"/>
    </row>
    <row r="464" spans="1:12" x14ac:dyDescent="0.25">
      <c r="A464" s="660" t="s">
        <v>777</v>
      </c>
      <c r="B464" s="661"/>
      <c r="C464" s="661"/>
      <c r="D464" s="661"/>
      <c r="E464" s="661"/>
      <c r="F464" s="661"/>
      <c r="G464" s="661"/>
      <c r="L464" s="64"/>
    </row>
    <row r="465" spans="1:13" x14ac:dyDescent="0.25">
      <c r="A465" s="161" t="s">
        <v>969</v>
      </c>
      <c r="B465" s="123"/>
      <c r="C465" s="123"/>
      <c r="D465" s="123"/>
      <c r="E465" s="123"/>
      <c r="F465" s="123"/>
      <c r="G465" s="123"/>
      <c r="L465" s="64"/>
    </row>
    <row r="466" spans="1:13" x14ac:dyDescent="0.25">
      <c r="A466" s="171" t="s">
        <v>1124</v>
      </c>
      <c r="B466" s="181"/>
      <c r="C466" s="181"/>
      <c r="D466" s="181"/>
      <c r="E466" s="181"/>
      <c r="F466" s="181"/>
      <c r="G466" s="181"/>
      <c r="H466" s="34"/>
      <c r="I466" s="34"/>
      <c r="J466" s="34"/>
      <c r="K466" s="34"/>
      <c r="L466" s="48"/>
    </row>
    <row r="468" spans="1:13" x14ac:dyDescent="0.25">
      <c r="A468" s="6" t="s">
        <v>14</v>
      </c>
      <c r="B468" s="7" t="s">
        <v>638</v>
      </c>
      <c r="C468" s="9" t="s">
        <v>15</v>
      </c>
    </row>
    <row r="469" spans="1:13" x14ac:dyDescent="0.25">
      <c r="A469" s="10" t="s">
        <v>16</v>
      </c>
      <c r="B469" s="154">
        <v>2015</v>
      </c>
      <c r="C469" s="172">
        <v>2016</v>
      </c>
      <c r="D469" s="154">
        <v>2017</v>
      </c>
      <c r="E469" s="173">
        <v>2018</v>
      </c>
      <c r="F469" s="173">
        <v>2019</v>
      </c>
      <c r="G469" s="154">
        <v>2020</v>
      </c>
      <c r="H469" s="154">
        <v>2021</v>
      </c>
      <c r="I469" s="154">
        <v>2022</v>
      </c>
      <c r="J469" s="154">
        <v>2023</v>
      </c>
      <c r="K469" s="154">
        <v>2024</v>
      </c>
      <c r="L469" s="154">
        <v>2025</v>
      </c>
      <c r="M469" s="154">
        <v>2026</v>
      </c>
    </row>
    <row r="470" spans="1:13" x14ac:dyDescent="0.25">
      <c r="A470" s="10" t="s">
        <v>17</v>
      </c>
      <c r="B470" s="156">
        <v>9400</v>
      </c>
      <c r="C470" s="174">
        <v>9400</v>
      </c>
      <c r="D470" s="156">
        <v>9400</v>
      </c>
      <c r="E470" s="175">
        <v>9400</v>
      </c>
      <c r="F470" s="175">
        <v>9400</v>
      </c>
      <c r="G470" s="156">
        <v>9400</v>
      </c>
      <c r="H470" s="156">
        <v>9400</v>
      </c>
      <c r="I470" s="156">
        <v>9400</v>
      </c>
      <c r="J470" s="156">
        <v>10340</v>
      </c>
      <c r="K470" s="156">
        <v>10340</v>
      </c>
      <c r="L470" s="156">
        <v>10340</v>
      </c>
      <c r="M470" s="156">
        <v>10340</v>
      </c>
    </row>
    <row r="471" spans="1:13" x14ac:dyDescent="0.25">
      <c r="A471" s="10" t="s">
        <v>18</v>
      </c>
      <c r="B471" s="156">
        <v>11506.75</v>
      </c>
      <c r="C471" s="174">
        <v>11750</v>
      </c>
      <c r="D471" s="156">
        <v>11750</v>
      </c>
      <c r="E471" s="175">
        <v>11750</v>
      </c>
      <c r="F471" s="175">
        <f>F470*1.25</f>
        <v>11750</v>
      </c>
      <c r="G471" s="156">
        <f>G470*1.25-200</f>
        <v>11550</v>
      </c>
      <c r="H471" s="156">
        <f>H470+F474</f>
        <v>11524</v>
      </c>
      <c r="I471" s="156">
        <f>I470+G474+85</f>
        <v>11184</v>
      </c>
      <c r="J471" s="156">
        <f>J470+H474</f>
        <v>11345</v>
      </c>
      <c r="K471" s="156">
        <f>K470+139.98</f>
        <v>10479.98</v>
      </c>
      <c r="L471" s="182">
        <f>L470+J474+2135-1425.02</f>
        <v>11499.98</v>
      </c>
      <c r="M471" s="156"/>
    </row>
    <row r="472" spans="1:13" ht="26.4" x14ac:dyDescent="0.25">
      <c r="A472" s="10" t="s">
        <v>19</v>
      </c>
      <c r="B472" s="176" t="s">
        <v>89</v>
      </c>
      <c r="C472" s="176" t="s">
        <v>90</v>
      </c>
      <c r="D472" s="176" t="s">
        <v>90</v>
      </c>
      <c r="E472" s="177" t="s">
        <v>90</v>
      </c>
      <c r="F472" s="177" t="s">
        <v>90</v>
      </c>
      <c r="G472" s="183" t="s">
        <v>346</v>
      </c>
      <c r="H472" s="183" t="s">
        <v>444</v>
      </c>
      <c r="I472" s="183" t="s">
        <v>713</v>
      </c>
      <c r="J472" s="183" t="s">
        <v>873</v>
      </c>
      <c r="K472" s="183" t="s">
        <v>926</v>
      </c>
      <c r="L472" s="184" t="s">
        <v>1149</v>
      </c>
      <c r="M472" s="183"/>
    </row>
    <row r="473" spans="1:13" x14ac:dyDescent="0.25">
      <c r="A473" s="10" t="s">
        <v>20</v>
      </c>
      <c r="B473" s="156">
        <v>7157</v>
      </c>
      <c r="C473" s="174">
        <v>8907</v>
      </c>
      <c r="D473" s="156">
        <v>9090</v>
      </c>
      <c r="E473" s="156">
        <v>9227</v>
      </c>
      <c r="F473" s="175">
        <v>9626</v>
      </c>
      <c r="G473" s="156">
        <v>9851</v>
      </c>
      <c r="H473" s="156">
        <v>10519</v>
      </c>
      <c r="I473" s="156">
        <v>8894</v>
      </c>
      <c r="J473" s="156">
        <v>10895</v>
      </c>
      <c r="K473" s="156">
        <v>11905</v>
      </c>
      <c r="L473" s="156"/>
      <c r="M473" s="156"/>
    </row>
    <row r="474" spans="1:13" x14ac:dyDescent="0.25">
      <c r="A474" s="10" t="s">
        <v>21</v>
      </c>
      <c r="B474" s="156">
        <v>4349.75</v>
      </c>
      <c r="C474" s="174">
        <v>2843</v>
      </c>
      <c r="D474" s="156">
        <v>2660</v>
      </c>
      <c r="E474" s="156">
        <v>2523</v>
      </c>
      <c r="F474" s="175">
        <f>F471-F473</f>
        <v>2124</v>
      </c>
      <c r="G474" s="156">
        <f>G471-G473</f>
        <v>1699</v>
      </c>
      <c r="H474" s="156">
        <v>1005</v>
      </c>
      <c r="I474" s="156">
        <f>I471-I473</f>
        <v>2290</v>
      </c>
      <c r="J474" s="156">
        <f>J471-J473</f>
        <v>450</v>
      </c>
      <c r="K474" s="182">
        <f t="shared" ref="K474" si="20">K471-K473</f>
        <v>-1425.0200000000004</v>
      </c>
      <c r="L474" s="156"/>
      <c r="M474" s="156"/>
    </row>
    <row r="475" spans="1:13" ht="52.8" x14ac:dyDescent="0.25">
      <c r="A475" s="16" t="s">
        <v>22</v>
      </c>
      <c r="B475" s="159">
        <v>2017</v>
      </c>
      <c r="C475" s="178">
        <v>2018</v>
      </c>
      <c r="D475" s="159">
        <v>2019</v>
      </c>
      <c r="E475" s="179">
        <v>2020</v>
      </c>
      <c r="F475" s="179">
        <v>2021</v>
      </c>
      <c r="G475" s="179">
        <v>2022</v>
      </c>
      <c r="H475" s="179">
        <v>2023</v>
      </c>
      <c r="I475" s="179">
        <v>2024</v>
      </c>
      <c r="J475" s="179">
        <v>2025</v>
      </c>
      <c r="K475" s="179">
        <v>2026</v>
      </c>
      <c r="L475" s="185" t="s">
        <v>1163</v>
      </c>
      <c r="M475" s="179">
        <v>2028</v>
      </c>
    </row>
    <row r="476" spans="1:13" x14ac:dyDescent="0.25">
      <c r="A476" s="29" t="s">
        <v>23</v>
      </c>
      <c r="B476" s="694"/>
      <c r="C476" s="694"/>
      <c r="D476" s="694"/>
      <c r="E476" s="694"/>
      <c r="F476" s="694"/>
      <c r="G476" s="694"/>
      <c r="H476" s="694"/>
      <c r="I476" s="694"/>
      <c r="J476" s="694"/>
      <c r="K476" s="694"/>
      <c r="L476" s="694"/>
      <c r="M476" s="695"/>
    </row>
    <row r="477" spans="1:13" x14ac:dyDescent="0.25">
      <c r="A477" s="660" t="s">
        <v>91</v>
      </c>
      <c r="B477" s="661"/>
      <c r="C477" s="661"/>
      <c r="D477" s="661"/>
      <c r="E477" s="661"/>
      <c r="F477" s="661"/>
      <c r="M477" s="64"/>
    </row>
    <row r="478" spans="1:13" x14ac:dyDescent="0.25">
      <c r="A478" s="161" t="s">
        <v>345</v>
      </c>
      <c r="B478" s="32"/>
      <c r="C478" s="32"/>
      <c r="D478" s="32"/>
      <c r="E478" s="32"/>
      <c r="F478" s="32"/>
      <c r="M478" s="64"/>
    </row>
    <row r="479" spans="1:13" x14ac:dyDescent="0.25">
      <c r="A479" s="161" t="s">
        <v>443</v>
      </c>
      <c r="B479" s="32"/>
      <c r="C479" s="32"/>
      <c r="D479" s="32"/>
      <c r="E479" s="32"/>
      <c r="F479" s="32"/>
      <c r="M479" s="64"/>
    </row>
    <row r="480" spans="1:13" x14ac:dyDescent="0.25">
      <c r="A480" s="161" t="s">
        <v>714</v>
      </c>
      <c r="B480" s="32"/>
      <c r="C480" s="32"/>
      <c r="D480" s="32"/>
      <c r="E480" s="32"/>
      <c r="F480" s="32"/>
      <c r="M480" s="64"/>
    </row>
    <row r="481" spans="1:13" x14ac:dyDescent="0.25">
      <c r="A481" s="161" t="s">
        <v>874</v>
      </c>
      <c r="B481" s="32"/>
      <c r="C481" s="32"/>
      <c r="D481" s="32"/>
      <c r="E481" s="32"/>
      <c r="F481" s="32"/>
      <c r="M481" s="64"/>
    </row>
    <row r="482" spans="1:13" x14ac:dyDescent="0.25">
      <c r="A482" s="161" t="s">
        <v>996</v>
      </c>
      <c r="B482" s="32"/>
      <c r="C482" s="32"/>
      <c r="D482" s="32"/>
      <c r="E482" s="32"/>
      <c r="F482" s="32"/>
      <c r="M482" s="64"/>
    </row>
    <row r="483" spans="1:13" x14ac:dyDescent="0.25">
      <c r="A483" s="162" t="s">
        <v>1150</v>
      </c>
      <c r="B483" s="22"/>
      <c r="C483" s="22"/>
      <c r="D483" s="22"/>
      <c r="E483" s="22"/>
      <c r="F483" s="22"/>
      <c r="G483" s="34"/>
      <c r="H483" s="34"/>
      <c r="I483" s="34"/>
      <c r="J483" s="34"/>
      <c r="K483" s="34"/>
      <c r="L483" s="34"/>
      <c r="M483" s="48"/>
    </row>
    <row r="485" spans="1:13" x14ac:dyDescent="0.25">
      <c r="A485" s="6" t="s">
        <v>14</v>
      </c>
      <c r="B485" s="7" t="s">
        <v>623</v>
      </c>
      <c r="C485" s="9" t="s">
        <v>15</v>
      </c>
    </row>
    <row r="486" spans="1:13" x14ac:dyDescent="0.25">
      <c r="A486" s="10" t="s">
        <v>16</v>
      </c>
      <c r="B486" s="154">
        <v>2015</v>
      </c>
      <c r="C486" s="172">
        <v>2016</v>
      </c>
      <c r="D486" s="154">
        <v>2017</v>
      </c>
      <c r="E486" s="173">
        <v>2018</v>
      </c>
      <c r="F486" s="173">
        <v>2019</v>
      </c>
      <c r="G486" s="154">
        <v>2020</v>
      </c>
      <c r="H486" s="154">
        <v>2021</v>
      </c>
      <c r="I486" s="154">
        <v>2022</v>
      </c>
      <c r="J486" s="154">
        <v>2023</v>
      </c>
      <c r="K486" s="154">
        <v>2024</v>
      </c>
      <c r="L486" s="154">
        <v>2025</v>
      </c>
    </row>
    <row r="487" spans="1:13" x14ac:dyDescent="0.25">
      <c r="A487" s="10" t="s">
        <v>17</v>
      </c>
      <c r="B487" s="156">
        <v>270</v>
      </c>
      <c r="C487" s="174">
        <v>270</v>
      </c>
      <c r="D487" s="156">
        <v>270</v>
      </c>
      <c r="E487" s="175">
        <v>270</v>
      </c>
      <c r="F487" s="175">
        <v>270</v>
      </c>
      <c r="G487" s="156">
        <v>270</v>
      </c>
      <c r="H487" s="156">
        <v>270</v>
      </c>
      <c r="I487" s="156">
        <v>270</v>
      </c>
      <c r="J487" s="156">
        <v>270</v>
      </c>
      <c r="K487" s="156">
        <v>270</v>
      </c>
      <c r="L487" s="156">
        <v>270</v>
      </c>
    </row>
    <row r="488" spans="1:13" x14ac:dyDescent="0.25">
      <c r="A488" s="10" t="s">
        <v>18</v>
      </c>
      <c r="B488" s="156">
        <v>370</v>
      </c>
      <c r="C488" s="174">
        <v>370</v>
      </c>
      <c r="D488" s="156">
        <v>370</v>
      </c>
      <c r="E488" s="175">
        <v>343</v>
      </c>
      <c r="F488" s="175">
        <v>343</v>
      </c>
      <c r="G488" s="156">
        <f>G487*1.4-35-20</f>
        <v>323</v>
      </c>
      <c r="H488" s="156">
        <f>H487*1.4-35-20</f>
        <v>323</v>
      </c>
      <c r="I488" s="156">
        <f>I487*1.4-35-20</f>
        <v>323</v>
      </c>
      <c r="J488" s="156">
        <v>323</v>
      </c>
      <c r="K488" s="156">
        <f>K487+0.4*I487-35-20</f>
        <v>323</v>
      </c>
      <c r="L488" s="156">
        <v>378</v>
      </c>
    </row>
    <row r="489" spans="1:13" x14ac:dyDescent="0.25">
      <c r="A489" s="10" t="s">
        <v>19</v>
      </c>
      <c r="B489" s="176" t="s">
        <v>92</v>
      </c>
      <c r="C489" s="176" t="s">
        <v>92</v>
      </c>
      <c r="D489" s="176" t="s">
        <v>92</v>
      </c>
      <c r="E489" s="177" t="s">
        <v>93</v>
      </c>
      <c r="F489" s="177" t="s">
        <v>93</v>
      </c>
      <c r="G489" s="183" t="s">
        <v>351</v>
      </c>
      <c r="H489" s="183" t="s">
        <v>351</v>
      </c>
      <c r="I489" s="183" t="s">
        <v>351</v>
      </c>
      <c r="J489" s="183" t="s">
        <v>351</v>
      </c>
      <c r="K489" s="183" t="s">
        <v>351</v>
      </c>
      <c r="L489" s="156" t="s">
        <v>1161</v>
      </c>
    </row>
    <row r="490" spans="1:13" x14ac:dyDescent="0.25">
      <c r="A490" s="10" t="s">
        <v>20</v>
      </c>
      <c r="B490" s="156">
        <v>115</v>
      </c>
      <c r="C490" s="156">
        <v>151.72</v>
      </c>
      <c r="D490" s="156">
        <v>95.51</v>
      </c>
      <c r="E490" s="156">
        <v>169.22</v>
      </c>
      <c r="F490" s="175">
        <v>122.25</v>
      </c>
      <c r="G490" s="156">
        <v>157.75</v>
      </c>
      <c r="H490" s="156">
        <v>68</v>
      </c>
      <c r="I490" s="156">
        <v>150</v>
      </c>
      <c r="J490" s="156">
        <v>183</v>
      </c>
      <c r="K490" s="156">
        <v>199</v>
      </c>
      <c r="L490" s="156"/>
    </row>
    <row r="491" spans="1:13" x14ac:dyDescent="0.25">
      <c r="A491" s="10" t="s">
        <v>21</v>
      </c>
      <c r="B491" s="156">
        <v>255</v>
      </c>
      <c r="C491" s="156">
        <f>C488-C490</f>
        <v>218.28</v>
      </c>
      <c r="D491" s="156">
        <f>D488-D490</f>
        <v>274.49</v>
      </c>
      <c r="E491" s="156">
        <v>173.78</v>
      </c>
      <c r="F491" s="175">
        <f t="shared" ref="F491:K491" si="21">F488-F490</f>
        <v>220.75</v>
      </c>
      <c r="G491" s="156">
        <f t="shared" si="21"/>
        <v>165.25</v>
      </c>
      <c r="H491" s="156">
        <f t="shared" si="21"/>
        <v>255</v>
      </c>
      <c r="I491" s="156">
        <f t="shared" si="21"/>
        <v>173</v>
      </c>
      <c r="J491" s="156">
        <f t="shared" si="21"/>
        <v>140</v>
      </c>
      <c r="K491" s="156">
        <f t="shared" si="21"/>
        <v>124</v>
      </c>
      <c r="L491" s="156"/>
    </row>
    <row r="492" spans="1:13" x14ac:dyDescent="0.25">
      <c r="A492" s="16" t="s">
        <v>22</v>
      </c>
      <c r="B492" s="159">
        <v>2017</v>
      </c>
      <c r="C492" s="178">
        <v>2018</v>
      </c>
      <c r="D492" s="159">
        <v>2019</v>
      </c>
      <c r="E492" s="179">
        <v>2020</v>
      </c>
      <c r="F492" s="179">
        <v>2021</v>
      </c>
      <c r="G492" s="179">
        <v>2022</v>
      </c>
      <c r="H492" s="179">
        <v>2023</v>
      </c>
      <c r="I492" s="179">
        <v>2024</v>
      </c>
      <c r="J492" s="179">
        <v>2025</v>
      </c>
      <c r="K492" s="179">
        <v>2026</v>
      </c>
      <c r="L492" s="179">
        <v>2027</v>
      </c>
    </row>
    <row r="493" spans="1:13" x14ac:dyDescent="0.25">
      <c r="A493" s="16" t="s">
        <v>23</v>
      </c>
      <c r="B493" s="16"/>
      <c r="C493" s="46"/>
      <c r="D493" s="46"/>
      <c r="E493" s="46"/>
      <c r="F493" s="46"/>
      <c r="G493" s="46"/>
      <c r="H493" s="46"/>
      <c r="I493" s="46"/>
      <c r="J493" s="47"/>
      <c r="K493" s="47"/>
      <c r="L493" s="187"/>
    </row>
    <row r="494" spans="1:13" x14ac:dyDescent="0.25">
      <c r="A494" s="662" t="s">
        <v>94</v>
      </c>
      <c r="B494" s="663"/>
      <c r="C494" s="663"/>
      <c r="D494" s="663"/>
      <c r="E494" s="663"/>
      <c r="F494" s="663"/>
      <c r="G494" s="46"/>
      <c r="H494" s="46"/>
      <c r="I494" s="46"/>
      <c r="J494" s="46"/>
      <c r="K494" s="19"/>
      <c r="L494" s="63"/>
    </row>
    <row r="495" spans="1:13" x14ac:dyDescent="0.25">
      <c r="A495" s="161" t="s">
        <v>348</v>
      </c>
      <c r="B495" s="32"/>
      <c r="C495" s="32"/>
      <c r="D495" s="32"/>
      <c r="E495" s="32"/>
      <c r="F495" s="32"/>
      <c r="L495" s="64"/>
    </row>
    <row r="496" spans="1:13" x14ac:dyDescent="0.25">
      <c r="A496" s="161" t="s">
        <v>349</v>
      </c>
      <c r="B496" s="32"/>
      <c r="C496" s="32"/>
      <c r="D496" s="32"/>
      <c r="E496" s="32"/>
      <c r="F496" s="32"/>
      <c r="L496" s="64"/>
    </row>
    <row r="497" spans="1:12" ht="13.2" customHeight="1" x14ac:dyDescent="0.25">
      <c r="A497" s="39" t="s">
        <v>350</v>
      </c>
      <c r="L497" s="64"/>
    </row>
    <row r="498" spans="1:12" x14ac:dyDescent="0.25">
      <c r="A498" s="161" t="s">
        <v>445</v>
      </c>
      <c r="B498" s="32"/>
      <c r="C498" s="32"/>
      <c r="D498" s="32"/>
      <c r="E498" s="32"/>
      <c r="F498" s="32"/>
      <c r="L498" s="64"/>
    </row>
    <row r="499" spans="1:12" x14ac:dyDescent="0.25">
      <c r="A499" s="161" t="s">
        <v>446</v>
      </c>
      <c r="B499" s="32"/>
      <c r="C499" s="32"/>
      <c r="D499" s="32"/>
      <c r="E499" s="32"/>
      <c r="F499" s="32"/>
      <c r="L499" s="64"/>
    </row>
    <row r="500" spans="1:12" x14ac:dyDescent="0.25">
      <c r="A500" s="39" t="s">
        <v>655</v>
      </c>
      <c r="B500" s="32"/>
      <c r="C500" s="32"/>
      <c r="D500" s="32"/>
      <c r="E500" s="32"/>
      <c r="F500" s="32"/>
      <c r="L500" s="64"/>
    </row>
    <row r="501" spans="1:12" x14ac:dyDescent="0.25">
      <c r="A501" s="39" t="s">
        <v>779</v>
      </c>
      <c r="L501" s="64"/>
    </row>
    <row r="502" spans="1:12" x14ac:dyDescent="0.25">
      <c r="A502" s="39" t="s">
        <v>971</v>
      </c>
      <c r="L502" s="64"/>
    </row>
    <row r="503" spans="1:12" x14ac:dyDescent="0.25">
      <c r="A503" s="42" t="s">
        <v>1162</v>
      </c>
      <c r="B503" s="34"/>
      <c r="C503" s="34"/>
      <c r="D503" s="34"/>
      <c r="E503" s="34"/>
      <c r="F503" s="34"/>
      <c r="G503" s="34"/>
      <c r="H503" s="34"/>
      <c r="I503" s="34"/>
      <c r="J503" s="34"/>
      <c r="K503" s="34"/>
      <c r="L503" s="48"/>
    </row>
    <row r="505" spans="1:12" x14ac:dyDescent="0.25">
      <c r="A505" s="6" t="s">
        <v>14</v>
      </c>
      <c r="B505" s="7" t="s">
        <v>641</v>
      </c>
      <c r="C505" s="9" t="s">
        <v>15</v>
      </c>
    </row>
    <row r="506" spans="1:12" x14ac:dyDescent="0.25">
      <c r="A506" s="10" t="s">
        <v>16</v>
      </c>
      <c r="B506" s="154">
        <v>2015</v>
      </c>
      <c r="C506" s="172">
        <v>2016</v>
      </c>
      <c r="D506" s="154">
        <v>2017</v>
      </c>
      <c r="E506" s="173">
        <v>2018</v>
      </c>
      <c r="F506" s="173">
        <v>2019</v>
      </c>
      <c r="G506" s="154">
        <v>2020</v>
      </c>
      <c r="H506" s="154">
        <v>2021</v>
      </c>
      <c r="I506" s="154">
        <v>2022</v>
      </c>
      <c r="J506" s="154">
        <v>2023</v>
      </c>
      <c r="K506" s="154">
        <v>2024</v>
      </c>
      <c r="L506" s="90">
        <v>2025</v>
      </c>
    </row>
    <row r="507" spans="1:12" x14ac:dyDescent="0.25">
      <c r="A507" s="10" t="s">
        <v>17</v>
      </c>
      <c r="B507" s="156">
        <v>459</v>
      </c>
      <c r="C507" s="174">
        <v>459</v>
      </c>
      <c r="D507" s="156">
        <v>459</v>
      </c>
      <c r="E507" s="175">
        <v>459</v>
      </c>
      <c r="F507" s="175">
        <v>459</v>
      </c>
      <c r="G507" s="156">
        <v>459</v>
      </c>
      <c r="H507" s="156">
        <v>459</v>
      </c>
      <c r="I507" s="156">
        <v>459</v>
      </c>
      <c r="J507" s="156">
        <v>459</v>
      </c>
      <c r="K507" s="156">
        <v>459</v>
      </c>
      <c r="L507" s="90">
        <v>459</v>
      </c>
    </row>
    <row r="508" spans="1:12" x14ac:dyDescent="0.25">
      <c r="A508" s="10" t="s">
        <v>18</v>
      </c>
      <c r="B508" s="156">
        <v>587.9</v>
      </c>
      <c r="C508" s="174">
        <v>535.9</v>
      </c>
      <c r="D508" s="156">
        <v>516.9</v>
      </c>
      <c r="E508" s="175">
        <v>559.9</v>
      </c>
      <c r="F508" s="175">
        <v>546.79999999999995</v>
      </c>
      <c r="G508" s="156">
        <v>550.79999999999995</v>
      </c>
      <c r="H508" s="156">
        <v>550.79999999999995</v>
      </c>
      <c r="I508" s="156">
        <f>I507+H511</f>
        <v>477.79999999999995</v>
      </c>
      <c r="J508" s="156">
        <f>J507+0.1*I507</f>
        <v>504.9</v>
      </c>
      <c r="K508" s="156">
        <f>K507+0.1*J507</f>
        <v>504.9</v>
      </c>
      <c r="L508" s="90">
        <v>504.9</v>
      </c>
    </row>
    <row r="509" spans="1:12" x14ac:dyDescent="0.25">
      <c r="A509" s="10" t="s">
        <v>19</v>
      </c>
      <c r="B509" s="176" t="s">
        <v>95</v>
      </c>
      <c r="C509" s="176" t="s">
        <v>96</v>
      </c>
      <c r="D509" s="176" t="s">
        <v>97</v>
      </c>
      <c r="E509" s="177" t="s">
        <v>376</v>
      </c>
      <c r="F509" s="177" t="s">
        <v>377</v>
      </c>
      <c r="G509" s="11" t="s">
        <v>352</v>
      </c>
      <c r="H509" s="11" t="s">
        <v>352</v>
      </c>
      <c r="I509" s="11" t="str">
        <f>"=459+18.8"</f>
        <v>=459+18.8</v>
      </c>
      <c r="J509" s="11" t="s">
        <v>780</v>
      </c>
      <c r="K509" s="11" t="s">
        <v>780</v>
      </c>
      <c r="L509" s="90" t="s">
        <v>780</v>
      </c>
    </row>
    <row r="510" spans="1:12" x14ac:dyDescent="0.25">
      <c r="A510" s="10" t="s">
        <v>20</v>
      </c>
      <c r="B510" s="156">
        <v>511</v>
      </c>
      <c r="C510" s="174">
        <v>478</v>
      </c>
      <c r="D510" s="156">
        <v>416</v>
      </c>
      <c r="E510" s="156">
        <v>472.1</v>
      </c>
      <c r="F510" s="175">
        <v>395.31</v>
      </c>
      <c r="G510" s="156">
        <v>353.05</v>
      </c>
      <c r="H510" s="156">
        <v>532</v>
      </c>
      <c r="I510" s="156">
        <v>420</v>
      </c>
      <c r="J510" s="156">
        <v>379</v>
      </c>
      <c r="K510" s="156">
        <v>459</v>
      </c>
      <c r="L510" s="90"/>
    </row>
    <row r="511" spans="1:12" x14ac:dyDescent="0.25">
      <c r="A511" s="10" t="s">
        <v>21</v>
      </c>
      <c r="B511" s="156">
        <v>76.900000000000006</v>
      </c>
      <c r="C511" s="174">
        <v>57.9</v>
      </c>
      <c r="D511" s="156">
        <v>100.9</v>
      </c>
      <c r="E511" s="156">
        <v>87.799999999999955</v>
      </c>
      <c r="F511" s="175">
        <v>151.48999999999995</v>
      </c>
      <c r="G511" s="156">
        <f>G508-G510</f>
        <v>197.74999999999994</v>
      </c>
      <c r="H511" s="156">
        <f>H508-H510</f>
        <v>18.799999999999955</v>
      </c>
      <c r="I511" s="156">
        <f>I508-I510</f>
        <v>57.799999999999955</v>
      </c>
      <c r="J511" s="156">
        <f>J508-J510</f>
        <v>125.89999999999998</v>
      </c>
      <c r="K511" s="156">
        <f>K508-K510</f>
        <v>45.899999999999977</v>
      </c>
      <c r="L511" s="90"/>
    </row>
    <row r="512" spans="1:12" x14ac:dyDescent="0.25">
      <c r="A512" s="16" t="s">
        <v>22</v>
      </c>
      <c r="B512" s="159">
        <v>2016</v>
      </c>
      <c r="C512" s="178">
        <v>2017</v>
      </c>
      <c r="D512" s="159">
        <v>2018</v>
      </c>
      <c r="E512" s="179">
        <v>2019</v>
      </c>
      <c r="F512" s="179">
        <v>2020</v>
      </c>
      <c r="G512" s="179">
        <v>2021</v>
      </c>
      <c r="H512" s="179">
        <v>2022</v>
      </c>
      <c r="I512" s="179">
        <v>2023</v>
      </c>
      <c r="J512" s="179">
        <v>2024</v>
      </c>
      <c r="K512" s="179">
        <v>2025</v>
      </c>
      <c r="L512" s="90">
        <v>2026</v>
      </c>
    </row>
    <row r="513" spans="1:12" x14ac:dyDescent="0.25">
      <c r="A513" s="16" t="s">
        <v>23</v>
      </c>
      <c r="B513" s="29"/>
      <c r="C513" s="30"/>
      <c r="D513" s="30"/>
      <c r="E513" s="30"/>
      <c r="F513" s="30"/>
      <c r="G513" s="30"/>
      <c r="H513" s="30"/>
      <c r="I513" s="30"/>
      <c r="J513" s="30"/>
      <c r="K513" s="30"/>
      <c r="L513" s="88"/>
    </row>
    <row r="514" spans="1:12" ht="13.2" customHeight="1" x14ac:dyDescent="0.25">
      <c r="A514" s="18" t="s">
        <v>98</v>
      </c>
      <c r="B514" s="19"/>
      <c r="C514" s="19"/>
      <c r="D514" s="19"/>
      <c r="E514" s="19"/>
      <c r="F514" s="19"/>
      <c r="G514" s="19"/>
      <c r="H514" s="19"/>
      <c r="I514" s="19"/>
      <c r="J514" s="19"/>
      <c r="K514" s="19"/>
      <c r="L514" s="63"/>
    </row>
    <row r="515" spans="1:12" ht="13.2" customHeight="1" x14ac:dyDescent="0.25">
      <c r="A515" s="660" t="s">
        <v>378</v>
      </c>
      <c r="B515" s="661"/>
      <c r="C515" s="661"/>
      <c r="D515" s="661"/>
      <c r="E515" s="661"/>
      <c r="F515" s="661"/>
      <c r="L515" s="64"/>
    </row>
    <row r="516" spans="1:12" x14ac:dyDescent="0.25">
      <c r="A516" s="161" t="s">
        <v>353</v>
      </c>
      <c r="B516" s="32"/>
      <c r="C516" s="32"/>
      <c r="D516" s="32"/>
      <c r="E516" s="32"/>
      <c r="F516" s="32"/>
      <c r="L516" s="64"/>
    </row>
    <row r="517" spans="1:12" x14ac:dyDescent="0.25">
      <c r="A517" s="161" t="s">
        <v>354</v>
      </c>
      <c r="B517" s="32"/>
      <c r="C517" s="32"/>
      <c r="D517" s="32"/>
      <c r="E517" s="32"/>
      <c r="F517" s="32"/>
      <c r="L517" s="64"/>
    </row>
    <row r="518" spans="1:12" ht="13.2" customHeight="1" x14ac:dyDescent="0.25">
      <c r="A518" s="161" t="s">
        <v>447</v>
      </c>
      <c r="B518" s="32"/>
      <c r="C518" s="32"/>
      <c r="D518" s="32"/>
      <c r="E518" s="32"/>
      <c r="F518" s="32"/>
      <c r="L518" s="64"/>
    </row>
    <row r="519" spans="1:12" ht="13.2" customHeight="1" x14ac:dyDescent="0.25">
      <c r="A519" s="161" t="s">
        <v>448</v>
      </c>
      <c r="B519" s="32"/>
      <c r="C519" s="32"/>
      <c r="D519" s="32"/>
      <c r="E519" s="32"/>
      <c r="F519" s="32"/>
      <c r="L519" s="64"/>
    </row>
    <row r="520" spans="1:12" ht="13.2" customHeight="1" x14ac:dyDescent="0.25">
      <c r="A520" s="161" t="s">
        <v>656</v>
      </c>
      <c r="B520" s="32"/>
      <c r="C520" s="32"/>
      <c r="D520" s="32"/>
      <c r="E520" s="32"/>
      <c r="F520" s="32"/>
      <c r="L520" s="64"/>
    </row>
    <row r="521" spans="1:12" ht="12.75" customHeight="1" x14ac:dyDescent="0.25">
      <c r="A521" s="161" t="s">
        <v>781</v>
      </c>
      <c r="B521" s="32"/>
      <c r="C521" s="32"/>
      <c r="D521" s="32"/>
      <c r="E521" s="32"/>
      <c r="F521" s="32"/>
      <c r="L521" s="64"/>
    </row>
    <row r="522" spans="1:12" ht="12.75" customHeight="1" x14ac:dyDescent="0.25">
      <c r="A522" s="161" t="s">
        <v>1164</v>
      </c>
      <c r="B522" s="32"/>
      <c r="C522" s="32"/>
      <c r="D522" s="32"/>
      <c r="E522" s="32"/>
      <c r="F522" s="32"/>
      <c r="L522" s="64"/>
    </row>
    <row r="523" spans="1:12" ht="12.75" customHeight="1" x14ac:dyDescent="0.25">
      <c r="A523" s="162" t="s">
        <v>1165</v>
      </c>
      <c r="B523" s="22"/>
      <c r="C523" s="22"/>
      <c r="D523" s="22"/>
      <c r="E523" s="22"/>
      <c r="F523" s="22"/>
      <c r="G523" s="34"/>
      <c r="H523" s="34"/>
      <c r="I523" s="34"/>
      <c r="J523" s="34"/>
      <c r="K523" s="34"/>
      <c r="L523" s="48"/>
    </row>
    <row r="525" spans="1:12" x14ac:dyDescent="0.25">
      <c r="A525" s="6" t="s">
        <v>14</v>
      </c>
      <c r="B525" s="7" t="s">
        <v>642</v>
      </c>
      <c r="C525" s="9" t="s">
        <v>15</v>
      </c>
    </row>
    <row r="526" spans="1:12" x14ac:dyDescent="0.25">
      <c r="A526" s="10" t="s">
        <v>16</v>
      </c>
      <c r="B526" s="154">
        <v>2015</v>
      </c>
      <c r="C526" s="172">
        <v>2016</v>
      </c>
      <c r="D526" s="154">
        <v>2017</v>
      </c>
      <c r="E526" s="173">
        <v>2018</v>
      </c>
      <c r="F526" s="173">
        <v>2019</v>
      </c>
      <c r="G526" s="154">
        <v>2020</v>
      </c>
      <c r="H526" s="154">
        <v>2021</v>
      </c>
      <c r="I526" s="154">
        <v>2022</v>
      </c>
      <c r="J526" s="154">
        <v>2023</v>
      </c>
      <c r="K526" s="154">
        <v>2024</v>
      </c>
      <c r="L526" s="154">
        <v>2025</v>
      </c>
    </row>
    <row r="527" spans="1:12" x14ac:dyDescent="0.25">
      <c r="A527" s="10" t="s">
        <v>17</v>
      </c>
      <c r="B527" s="12">
        <v>48.76</v>
      </c>
      <c r="C527" s="188">
        <v>58.28</v>
      </c>
      <c r="D527" s="12">
        <v>69.97</v>
      </c>
      <c r="E527" s="189">
        <v>79</v>
      </c>
      <c r="F527" s="189">
        <v>84</v>
      </c>
      <c r="G527" s="12">
        <v>90</v>
      </c>
      <c r="H527" s="12">
        <v>90</v>
      </c>
      <c r="I527" s="12">
        <v>90</v>
      </c>
      <c r="J527" s="12">
        <v>101</v>
      </c>
      <c r="K527" s="182">
        <v>101</v>
      </c>
      <c r="L527" s="182">
        <v>101</v>
      </c>
    </row>
    <row r="528" spans="1:12" x14ac:dyDescent="0.25">
      <c r="A528" s="10" t="s">
        <v>18</v>
      </c>
      <c r="B528" s="12">
        <v>38.76</v>
      </c>
      <c r="C528" s="188">
        <v>48.28</v>
      </c>
      <c r="D528" s="12">
        <v>59.97</v>
      </c>
      <c r="E528" s="189">
        <v>29</v>
      </c>
      <c r="F528" s="189">
        <v>34</v>
      </c>
      <c r="G528" s="12">
        <f>G527-50</f>
        <v>40</v>
      </c>
      <c r="H528" s="12">
        <f>H527-50</f>
        <v>40</v>
      </c>
      <c r="I528" s="12">
        <f>I527-50</f>
        <v>40</v>
      </c>
      <c r="J528" s="12">
        <v>51</v>
      </c>
      <c r="K528" s="182">
        <v>51</v>
      </c>
      <c r="L528" s="182">
        <v>51</v>
      </c>
    </row>
    <row r="529" spans="1:12" x14ac:dyDescent="0.25">
      <c r="A529" s="10" t="s">
        <v>19</v>
      </c>
      <c r="B529" s="190" t="s">
        <v>99</v>
      </c>
      <c r="C529" s="190" t="s">
        <v>100</v>
      </c>
      <c r="D529" s="190" t="s">
        <v>101</v>
      </c>
      <c r="E529" s="191" t="s">
        <v>102</v>
      </c>
      <c r="F529" s="191" t="s">
        <v>103</v>
      </c>
      <c r="G529" s="183" t="s">
        <v>355</v>
      </c>
      <c r="H529" s="183" t="s">
        <v>355</v>
      </c>
      <c r="I529" s="183" t="s">
        <v>355</v>
      </c>
      <c r="J529" s="183" t="s">
        <v>782</v>
      </c>
      <c r="K529" s="192" t="s">
        <v>1166</v>
      </c>
      <c r="L529" s="193" t="s">
        <v>1166</v>
      </c>
    </row>
    <row r="530" spans="1:12" x14ac:dyDescent="0.25">
      <c r="A530" s="10" t="s">
        <v>20</v>
      </c>
      <c r="B530" s="12">
        <v>0</v>
      </c>
      <c r="C530" s="188">
        <v>0</v>
      </c>
      <c r="D530" s="12">
        <v>0</v>
      </c>
      <c r="E530" s="12">
        <v>0</v>
      </c>
      <c r="F530" s="189">
        <v>0</v>
      </c>
      <c r="G530" s="12">
        <v>0</v>
      </c>
      <c r="H530" s="12">
        <v>0</v>
      </c>
      <c r="I530" s="12">
        <v>0</v>
      </c>
      <c r="J530" s="12">
        <v>0</v>
      </c>
      <c r="K530" s="182">
        <v>0</v>
      </c>
      <c r="L530" s="156"/>
    </row>
    <row r="531" spans="1:12" x14ac:dyDescent="0.25">
      <c r="A531" s="10" t="s">
        <v>21</v>
      </c>
      <c r="B531" s="12">
        <v>38.76</v>
      </c>
      <c r="C531" s="188">
        <v>48.28</v>
      </c>
      <c r="D531" s="12">
        <v>59.97</v>
      </c>
      <c r="E531" s="12">
        <v>29</v>
      </c>
      <c r="F531" s="189">
        <f>F528-F530</f>
        <v>34</v>
      </c>
      <c r="G531" s="12">
        <f>G528-G530</f>
        <v>40</v>
      </c>
      <c r="H531" s="12">
        <f>H528-H530</f>
        <v>40</v>
      </c>
      <c r="I531" s="12">
        <f>I528-I530</f>
        <v>40</v>
      </c>
      <c r="J531" s="12">
        <f t="shared" ref="J531" si="22">J528-J530</f>
        <v>51</v>
      </c>
      <c r="K531" s="12">
        <f>K528-K530</f>
        <v>51</v>
      </c>
      <c r="L531" s="156"/>
    </row>
    <row r="532" spans="1:12" x14ac:dyDescent="0.25">
      <c r="A532" s="16" t="s">
        <v>22</v>
      </c>
      <c r="B532" s="159">
        <v>2016</v>
      </c>
      <c r="C532" s="159">
        <v>2017</v>
      </c>
      <c r="D532" s="159">
        <v>2018</v>
      </c>
      <c r="E532" s="159">
        <v>2019</v>
      </c>
      <c r="F532" s="159">
        <v>2020</v>
      </c>
      <c r="G532" s="159">
        <v>2021</v>
      </c>
      <c r="H532" s="159">
        <v>2022</v>
      </c>
      <c r="I532" s="159">
        <v>2023</v>
      </c>
      <c r="J532" s="159">
        <v>2024</v>
      </c>
      <c r="K532" s="159">
        <v>2025</v>
      </c>
      <c r="L532" s="194">
        <v>2026</v>
      </c>
    </row>
    <row r="533" spans="1:12" x14ac:dyDescent="0.25">
      <c r="A533" s="16" t="s">
        <v>23</v>
      </c>
      <c r="B533" s="46"/>
      <c r="C533" s="46"/>
      <c r="D533" s="46"/>
      <c r="E533" s="46"/>
      <c r="F533" s="46"/>
      <c r="G533" s="46"/>
      <c r="H533" s="46"/>
      <c r="I533" s="46"/>
      <c r="J533" s="47"/>
      <c r="K533" s="47"/>
      <c r="L533" s="90"/>
    </row>
    <row r="534" spans="1:12" x14ac:dyDescent="0.25">
      <c r="A534" s="18" t="s">
        <v>104</v>
      </c>
      <c r="B534" s="19"/>
      <c r="C534" s="19"/>
      <c r="D534" s="19"/>
      <c r="E534" s="19"/>
      <c r="F534" s="19"/>
      <c r="G534" s="19"/>
      <c r="H534" s="19"/>
      <c r="I534" s="19"/>
      <c r="J534" s="19"/>
      <c r="K534" s="19"/>
      <c r="L534" s="63"/>
    </row>
    <row r="535" spans="1:12" x14ac:dyDescent="0.25">
      <c r="A535" s="39" t="s">
        <v>356</v>
      </c>
      <c r="L535" s="64"/>
    </row>
    <row r="536" spans="1:12" x14ac:dyDescent="0.25">
      <c r="A536" s="39" t="s">
        <v>449</v>
      </c>
      <c r="L536" s="64"/>
    </row>
    <row r="537" spans="1:12" x14ac:dyDescent="0.25">
      <c r="A537" s="39" t="s">
        <v>657</v>
      </c>
      <c r="L537" s="64"/>
    </row>
    <row r="538" spans="1:12" x14ac:dyDescent="0.25">
      <c r="A538" s="39" t="s">
        <v>783</v>
      </c>
      <c r="L538" s="64"/>
    </row>
    <row r="539" spans="1:12" x14ac:dyDescent="0.25">
      <c r="A539" s="39" t="s">
        <v>961</v>
      </c>
      <c r="L539" s="64"/>
    </row>
    <row r="540" spans="1:12" x14ac:dyDescent="0.25">
      <c r="A540" s="162" t="s">
        <v>1167</v>
      </c>
      <c r="B540" s="22"/>
      <c r="C540" s="22"/>
      <c r="D540" s="22"/>
      <c r="E540" s="22"/>
      <c r="F540" s="22"/>
      <c r="G540" s="34"/>
      <c r="H540" s="34"/>
      <c r="I540" s="34"/>
      <c r="J540" s="34"/>
      <c r="K540" s="34"/>
      <c r="L540" s="48"/>
    </row>
    <row r="541" spans="1:12" x14ac:dyDescent="0.25">
      <c r="A541" s="41"/>
      <c r="B541" s="34"/>
    </row>
    <row r="542" spans="1:12" x14ac:dyDescent="0.25">
      <c r="A542" s="6" t="s">
        <v>14</v>
      </c>
      <c r="B542" s="7" t="s">
        <v>66</v>
      </c>
      <c r="C542" s="9" t="s">
        <v>15</v>
      </c>
    </row>
    <row r="543" spans="1:12" x14ac:dyDescent="0.25">
      <c r="A543" s="10" t="s">
        <v>16</v>
      </c>
      <c r="B543" s="154">
        <v>2015</v>
      </c>
      <c r="C543" s="172">
        <v>2016</v>
      </c>
      <c r="D543" s="154">
        <v>2017</v>
      </c>
      <c r="E543" s="173">
        <v>2018</v>
      </c>
      <c r="F543" s="173">
        <v>2019</v>
      </c>
      <c r="G543" s="154">
        <v>2020</v>
      </c>
      <c r="H543" s="154">
        <v>2021</v>
      </c>
      <c r="I543" s="154">
        <v>2022</v>
      </c>
      <c r="J543" s="154">
        <v>2023</v>
      </c>
      <c r="K543" s="154">
        <v>2024</v>
      </c>
      <c r="L543" s="154">
        <v>2025</v>
      </c>
    </row>
    <row r="544" spans="1:12" x14ac:dyDescent="0.25">
      <c r="A544" s="10" t="s">
        <v>17</v>
      </c>
      <c r="B544" s="156">
        <v>15583</v>
      </c>
      <c r="C544" s="174">
        <v>11679</v>
      </c>
      <c r="D544" s="156">
        <v>11679</v>
      </c>
      <c r="E544" s="175">
        <v>11679</v>
      </c>
      <c r="F544" s="175">
        <v>11679</v>
      </c>
      <c r="G544" s="156">
        <v>9226.41</v>
      </c>
      <c r="H544" s="156">
        <v>9078.7900000000009</v>
      </c>
      <c r="I544" s="156">
        <v>9152.6</v>
      </c>
      <c r="J544" s="156">
        <v>9152.6</v>
      </c>
      <c r="K544" s="156">
        <v>9152.6</v>
      </c>
      <c r="L544" s="156">
        <v>9151.19</v>
      </c>
    </row>
    <row r="545" spans="1:12" x14ac:dyDescent="0.25">
      <c r="A545" s="10" t="s">
        <v>18</v>
      </c>
      <c r="B545" s="156">
        <v>20187.900000000001</v>
      </c>
      <c r="C545" s="174">
        <v>16353.9</v>
      </c>
      <c r="D545" s="156">
        <f>14016.45</f>
        <v>14016.45</v>
      </c>
      <c r="E545" s="175">
        <v>13653.85</v>
      </c>
      <c r="F545" s="175">
        <v>13653.85</v>
      </c>
      <c r="G545" s="156">
        <f>G544+E544*0.15+223</f>
        <v>11201.26</v>
      </c>
      <c r="H545" s="156">
        <f>H544+0.1*F544+223</f>
        <v>10469.69</v>
      </c>
      <c r="I545" s="156">
        <f>I544+0.1*G544+223</f>
        <v>10298.241</v>
      </c>
      <c r="J545" s="156">
        <f>J544+0.1*H544+223</f>
        <v>10283.479000000001</v>
      </c>
      <c r="K545" s="156">
        <f>K544+0.1*I544+223</f>
        <v>10290.86</v>
      </c>
      <c r="L545" s="156">
        <v>9383.67</v>
      </c>
    </row>
    <row r="546" spans="1:12" ht="26.4" x14ac:dyDescent="0.25">
      <c r="A546" s="10" t="s">
        <v>19</v>
      </c>
      <c r="B546" s="176" t="s">
        <v>105</v>
      </c>
      <c r="C546" s="176" t="s">
        <v>106</v>
      </c>
      <c r="D546" s="176" t="s">
        <v>107</v>
      </c>
      <c r="E546" s="177" t="s">
        <v>108</v>
      </c>
      <c r="F546" s="177" t="s">
        <v>108</v>
      </c>
      <c r="G546" s="195" t="s">
        <v>450</v>
      </c>
      <c r="H546" s="195" t="s">
        <v>1168</v>
      </c>
      <c r="I546" s="195" t="s">
        <v>1169</v>
      </c>
      <c r="J546" s="195" t="s">
        <v>1169</v>
      </c>
      <c r="K546" s="184" t="s">
        <v>1169</v>
      </c>
      <c r="L546" s="184" t="s">
        <v>1234</v>
      </c>
    </row>
    <row r="547" spans="1:12" x14ac:dyDescent="0.25">
      <c r="A547" s="10" t="s">
        <v>20</v>
      </c>
      <c r="B547" s="156">
        <v>16453</v>
      </c>
      <c r="C547" s="174">
        <v>13115</v>
      </c>
      <c r="D547" s="156">
        <v>11845</v>
      </c>
      <c r="E547" s="156">
        <v>11630</v>
      </c>
      <c r="F547" s="175">
        <v>11288</v>
      </c>
      <c r="G547" s="156">
        <v>9226</v>
      </c>
      <c r="H547" s="156">
        <v>4092.6</v>
      </c>
      <c r="I547" s="156">
        <v>8181</v>
      </c>
      <c r="J547" s="156">
        <v>10274</v>
      </c>
      <c r="K547" s="156">
        <v>10144</v>
      </c>
      <c r="L547" s="156"/>
    </row>
    <row r="548" spans="1:12" x14ac:dyDescent="0.25">
      <c r="A548" s="10" t="s">
        <v>21</v>
      </c>
      <c r="B548" s="156">
        <v>3734.9</v>
      </c>
      <c r="C548" s="174">
        <v>3238.9</v>
      </c>
      <c r="D548" s="156">
        <v>2171.4499999999998</v>
      </c>
      <c r="E548" s="156">
        <v>2023.85</v>
      </c>
      <c r="F548" s="175">
        <f t="shared" ref="F548:K548" si="23">F545-F547</f>
        <v>2365.8500000000004</v>
      </c>
      <c r="G548" s="156">
        <f t="shared" si="23"/>
        <v>1975.2600000000002</v>
      </c>
      <c r="H548" s="156">
        <f t="shared" si="23"/>
        <v>6377.09</v>
      </c>
      <c r="I548" s="156">
        <f t="shared" si="23"/>
        <v>2117.241</v>
      </c>
      <c r="J548" s="156">
        <f t="shared" si="23"/>
        <v>9.4790000000011787</v>
      </c>
      <c r="K548" s="156">
        <f t="shared" si="23"/>
        <v>146.86000000000058</v>
      </c>
      <c r="L548" s="156"/>
    </row>
    <row r="549" spans="1:12" x14ac:dyDescent="0.25">
      <c r="A549" s="16" t="s">
        <v>22</v>
      </c>
      <c r="B549" s="159">
        <v>2017</v>
      </c>
      <c r="C549" s="178">
        <v>2018</v>
      </c>
      <c r="D549" s="159">
        <v>2019</v>
      </c>
      <c r="E549" s="159">
        <v>2020</v>
      </c>
      <c r="F549" s="179">
        <v>2021</v>
      </c>
      <c r="G549" s="159">
        <v>2022</v>
      </c>
      <c r="H549" s="159">
        <v>2023</v>
      </c>
      <c r="I549" s="159">
        <v>2024</v>
      </c>
      <c r="J549" s="159">
        <v>2025</v>
      </c>
      <c r="K549" s="159">
        <v>2026</v>
      </c>
      <c r="L549" s="159">
        <v>2027</v>
      </c>
    </row>
    <row r="550" spans="1:12" x14ac:dyDescent="0.25">
      <c r="A550" s="29" t="s">
        <v>23</v>
      </c>
      <c r="B550" s="30"/>
      <c r="C550" s="30"/>
      <c r="D550" s="30"/>
      <c r="E550" s="30"/>
      <c r="F550" s="30"/>
      <c r="G550" s="30"/>
      <c r="H550" s="88"/>
      <c r="I550" s="88"/>
      <c r="J550" s="88"/>
      <c r="K550" s="88"/>
      <c r="L550" s="88"/>
    </row>
    <row r="551" spans="1:12" x14ac:dyDescent="0.25">
      <c r="A551" s="18" t="s">
        <v>109</v>
      </c>
      <c r="B551" s="19"/>
      <c r="C551" s="19"/>
      <c r="D551" s="19"/>
      <c r="E551" s="19"/>
      <c r="F551" s="19"/>
      <c r="G551" s="19"/>
      <c r="H551" s="19"/>
      <c r="I551" s="19"/>
      <c r="J551" s="19"/>
      <c r="K551" s="19"/>
      <c r="L551" s="63"/>
    </row>
    <row r="552" spans="1:12" x14ac:dyDescent="0.25">
      <c r="A552" s="39" t="s">
        <v>357</v>
      </c>
      <c r="L552" s="64"/>
    </row>
    <row r="553" spans="1:12" x14ac:dyDescent="0.25">
      <c r="A553" s="39" t="s">
        <v>357</v>
      </c>
      <c r="L553" s="64"/>
    </row>
    <row r="554" spans="1:12" x14ac:dyDescent="0.25">
      <c r="A554" s="150" t="s">
        <v>1170</v>
      </c>
      <c r="L554" s="64"/>
    </row>
    <row r="555" spans="1:12" x14ac:dyDescent="0.25">
      <c r="A555" s="150" t="s">
        <v>1171</v>
      </c>
      <c r="L555" s="64"/>
    </row>
    <row r="556" spans="1:12" x14ac:dyDescent="0.25">
      <c r="A556" s="196" t="s">
        <v>1172</v>
      </c>
      <c r="B556" s="32"/>
      <c r="C556" s="32"/>
      <c r="D556" s="32"/>
      <c r="E556" s="32"/>
      <c r="F556" s="32"/>
      <c r="L556" s="64"/>
    </row>
    <row r="557" spans="1:12" x14ac:dyDescent="0.25">
      <c r="A557" s="196" t="s">
        <v>1173</v>
      </c>
      <c r="B557" s="32"/>
      <c r="C557" s="32"/>
      <c r="D557" s="32"/>
      <c r="E557" s="32"/>
      <c r="F557" s="32"/>
      <c r="L557" s="64"/>
    </row>
    <row r="558" spans="1:12" x14ac:dyDescent="0.25">
      <c r="A558" s="162" t="s">
        <v>1233</v>
      </c>
      <c r="B558" s="22"/>
      <c r="C558" s="22"/>
      <c r="D558" s="22"/>
      <c r="E558" s="22"/>
      <c r="F558" s="22"/>
      <c r="G558" s="34"/>
      <c r="H558" s="34"/>
      <c r="I558" s="34"/>
      <c r="J558" s="34"/>
      <c r="K558" s="34"/>
      <c r="L558" s="48"/>
    </row>
    <row r="560" spans="1:12" x14ac:dyDescent="0.25">
      <c r="A560" s="6" t="s">
        <v>14</v>
      </c>
      <c r="B560" s="7" t="s">
        <v>74</v>
      </c>
      <c r="C560" s="9" t="s">
        <v>15</v>
      </c>
    </row>
    <row r="561" spans="1:12" x14ac:dyDescent="0.25">
      <c r="A561" s="10" t="s">
        <v>16</v>
      </c>
      <c r="B561" s="154">
        <v>2015</v>
      </c>
      <c r="C561" s="172">
        <v>2016</v>
      </c>
      <c r="D561" s="154">
        <v>2017</v>
      </c>
      <c r="E561" s="173">
        <v>2018</v>
      </c>
      <c r="F561" s="173">
        <v>2019</v>
      </c>
      <c r="G561" s="154">
        <v>2020</v>
      </c>
      <c r="H561" s="154">
        <v>2021</v>
      </c>
      <c r="I561" s="154">
        <v>2022</v>
      </c>
      <c r="J561" s="154">
        <v>2023</v>
      </c>
      <c r="K561" s="154">
        <v>2024</v>
      </c>
      <c r="L561" s="154">
        <v>2025</v>
      </c>
    </row>
    <row r="562" spans="1:12" x14ac:dyDescent="0.25">
      <c r="A562" s="10" t="s">
        <v>17</v>
      </c>
      <c r="B562" s="12">
        <v>150</v>
      </c>
      <c r="C562" s="188">
        <v>150</v>
      </c>
      <c r="D562" s="12">
        <v>150</v>
      </c>
      <c r="E562" s="189">
        <v>150</v>
      </c>
      <c r="F562" s="189">
        <v>150</v>
      </c>
      <c r="G562" s="12">
        <v>126.2</v>
      </c>
      <c r="H562" s="12">
        <v>126.2</v>
      </c>
      <c r="I562" s="12">
        <v>126.2</v>
      </c>
      <c r="J562" s="12">
        <v>126.2</v>
      </c>
      <c r="K562" s="12">
        <v>126.2</v>
      </c>
      <c r="L562" s="12">
        <v>126.2</v>
      </c>
    </row>
    <row r="563" spans="1:12" x14ac:dyDescent="0.25">
      <c r="A563" s="10" t="s">
        <v>18</v>
      </c>
      <c r="B563" s="12">
        <v>165</v>
      </c>
      <c r="C563" s="188">
        <v>165</v>
      </c>
      <c r="D563" s="12">
        <v>165</v>
      </c>
      <c r="E563" s="189">
        <v>165</v>
      </c>
      <c r="F563" s="189">
        <v>165</v>
      </c>
      <c r="G563" s="12">
        <f>G562+0.1*E562</f>
        <v>141.19999999999999</v>
      </c>
      <c r="H563" s="12">
        <f>H562+0.1*F562</f>
        <v>141.19999999999999</v>
      </c>
      <c r="I563" s="12"/>
      <c r="J563" s="12"/>
      <c r="K563" s="12"/>
      <c r="L563" s="12"/>
    </row>
    <row r="564" spans="1:12" x14ac:dyDescent="0.25">
      <c r="A564" s="10" t="s">
        <v>19</v>
      </c>
      <c r="B564" s="190" t="s">
        <v>110</v>
      </c>
      <c r="C564" s="190" t="s">
        <v>110</v>
      </c>
      <c r="D564" s="190" t="s">
        <v>110</v>
      </c>
      <c r="E564" s="191" t="s">
        <v>110</v>
      </c>
      <c r="F564" s="191" t="s">
        <v>110</v>
      </c>
      <c r="G564" s="191" t="s">
        <v>358</v>
      </c>
      <c r="H564" s="191" t="s">
        <v>358</v>
      </c>
      <c r="I564" s="191"/>
      <c r="J564" s="191"/>
      <c r="K564" s="191"/>
      <c r="L564" s="191"/>
    </row>
    <row r="565" spans="1:12" x14ac:dyDescent="0.25">
      <c r="A565" s="10" t="s">
        <v>20</v>
      </c>
      <c r="B565" s="12">
        <v>61</v>
      </c>
      <c r="C565" s="188">
        <v>75</v>
      </c>
      <c r="D565" s="12">
        <v>73</v>
      </c>
      <c r="E565" s="12">
        <v>74</v>
      </c>
      <c r="F565" s="189">
        <v>40</v>
      </c>
      <c r="G565" s="12">
        <v>91.4</v>
      </c>
      <c r="H565" s="12">
        <v>96.1</v>
      </c>
      <c r="I565" s="12">
        <v>58</v>
      </c>
      <c r="J565" s="12">
        <v>71</v>
      </c>
      <c r="K565" s="12">
        <v>126</v>
      </c>
      <c r="L565" s="12"/>
    </row>
    <row r="566" spans="1:12" x14ac:dyDescent="0.25">
      <c r="A566" s="10" t="s">
        <v>21</v>
      </c>
      <c r="B566" s="12">
        <v>104</v>
      </c>
      <c r="C566" s="188">
        <v>90</v>
      </c>
      <c r="D566" s="12">
        <v>92</v>
      </c>
      <c r="E566" s="12">
        <v>91</v>
      </c>
      <c r="F566" s="189">
        <f>F563-F565</f>
        <v>125</v>
      </c>
      <c r="G566" s="12">
        <f>G563-G565</f>
        <v>49.799999999999983</v>
      </c>
      <c r="H566" s="12">
        <f>H563-H565</f>
        <v>45.099999999999994</v>
      </c>
      <c r="I566" s="12">
        <f>I562-I565</f>
        <v>68.2</v>
      </c>
      <c r="J566" s="12">
        <f>J562-J565</f>
        <v>55.2</v>
      </c>
      <c r="K566" s="12">
        <f>K562-K565</f>
        <v>0.20000000000000284</v>
      </c>
      <c r="L566" s="12"/>
    </row>
    <row r="567" spans="1:12" x14ac:dyDescent="0.25">
      <c r="A567" s="16" t="s">
        <v>22</v>
      </c>
      <c r="B567" s="159">
        <v>2017</v>
      </c>
      <c r="C567" s="178">
        <v>2018</v>
      </c>
      <c r="D567" s="159">
        <v>2019</v>
      </c>
      <c r="E567" s="159">
        <v>2020</v>
      </c>
      <c r="F567" s="179">
        <v>2021</v>
      </c>
      <c r="G567" s="159" t="s">
        <v>161</v>
      </c>
      <c r="H567" s="159" t="s">
        <v>161</v>
      </c>
      <c r="I567" s="159" t="s">
        <v>161</v>
      </c>
      <c r="J567" s="159" t="s">
        <v>161</v>
      </c>
      <c r="K567" s="159" t="s">
        <v>161</v>
      </c>
      <c r="L567" s="159" t="s">
        <v>161</v>
      </c>
    </row>
    <row r="568" spans="1:12" x14ac:dyDescent="0.25">
      <c r="A568" s="29" t="s">
        <v>23</v>
      </c>
      <c r="B568" s="30"/>
      <c r="C568" s="30"/>
      <c r="D568" s="30"/>
      <c r="E568" s="30"/>
      <c r="F568" s="30"/>
      <c r="G568" s="30"/>
      <c r="H568" s="88"/>
      <c r="I568" s="88"/>
      <c r="J568" s="30"/>
      <c r="K568" s="30"/>
      <c r="L568" s="88"/>
    </row>
    <row r="569" spans="1:12" x14ac:dyDescent="0.25">
      <c r="A569" s="668" t="s">
        <v>111</v>
      </c>
      <c r="B569" s="669"/>
      <c r="C569" s="669"/>
      <c r="D569" s="669"/>
      <c r="E569" s="669"/>
      <c r="F569" s="669"/>
      <c r="G569" s="19"/>
      <c r="H569" s="19"/>
      <c r="I569" s="19"/>
      <c r="J569" s="19"/>
      <c r="K569" s="19"/>
      <c r="L569" s="63"/>
    </row>
    <row r="570" spans="1:12" x14ac:dyDescent="0.25">
      <c r="A570" s="161" t="s">
        <v>359</v>
      </c>
      <c r="B570" s="32"/>
      <c r="C570" s="32"/>
      <c r="D570" s="32"/>
      <c r="E570" s="32"/>
      <c r="F570" s="32"/>
      <c r="L570" s="64"/>
    </row>
    <row r="571" spans="1:12" x14ac:dyDescent="0.25">
      <c r="A571" s="161" t="s">
        <v>451</v>
      </c>
      <c r="B571" s="32"/>
      <c r="C571" s="32"/>
      <c r="D571" s="32"/>
      <c r="E571" s="32"/>
      <c r="F571" s="32"/>
      <c r="L571" s="64"/>
    </row>
    <row r="572" spans="1:12" x14ac:dyDescent="0.25">
      <c r="A572" s="161" t="s">
        <v>658</v>
      </c>
      <c r="B572" s="32"/>
      <c r="C572" s="32"/>
      <c r="D572" s="32"/>
      <c r="E572" s="32"/>
      <c r="F572" s="32"/>
      <c r="L572" s="64"/>
    </row>
    <row r="573" spans="1:12" x14ac:dyDescent="0.25">
      <c r="A573" s="41" t="s">
        <v>776</v>
      </c>
      <c r="B573" s="34"/>
      <c r="C573" s="34"/>
      <c r="D573" s="34"/>
      <c r="E573" s="34"/>
      <c r="F573" s="34"/>
      <c r="G573" s="34"/>
      <c r="H573" s="34"/>
      <c r="I573" s="34"/>
      <c r="J573" s="34"/>
      <c r="K573" s="34"/>
      <c r="L573" s="48"/>
    </row>
    <row r="575" spans="1:12" x14ac:dyDescent="0.25">
      <c r="A575" s="6" t="s">
        <v>14</v>
      </c>
      <c r="B575" s="7" t="s">
        <v>79</v>
      </c>
      <c r="C575" s="9" t="s">
        <v>15</v>
      </c>
    </row>
    <row r="576" spans="1:12" x14ac:dyDescent="0.25">
      <c r="A576" s="10" t="s">
        <v>16</v>
      </c>
      <c r="B576" s="154">
        <v>2015</v>
      </c>
      <c r="C576" s="172">
        <v>2016</v>
      </c>
      <c r="D576" s="154">
        <v>2017</v>
      </c>
      <c r="E576" s="173">
        <v>2018</v>
      </c>
      <c r="F576" s="173">
        <v>2019</v>
      </c>
      <c r="G576" s="154">
        <v>2020</v>
      </c>
      <c r="H576" s="154">
        <v>2021</v>
      </c>
      <c r="I576" s="154">
        <v>2022</v>
      </c>
      <c r="J576" s="154">
        <v>2023</v>
      </c>
      <c r="K576" s="154">
        <v>2024</v>
      </c>
      <c r="L576" s="154">
        <v>2025</v>
      </c>
    </row>
    <row r="577" spans="1:12" x14ac:dyDescent="0.25">
      <c r="A577" s="10" t="s">
        <v>17</v>
      </c>
      <c r="B577" s="12">
        <v>50</v>
      </c>
      <c r="C577" s="188">
        <v>50</v>
      </c>
      <c r="D577" s="12">
        <v>50</v>
      </c>
      <c r="E577" s="189">
        <v>50</v>
      </c>
      <c r="F577" s="189">
        <v>50</v>
      </c>
      <c r="G577" s="12">
        <v>50</v>
      </c>
      <c r="H577" s="12">
        <v>50</v>
      </c>
      <c r="I577" s="12">
        <v>50</v>
      </c>
      <c r="J577" s="12">
        <v>50</v>
      </c>
      <c r="K577" s="12">
        <v>50</v>
      </c>
      <c r="L577" s="12">
        <v>50</v>
      </c>
    </row>
    <row r="578" spans="1:12" x14ac:dyDescent="0.25">
      <c r="A578" s="10" t="s">
        <v>18</v>
      </c>
      <c r="B578" s="12">
        <v>55</v>
      </c>
      <c r="C578" s="188">
        <v>55</v>
      </c>
      <c r="D578" s="12">
        <v>55</v>
      </c>
      <c r="E578" s="189">
        <v>55</v>
      </c>
      <c r="F578" s="189">
        <v>55</v>
      </c>
      <c r="G578" s="12">
        <f>G577*1.1</f>
        <v>55.000000000000007</v>
      </c>
      <c r="H578" s="12">
        <f>H577*1.1</f>
        <v>55.000000000000007</v>
      </c>
      <c r="I578" s="12"/>
      <c r="J578" s="12"/>
      <c r="K578" s="12"/>
      <c r="L578" s="12"/>
    </row>
    <row r="579" spans="1:12" x14ac:dyDescent="0.25">
      <c r="A579" s="10" t="s">
        <v>19</v>
      </c>
      <c r="B579" s="190" t="s">
        <v>112</v>
      </c>
      <c r="C579" s="190" t="s">
        <v>112</v>
      </c>
      <c r="D579" s="190" t="s">
        <v>112</v>
      </c>
      <c r="E579" s="191" t="s">
        <v>112</v>
      </c>
      <c r="F579" s="191" t="s">
        <v>112</v>
      </c>
      <c r="G579" s="191" t="s">
        <v>112</v>
      </c>
      <c r="H579" s="191" t="s">
        <v>112</v>
      </c>
      <c r="I579" s="191"/>
      <c r="J579" s="191"/>
      <c r="K579" s="191"/>
      <c r="L579" s="191"/>
    </row>
    <row r="580" spans="1:12" x14ac:dyDescent="0.25">
      <c r="A580" s="10" t="s">
        <v>20</v>
      </c>
      <c r="B580" s="12">
        <v>12</v>
      </c>
      <c r="C580" s="12">
        <v>10</v>
      </c>
      <c r="D580" s="12">
        <v>5</v>
      </c>
      <c r="E580" s="12">
        <v>6</v>
      </c>
      <c r="F580" s="12">
        <v>2</v>
      </c>
      <c r="G580" s="12">
        <v>5.4</v>
      </c>
      <c r="H580" s="12">
        <v>5.2</v>
      </c>
      <c r="I580" s="12">
        <v>2</v>
      </c>
      <c r="J580" s="12">
        <v>1.3</v>
      </c>
      <c r="K580" s="12">
        <v>1.7</v>
      </c>
      <c r="L580" s="12"/>
    </row>
    <row r="581" spans="1:12" x14ac:dyDescent="0.25">
      <c r="A581" s="10" t="s">
        <v>21</v>
      </c>
      <c r="B581" s="12">
        <v>43</v>
      </c>
      <c r="C581" s="12">
        <f t="shared" ref="C581:H581" si="24">C578-C580</f>
        <v>45</v>
      </c>
      <c r="D581" s="12">
        <f t="shared" si="24"/>
        <v>50</v>
      </c>
      <c r="E581" s="12">
        <f t="shared" si="24"/>
        <v>49</v>
      </c>
      <c r="F581" s="12">
        <f t="shared" si="24"/>
        <v>53</v>
      </c>
      <c r="G581" s="12">
        <f t="shared" si="24"/>
        <v>49.600000000000009</v>
      </c>
      <c r="H581" s="12">
        <f t="shared" si="24"/>
        <v>49.800000000000004</v>
      </c>
      <c r="I581" s="12">
        <f>I577-I580</f>
        <v>48</v>
      </c>
      <c r="J581" s="12">
        <f>J577-J580</f>
        <v>48.7</v>
      </c>
      <c r="K581" s="12">
        <f>K577-K580</f>
        <v>48.3</v>
      </c>
      <c r="L581" s="12"/>
    </row>
    <row r="582" spans="1:12" x14ac:dyDescent="0.25">
      <c r="A582" s="16" t="s">
        <v>22</v>
      </c>
      <c r="B582" s="159">
        <v>2017</v>
      </c>
      <c r="C582" s="197">
        <v>2018</v>
      </c>
      <c r="D582" s="197">
        <v>2019</v>
      </c>
      <c r="E582" s="197">
        <v>2020</v>
      </c>
      <c r="F582" s="197">
        <v>2021</v>
      </c>
      <c r="G582" s="197" t="s">
        <v>161</v>
      </c>
      <c r="H582" s="197" t="s">
        <v>161</v>
      </c>
      <c r="I582" s="197" t="s">
        <v>161</v>
      </c>
      <c r="J582" s="197" t="s">
        <v>161</v>
      </c>
      <c r="K582" s="197" t="s">
        <v>161</v>
      </c>
      <c r="L582" s="197" t="s">
        <v>161</v>
      </c>
    </row>
    <row r="583" spans="1:12" x14ac:dyDescent="0.25">
      <c r="A583" s="16" t="s">
        <v>23</v>
      </c>
      <c r="B583" s="46"/>
      <c r="C583" s="46"/>
      <c r="D583" s="46"/>
      <c r="E583" s="46"/>
      <c r="F583" s="46"/>
      <c r="G583" s="46"/>
      <c r="H583" s="47"/>
      <c r="I583" s="47"/>
      <c r="J583" s="47"/>
      <c r="K583" s="47"/>
      <c r="L583" s="47"/>
    </row>
    <row r="584" spans="1:12" x14ac:dyDescent="0.25">
      <c r="A584" s="668" t="s">
        <v>113</v>
      </c>
      <c r="B584" s="669"/>
      <c r="C584" s="669"/>
      <c r="D584" s="669"/>
      <c r="E584" s="669"/>
      <c r="F584" s="669"/>
      <c r="G584" s="19"/>
      <c r="H584" s="19"/>
      <c r="I584" s="19"/>
      <c r="J584" s="19"/>
      <c r="K584" s="19"/>
      <c r="L584" s="63"/>
    </row>
    <row r="585" spans="1:12" x14ac:dyDescent="0.25">
      <c r="A585" s="161" t="s">
        <v>360</v>
      </c>
      <c r="B585" s="32"/>
      <c r="C585" s="32"/>
      <c r="D585" s="32"/>
      <c r="E585" s="32"/>
      <c r="F585" s="32"/>
      <c r="L585" s="64"/>
    </row>
    <row r="586" spans="1:12" x14ac:dyDescent="0.25">
      <c r="A586" s="161" t="s">
        <v>452</v>
      </c>
      <c r="B586" s="32"/>
      <c r="C586" s="32"/>
      <c r="D586" s="32"/>
      <c r="E586" s="32"/>
      <c r="F586" s="32"/>
      <c r="L586" s="64"/>
    </row>
    <row r="587" spans="1:12" x14ac:dyDescent="0.25">
      <c r="A587" s="161" t="s">
        <v>659</v>
      </c>
      <c r="B587" s="32"/>
      <c r="C587" s="32"/>
      <c r="D587" s="32"/>
      <c r="E587" s="32"/>
      <c r="F587" s="32"/>
      <c r="L587" s="64"/>
    </row>
    <row r="588" spans="1:12" x14ac:dyDescent="0.25">
      <c r="A588" s="41" t="s">
        <v>776</v>
      </c>
      <c r="B588" s="34"/>
      <c r="C588" s="34"/>
      <c r="D588" s="34"/>
      <c r="E588" s="34"/>
      <c r="F588" s="34"/>
      <c r="G588" s="34"/>
      <c r="H588" s="34"/>
      <c r="I588" s="34"/>
      <c r="J588" s="34"/>
      <c r="K588" s="34"/>
      <c r="L588" s="48"/>
    </row>
    <row r="591" spans="1:12" x14ac:dyDescent="0.25">
      <c r="A591" s="6" t="s">
        <v>12</v>
      </c>
      <c r="B591" s="173" t="s">
        <v>614</v>
      </c>
    </row>
    <row r="592" spans="1:12" x14ac:dyDescent="0.25">
      <c r="A592" s="103" t="s">
        <v>14</v>
      </c>
      <c r="B592" s="104" t="s">
        <v>624</v>
      </c>
      <c r="C592" s="66" t="s">
        <v>152</v>
      </c>
      <c r="D592" s="8"/>
      <c r="E592" s="8"/>
      <c r="F592" s="8"/>
      <c r="G592" s="8"/>
    </row>
    <row r="593" spans="1:10" s="202" customFormat="1" x14ac:dyDescent="0.25">
      <c r="A593" s="198" t="s">
        <v>27</v>
      </c>
      <c r="B593" s="199">
        <v>2016</v>
      </c>
      <c r="C593" s="199">
        <v>2017</v>
      </c>
      <c r="D593" s="200">
        <v>2018</v>
      </c>
      <c r="E593" s="199">
        <v>2019</v>
      </c>
      <c r="F593" s="201">
        <v>2020</v>
      </c>
      <c r="G593" s="201">
        <v>2021</v>
      </c>
      <c r="H593" s="201">
        <v>2022</v>
      </c>
      <c r="I593" s="201">
        <v>2023</v>
      </c>
      <c r="J593" s="201">
        <v>2024</v>
      </c>
    </row>
    <row r="594" spans="1:10" s="202" customFormat="1" x14ac:dyDescent="0.25">
      <c r="A594" s="198" t="s">
        <v>28</v>
      </c>
      <c r="B594" s="203">
        <v>200</v>
      </c>
      <c r="C594" s="203">
        <v>200</v>
      </c>
      <c r="D594" s="203">
        <v>200</v>
      </c>
      <c r="E594" s="203">
        <v>215</v>
      </c>
      <c r="F594" s="204">
        <v>215</v>
      </c>
      <c r="G594" s="204">
        <v>242</v>
      </c>
      <c r="H594" s="203">
        <v>242</v>
      </c>
      <c r="I594" s="203">
        <v>242</v>
      </c>
      <c r="J594" s="203">
        <v>302</v>
      </c>
    </row>
    <row r="595" spans="1:10" s="202" customFormat="1" x14ac:dyDescent="0.25">
      <c r="A595" s="198" t="s">
        <v>29</v>
      </c>
      <c r="B595" s="205">
        <f>(B594+0.25*200)</f>
        <v>250</v>
      </c>
      <c r="C595" s="205">
        <f>(C594+0.25*B594)</f>
        <v>250</v>
      </c>
      <c r="D595" s="205">
        <f t="shared" ref="D595:J595" si="25">(D594+0.25*C594)</f>
        <v>250</v>
      </c>
      <c r="E595" s="205">
        <f t="shared" si="25"/>
        <v>265</v>
      </c>
      <c r="F595" s="205">
        <f t="shared" si="25"/>
        <v>268.75</v>
      </c>
      <c r="G595" s="205">
        <f t="shared" si="25"/>
        <v>295.75</v>
      </c>
      <c r="H595" s="206">
        <f t="shared" si="25"/>
        <v>302.5</v>
      </c>
      <c r="I595" s="206">
        <f t="shared" si="25"/>
        <v>302.5</v>
      </c>
      <c r="J595" s="206">
        <f t="shared" si="25"/>
        <v>362.5</v>
      </c>
    </row>
    <row r="596" spans="1:10" s="202" customFormat="1" x14ac:dyDescent="0.25">
      <c r="A596" s="198" t="s">
        <v>30</v>
      </c>
      <c r="B596" s="205"/>
      <c r="C596" s="205"/>
      <c r="D596" s="207"/>
      <c r="E596" s="205"/>
      <c r="F596" s="208"/>
      <c r="G596" s="208"/>
      <c r="H596" s="208"/>
      <c r="I596" s="208"/>
      <c r="J596" s="208"/>
    </row>
    <row r="597" spans="1:10" s="202" customFormat="1" x14ac:dyDescent="0.25">
      <c r="A597" s="198" t="s">
        <v>31</v>
      </c>
      <c r="B597" s="203">
        <v>4.6470000000000002</v>
      </c>
      <c r="C597" s="203">
        <v>11.226000000000001</v>
      </c>
      <c r="D597" s="203">
        <v>4.8979999999999997</v>
      </c>
      <c r="E597" s="204">
        <v>1.35</v>
      </c>
      <c r="F597" s="204">
        <v>0.64</v>
      </c>
      <c r="G597" s="204">
        <v>2.34</v>
      </c>
      <c r="H597" s="208">
        <v>1.49</v>
      </c>
      <c r="I597" s="208">
        <v>0.66</v>
      </c>
      <c r="J597" s="208">
        <v>1.0329999999999999</v>
      </c>
    </row>
    <row r="598" spans="1:10" s="202" customFormat="1" x14ac:dyDescent="0.25">
      <c r="A598" s="198" t="s">
        <v>32</v>
      </c>
      <c r="B598" s="206">
        <f t="shared" ref="B598:J598" si="26">B595-B597</f>
        <v>245.35300000000001</v>
      </c>
      <c r="C598" s="206">
        <f t="shared" si="26"/>
        <v>238.774</v>
      </c>
      <c r="D598" s="206">
        <f t="shared" si="26"/>
        <v>245.102</v>
      </c>
      <c r="E598" s="206">
        <f t="shared" si="26"/>
        <v>263.64999999999998</v>
      </c>
      <c r="F598" s="206">
        <f t="shared" si="26"/>
        <v>268.11</v>
      </c>
      <c r="G598" s="206">
        <f t="shared" si="26"/>
        <v>293.41000000000003</v>
      </c>
      <c r="H598" s="206">
        <f t="shared" si="26"/>
        <v>301.01</v>
      </c>
      <c r="I598" s="206">
        <f t="shared" si="26"/>
        <v>301.83999999999997</v>
      </c>
      <c r="J598" s="206">
        <f t="shared" si="26"/>
        <v>361.46699999999998</v>
      </c>
    </row>
    <row r="599" spans="1:10" s="202" customFormat="1" x14ac:dyDescent="0.25">
      <c r="A599" s="209" t="s">
        <v>33</v>
      </c>
      <c r="B599" s="210">
        <v>2017</v>
      </c>
      <c r="C599" s="210">
        <v>2018</v>
      </c>
      <c r="D599" s="211">
        <v>2019</v>
      </c>
      <c r="E599" s="210">
        <v>2020</v>
      </c>
      <c r="F599" s="212">
        <v>2021</v>
      </c>
      <c r="G599" s="212">
        <v>2022</v>
      </c>
      <c r="H599" s="212">
        <v>2023</v>
      </c>
      <c r="I599" s="212">
        <v>2024</v>
      </c>
      <c r="J599" s="212">
        <v>2026</v>
      </c>
    </row>
    <row r="600" spans="1:10" s="202" customFormat="1" x14ac:dyDescent="0.25">
      <c r="A600" s="209" t="s">
        <v>34</v>
      </c>
      <c r="B600" s="213"/>
      <c r="C600" s="213"/>
      <c r="D600" s="213"/>
      <c r="E600" s="213"/>
      <c r="F600" s="213"/>
      <c r="G600" s="213"/>
      <c r="H600" s="213"/>
      <c r="I600" s="214"/>
      <c r="J600" s="214"/>
    </row>
    <row r="601" spans="1:10" s="202" customFormat="1" x14ac:dyDescent="0.25">
      <c r="A601" s="209" t="s">
        <v>615</v>
      </c>
      <c r="B601" s="213"/>
      <c r="C601" s="213"/>
      <c r="D601" s="213"/>
      <c r="E601" s="213"/>
      <c r="F601" s="213"/>
      <c r="G601" s="213"/>
      <c r="H601" s="213"/>
      <c r="I601" s="213"/>
      <c r="J601" s="214"/>
    </row>
    <row r="602" spans="1:10" s="202" customFormat="1" x14ac:dyDescent="0.25">
      <c r="A602" s="81" t="s">
        <v>616</v>
      </c>
      <c r="B602" s="83"/>
      <c r="C602" s="83"/>
      <c r="D602" s="83"/>
      <c r="E602" s="83"/>
      <c r="F602" s="83"/>
      <c r="G602" s="83"/>
      <c r="H602" s="83"/>
      <c r="I602" s="83"/>
      <c r="J602" s="215"/>
    </row>
    <row r="603" spans="1:10" s="202" customFormat="1" x14ac:dyDescent="0.25">
      <c r="A603" s="81" t="s">
        <v>617</v>
      </c>
      <c r="B603" s="83"/>
      <c r="C603" s="83"/>
      <c r="D603" s="83"/>
      <c r="E603" s="83"/>
      <c r="F603" s="83"/>
      <c r="G603" s="83"/>
      <c r="H603" s="83"/>
      <c r="I603" s="83"/>
      <c r="J603" s="215"/>
    </row>
    <row r="604" spans="1:10" s="202" customFormat="1" x14ac:dyDescent="0.25">
      <c r="A604" s="81" t="s">
        <v>618</v>
      </c>
      <c r="B604" s="83"/>
      <c r="C604" s="83"/>
      <c r="D604" s="83"/>
      <c r="E604" s="83"/>
      <c r="F604" s="83"/>
      <c r="G604" s="83"/>
      <c r="H604" s="83"/>
      <c r="I604" s="83"/>
      <c r="J604" s="215"/>
    </row>
    <row r="605" spans="1:10" s="202" customFormat="1" x14ac:dyDescent="0.25">
      <c r="A605" s="81" t="s">
        <v>619</v>
      </c>
      <c r="B605" s="83"/>
      <c r="C605" s="83"/>
      <c r="D605" s="83"/>
      <c r="E605" s="83"/>
      <c r="F605" s="83"/>
      <c r="G605" s="83"/>
      <c r="H605" s="83"/>
      <c r="I605" s="83"/>
      <c r="J605" s="215"/>
    </row>
    <row r="606" spans="1:10" s="202" customFormat="1" x14ac:dyDescent="0.25">
      <c r="A606" s="81" t="s">
        <v>620</v>
      </c>
      <c r="B606" s="83"/>
      <c r="C606" s="83"/>
      <c r="D606" s="83"/>
      <c r="E606" s="83"/>
      <c r="F606" s="83"/>
      <c r="G606" s="83"/>
      <c r="H606" s="83"/>
      <c r="I606" s="83"/>
      <c r="J606" s="215"/>
    </row>
    <row r="607" spans="1:10" s="202" customFormat="1" x14ac:dyDescent="0.25">
      <c r="A607" s="81" t="s">
        <v>621</v>
      </c>
      <c r="B607" s="83"/>
      <c r="C607" s="83"/>
      <c r="D607" s="83"/>
      <c r="E607" s="83"/>
      <c r="F607" s="83"/>
      <c r="G607" s="83"/>
      <c r="H607" s="83"/>
      <c r="I607" s="83"/>
      <c r="J607" s="215"/>
    </row>
    <row r="608" spans="1:10" s="202" customFormat="1" x14ac:dyDescent="0.25">
      <c r="A608" s="81" t="s">
        <v>622</v>
      </c>
      <c r="B608" s="83"/>
      <c r="C608" s="83"/>
      <c r="D608" s="83"/>
      <c r="E608" s="83"/>
      <c r="F608" s="83"/>
      <c r="G608" s="83"/>
      <c r="H608" s="83"/>
      <c r="I608" s="83"/>
      <c r="J608" s="215"/>
    </row>
    <row r="609" spans="1:11" s="202" customFormat="1" x14ac:dyDescent="0.25">
      <c r="A609" s="81" t="s">
        <v>784</v>
      </c>
      <c r="B609" s="83"/>
      <c r="C609" s="83"/>
      <c r="D609" s="83"/>
      <c r="E609" s="83"/>
      <c r="F609" s="83"/>
      <c r="G609" s="83"/>
      <c r="H609" s="83"/>
      <c r="I609" s="83"/>
      <c r="J609" s="215"/>
    </row>
    <row r="610" spans="1:11" s="202" customFormat="1" x14ac:dyDescent="0.25">
      <c r="A610" s="84" t="s">
        <v>1001</v>
      </c>
      <c r="B610" s="116"/>
      <c r="C610" s="116"/>
      <c r="D610" s="116"/>
      <c r="E610" s="116"/>
      <c r="F610" s="116"/>
      <c r="G610" s="116"/>
      <c r="H610" s="116"/>
      <c r="I610" s="116"/>
      <c r="J610" s="216"/>
    </row>
    <row r="611" spans="1:11" s="202" customFormat="1" x14ac:dyDescent="0.25">
      <c r="A611" s="83"/>
      <c r="B611" s="83"/>
      <c r="C611" s="83"/>
      <c r="D611" s="83"/>
      <c r="E611" s="83"/>
      <c r="F611" s="83"/>
      <c r="G611" s="83"/>
      <c r="H611" s="83"/>
      <c r="I611" s="83"/>
    </row>
    <row r="612" spans="1:11" x14ac:dyDescent="0.25">
      <c r="A612" s="98" t="s">
        <v>14</v>
      </c>
      <c r="B612" s="66" t="s">
        <v>623</v>
      </c>
      <c r="C612" s="66" t="s">
        <v>152</v>
      </c>
      <c r="D612" s="138"/>
      <c r="E612" s="138"/>
      <c r="F612" s="138"/>
      <c r="G612" s="138"/>
    </row>
    <row r="613" spans="1:11" s="202" customFormat="1" x14ac:dyDescent="0.25">
      <c r="A613" s="198" t="s">
        <v>27</v>
      </c>
      <c r="B613" s="199">
        <v>2016</v>
      </c>
      <c r="C613" s="199">
        <v>2017</v>
      </c>
      <c r="D613" s="200">
        <v>2018</v>
      </c>
      <c r="E613" s="199">
        <v>2019</v>
      </c>
      <c r="F613" s="201">
        <v>2020</v>
      </c>
      <c r="G613" s="201">
        <v>2021</v>
      </c>
      <c r="H613" s="201">
        <v>2022</v>
      </c>
      <c r="I613" s="201">
        <v>2023</v>
      </c>
      <c r="J613" s="201">
        <v>2024</v>
      </c>
      <c r="K613" s="201">
        <v>2025</v>
      </c>
    </row>
    <row r="614" spans="1:11" s="202" customFormat="1" x14ac:dyDescent="0.25">
      <c r="A614" s="198" t="s">
        <v>28</v>
      </c>
      <c r="B614" s="217">
        <v>0</v>
      </c>
      <c r="C614" s="217">
        <v>0</v>
      </c>
      <c r="D614" s="217">
        <v>0</v>
      </c>
      <c r="E614" s="217">
        <v>0</v>
      </c>
      <c r="F614" s="218">
        <v>0</v>
      </c>
      <c r="G614" s="218">
        <v>0</v>
      </c>
      <c r="H614" s="217">
        <v>0</v>
      </c>
      <c r="I614" s="217">
        <v>0</v>
      </c>
      <c r="J614" s="217">
        <v>0</v>
      </c>
      <c r="K614" s="219">
        <v>375</v>
      </c>
    </row>
    <row r="615" spans="1:11" s="202" customFormat="1" x14ac:dyDescent="0.25">
      <c r="A615" s="198" t="s">
        <v>29</v>
      </c>
      <c r="B615" s="220">
        <v>-19.86</v>
      </c>
      <c r="C615" s="221">
        <f t="shared" ref="C615:K615" si="27">B618</f>
        <v>-48.64</v>
      </c>
      <c r="D615" s="221">
        <f t="shared" si="27"/>
        <v>-96.69</v>
      </c>
      <c r="E615" s="221">
        <f t="shared" si="27"/>
        <v>-149.34</v>
      </c>
      <c r="F615" s="221">
        <f t="shared" si="27"/>
        <v>-172.85</v>
      </c>
      <c r="G615" s="221">
        <f t="shared" si="27"/>
        <v>-196.03</v>
      </c>
      <c r="H615" s="221">
        <f t="shared" si="27"/>
        <v>-246.64</v>
      </c>
      <c r="I615" s="221">
        <f t="shared" si="27"/>
        <v>-272.18</v>
      </c>
      <c r="J615" s="221">
        <f t="shared" si="27"/>
        <v>-299.51600000000002</v>
      </c>
      <c r="K615" s="222">
        <f t="shared" si="27"/>
        <v>-338.07500000000005</v>
      </c>
    </row>
    <row r="616" spans="1:11" s="202" customFormat="1" x14ac:dyDescent="0.25">
      <c r="A616" s="198" t="s">
        <v>30</v>
      </c>
      <c r="B616" s="205" t="s">
        <v>399</v>
      </c>
      <c r="C616" s="207" t="s">
        <v>400</v>
      </c>
      <c r="D616" s="205" t="s">
        <v>401</v>
      </c>
      <c r="E616" s="208" t="s">
        <v>402</v>
      </c>
      <c r="F616" s="208" t="s">
        <v>566</v>
      </c>
      <c r="G616" s="208" t="s">
        <v>604</v>
      </c>
      <c r="H616" s="208" t="s">
        <v>625</v>
      </c>
      <c r="I616" s="208" t="s">
        <v>785</v>
      </c>
      <c r="J616" s="208" t="s">
        <v>1002</v>
      </c>
      <c r="K616" s="114" t="s">
        <v>1174</v>
      </c>
    </row>
    <row r="617" spans="1:11" s="202" customFormat="1" x14ac:dyDescent="0.25">
      <c r="A617" s="198" t="s">
        <v>31</v>
      </c>
      <c r="B617" s="217">
        <v>28.78</v>
      </c>
      <c r="C617" s="217">
        <v>48.05</v>
      </c>
      <c r="D617" s="217">
        <v>52.65</v>
      </c>
      <c r="E617" s="218">
        <v>23.51</v>
      </c>
      <c r="F617" s="218">
        <v>23.18</v>
      </c>
      <c r="G617" s="218">
        <v>50.61</v>
      </c>
      <c r="H617" s="223">
        <v>25.54</v>
      </c>
      <c r="I617" s="223">
        <v>27.335999999999999</v>
      </c>
      <c r="J617" s="223">
        <v>38.558999999999997</v>
      </c>
      <c r="K617" s="219"/>
    </row>
    <row r="618" spans="1:11" s="202" customFormat="1" x14ac:dyDescent="0.25">
      <c r="A618" s="198" t="s">
        <v>32</v>
      </c>
      <c r="B618" s="206">
        <f t="shared" ref="B618:J618" si="28">B615-B617</f>
        <v>-48.64</v>
      </c>
      <c r="C618" s="206">
        <f t="shared" si="28"/>
        <v>-96.69</v>
      </c>
      <c r="D618" s="206">
        <f t="shared" si="28"/>
        <v>-149.34</v>
      </c>
      <c r="E618" s="206">
        <f t="shared" si="28"/>
        <v>-172.85</v>
      </c>
      <c r="F618" s="206">
        <f t="shared" si="28"/>
        <v>-196.03</v>
      </c>
      <c r="G618" s="206">
        <f t="shared" si="28"/>
        <v>-246.64</v>
      </c>
      <c r="H618" s="224">
        <f t="shared" si="28"/>
        <v>-272.18</v>
      </c>
      <c r="I618" s="224">
        <f t="shared" si="28"/>
        <v>-299.51600000000002</v>
      </c>
      <c r="J618" s="224">
        <f t="shared" si="28"/>
        <v>-338.07500000000005</v>
      </c>
      <c r="K618" s="219"/>
    </row>
    <row r="619" spans="1:11" s="202" customFormat="1" x14ac:dyDescent="0.25">
      <c r="A619" s="209" t="s">
        <v>33</v>
      </c>
      <c r="B619" s="225">
        <v>2017</v>
      </c>
      <c r="C619" s="225">
        <v>2018</v>
      </c>
      <c r="D619" s="213">
        <v>2019</v>
      </c>
      <c r="E619" s="225">
        <v>2020</v>
      </c>
      <c r="F619" s="214">
        <v>2021</v>
      </c>
      <c r="G619" s="214">
        <v>2022</v>
      </c>
      <c r="H619" s="214">
        <v>2023</v>
      </c>
      <c r="I619" s="214">
        <v>2024</v>
      </c>
      <c r="J619" s="214">
        <v>2025</v>
      </c>
      <c r="K619" s="219">
        <v>2026</v>
      </c>
    </row>
    <row r="620" spans="1:11" s="202" customFormat="1" x14ac:dyDescent="0.25">
      <c r="A620" s="226" t="s">
        <v>34</v>
      </c>
      <c r="B620" s="227"/>
      <c r="C620" s="227"/>
      <c r="D620" s="227"/>
      <c r="E620" s="227"/>
      <c r="F620" s="227"/>
      <c r="G620" s="227"/>
      <c r="H620" s="227"/>
      <c r="I620" s="227"/>
      <c r="J620" s="227"/>
      <c r="K620" s="228"/>
    </row>
    <row r="621" spans="1:11" s="202" customFormat="1" x14ac:dyDescent="0.25">
      <c r="A621" s="229" t="s">
        <v>626</v>
      </c>
      <c r="B621" s="230"/>
      <c r="C621" s="230"/>
      <c r="D621" s="230"/>
      <c r="E621" s="230"/>
      <c r="F621" s="230"/>
      <c r="G621" s="230"/>
      <c r="H621" s="230"/>
      <c r="I621" s="230"/>
      <c r="J621" s="231"/>
      <c r="K621" s="232"/>
    </row>
    <row r="622" spans="1:11" s="202" customFormat="1" x14ac:dyDescent="0.25">
      <c r="A622" s="233" t="s">
        <v>627</v>
      </c>
      <c r="B622" s="83"/>
      <c r="C622" s="83"/>
      <c r="D622" s="83"/>
      <c r="E622" s="83"/>
      <c r="F622" s="83"/>
      <c r="G622" s="83"/>
      <c r="H622" s="83"/>
      <c r="I622" s="83"/>
      <c r="J622" s="215"/>
      <c r="K622" s="234"/>
    </row>
    <row r="623" spans="1:11" s="202" customFormat="1" x14ac:dyDescent="0.25">
      <c r="A623" s="233" t="s">
        <v>628</v>
      </c>
      <c r="B623" s="83"/>
      <c r="C623" s="83"/>
      <c r="D623" s="83"/>
      <c r="E623" s="83"/>
      <c r="F623" s="83"/>
      <c r="G623" s="83"/>
      <c r="H623" s="83"/>
      <c r="I623" s="83"/>
      <c r="J623" s="215"/>
      <c r="K623" s="234"/>
    </row>
    <row r="624" spans="1:11" s="202" customFormat="1" x14ac:dyDescent="0.25">
      <c r="A624" s="233" t="s">
        <v>629</v>
      </c>
      <c r="B624" s="83"/>
      <c r="C624" s="83"/>
      <c r="D624" s="83"/>
      <c r="E624" s="83"/>
      <c r="F624" s="83"/>
      <c r="G624" s="83"/>
      <c r="H624" s="83"/>
      <c r="I624" s="83"/>
      <c r="J624" s="215"/>
      <c r="K624" s="234"/>
    </row>
    <row r="625" spans="1:11" s="202" customFormat="1" x14ac:dyDescent="0.25">
      <c r="A625" s="233" t="s">
        <v>630</v>
      </c>
      <c r="B625" s="83"/>
      <c r="C625" s="83"/>
      <c r="D625" s="83"/>
      <c r="E625" s="83"/>
      <c r="F625" s="83"/>
      <c r="G625" s="83"/>
      <c r="H625" s="83"/>
      <c r="I625" s="83"/>
      <c r="J625" s="215"/>
      <c r="K625" s="234"/>
    </row>
    <row r="626" spans="1:11" s="202" customFormat="1" x14ac:dyDescent="0.25">
      <c r="A626" s="233" t="s">
        <v>631</v>
      </c>
      <c r="B626" s="83"/>
      <c r="C626" s="83"/>
      <c r="D626" s="83"/>
      <c r="E626" s="83"/>
      <c r="F626" s="83"/>
      <c r="G626" s="83"/>
      <c r="H626" s="83"/>
      <c r="I626" s="83"/>
      <c r="J626" s="215"/>
      <c r="K626" s="234"/>
    </row>
    <row r="627" spans="1:11" s="202" customFormat="1" x14ac:dyDescent="0.25">
      <c r="A627" s="233" t="s">
        <v>632</v>
      </c>
      <c r="B627" s="83"/>
      <c r="C627" s="83"/>
      <c r="D627" s="83"/>
      <c r="E627" s="83"/>
      <c r="F627" s="83"/>
      <c r="G627" s="83"/>
      <c r="H627" s="83"/>
      <c r="I627" s="83"/>
      <c r="J627" s="215"/>
      <c r="K627" s="234"/>
    </row>
    <row r="628" spans="1:11" s="202" customFormat="1" x14ac:dyDescent="0.25">
      <c r="A628" s="233" t="s">
        <v>786</v>
      </c>
      <c r="B628" s="83"/>
      <c r="C628" s="83"/>
      <c r="D628" s="83"/>
      <c r="E628" s="83"/>
      <c r="F628" s="83"/>
      <c r="G628" s="83"/>
      <c r="H628" s="83"/>
      <c r="I628" s="83"/>
      <c r="J628" s="215"/>
      <c r="K628" s="234"/>
    </row>
    <row r="629" spans="1:11" s="202" customFormat="1" x14ac:dyDescent="0.25">
      <c r="A629" s="233" t="s">
        <v>1003</v>
      </c>
      <c r="B629" s="83"/>
      <c r="C629" s="83"/>
      <c r="D629" s="83"/>
      <c r="E629" s="83"/>
      <c r="F629" s="83"/>
      <c r="G629" s="83"/>
      <c r="H629" s="83"/>
      <c r="I629" s="83"/>
      <c r="J629" s="215"/>
      <c r="K629" s="234"/>
    </row>
    <row r="630" spans="1:11" s="202" customFormat="1" x14ac:dyDescent="0.25">
      <c r="A630" s="235" t="s">
        <v>1175</v>
      </c>
      <c r="B630" s="116"/>
      <c r="C630" s="116"/>
      <c r="D630" s="116"/>
      <c r="E630" s="116"/>
      <c r="F630" s="116"/>
      <c r="G630" s="116"/>
      <c r="H630" s="116"/>
      <c r="I630" s="116"/>
      <c r="J630" s="216"/>
      <c r="K630" s="236"/>
    </row>
    <row r="631" spans="1:11" s="202" customFormat="1" x14ac:dyDescent="0.25">
      <c r="A631" s="83"/>
      <c r="B631" s="83"/>
      <c r="C631" s="83"/>
      <c r="D631" s="83"/>
      <c r="E631" s="83"/>
      <c r="F631" s="83"/>
      <c r="G631" s="83"/>
      <c r="H631" s="83"/>
      <c r="I631" s="83"/>
    </row>
    <row r="632" spans="1:11" s="202" customFormat="1" x14ac:dyDescent="0.25">
      <c r="A632" s="98" t="s">
        <v>14</v>
      </c>
      <c r="B632" s="66" t="s">
        <v>74</v>
      </c>
      <c r="C632" s="66" t="s">
        <v>152</v>
      </c>
      <c r="D632" s="83"/>
      <c r="E632" s="83"/>
      <c r="F632" s="83"/>
      <c r="G632" s="83"/>
      <c r="H632" s="83"/>
      <c r="I632" s="83"/>
    </row>
    <row r="633" spans="1:11" s="202" customFormat="1" x14ac:dyDescent="0.25">
      <c r="A633" s="198" t="s">
        <v>27</v>
      </c>
      <c r="B633" s="237">
        <v>2016</v>
      </c>
      <c r="C633" s="237">
        <v>2017</v>
      </c>
      <c r="D633" s="238">
        <v>2018</v>
      </c>
      <c r="E633" s="237">
        <v>2019</v>
      </c>
      <c r="F633" s="239">
        <v>2020</v>
      </c>
      <c r="G633" s="239">
        <v>2021</v>
      </c>
      <c r="H633" s="239">
        <v>2022</v>
      </c>
      <c r="I633" s="239">
        <v>2023</v>
      </c>
      <c r="J633" s="239">
        <v>2024</v>
      </c>
      <c r="K633" s="239">
        <v>2025</v>
      </c>
    </row>
    <row r="634" spans="1:11" s="202" customFormat="1" x14ac:dyDescent="0.25">
      <c r="A634" s="198" t="s">
        <v>28</v>
      </c>
      <c r="B634" s="203">
        <v>10</v>
      </c>
      <c r="C634" s="203">
        <v>10</v>
      </c>
      <c r="D634" s="203">
        <v>10</v>
      </c>
      <c r="E634" s="203">
        <v>10</v>
      </c>
      <c r="F634" s="203">
        <v>10</v>
      </c>
      <c r="G634" s="203">
        <v>10</v>
      </c>
      <c r="H634" s="203">
        <v>10</v>
      </c>
      <c r="I634" s="203">
        <v>10</v>
      </c>
      <c r="J634" s="203">
        <v>10</v>
      </c>
      <c r="K634" s="203">
        <v>10</v>
      </c>
    </row>
    <row r="635" spans="1:11" s="202" customFormat="1" x14ac:dyDescent="0.25">
      <c r="A635" s="198" t="s">
        <v>29</v>
      </c>
      <c r="B635" s="206">
        <v>10</v>
      </c>
      <c r="C635" s="206">
        <f>B638+10</f>
        <v>-31.037900001525877</v>
      </c>
      <c r="D635" s="206">
        <f>C638+10</f>
        <v>-100.44840000534057</v>
      </c>
      <c r="E635" s="206">
        <f>D638+10</f>
        <v>-131.83390000534058</v>
      </c>
      <c r="F635" s="206">
        <f>E638+10</f>
        <v>-149.28490000534057</v>
      </c>
      <c r="G635" s="206">
        <f>F638+10</f>
        <v>-157.49490000534058</v>
      </c>
      <c r="H635" s="206">
        <f>1.25*G638+H634</f>
        <v>-216.48112500667571</v>
      </c>
      <c r="I635" s="206">
        <f>1.25*H638+I634</f>
        <v>-273.73890625834463</v>
      </c>
      <c r="J635" s="206">
        <f>1.25*I638+J634</f>
        <v>-342.7198828229308</v>
      </c>
      <c r="K635" s="206">
        <f>1.25*J638+K634</f>
        <v>-446.63985352866348</v>
      </c>
    </row>
    <row r="636" spans="1:11" s="202" customFormat="1" x14ac:dyDescent="0.25">
      <c r="A636" s="198" t="s">
        <v>30</v>
      </c>
      <c r="B636" s="205"/>
      <c r="C636" s="205" t="s">
        <v>399</v>
      </c>
      <c r="D636" s="207" t="s">
        <v>400</v>
      </c>
      <c r="E636" s="205" t="s">
        <v>401</v>
      </c>
      <c r="F636" s="208" t="s">
        <v>402</v>
      </c>
      <c r="G636" s="208" t="s">
        <v>566</v>
      </c>
      <c r="H636" s="208" t="s">
        <v>604</v>
      </c>
      <c r="I636" s="208" t="s">
        <v>625</v>
      </c>
      <c r="J636" s="208" t="s">
        <v>785</v>
      </c>
      <c r="K636" s="208" t="s">
        <v>1002</v>
      </c>
    </row>
    <row r="637" spans="1:11" s="202" customFormat="1" x14ac:dyDescent="0.25">
      <c r="A637" s="198" t="s">
        <v>31</v>
      </c>
      <c r="B637" s="240">
        <v>51.037900001525877</v>
      </c>
      <c r="C637" s="240">
        <v>79.410500003814704</v>
      </c>
      <c r="D637" s="240">
        <v>41.3855</v>
      </c>
      <c r="E637" s="241">
        <v>27.451000000000001</v>
      </c>
      <c r="F637" s="241">
        <v>18.21</v>
      </c>
      <c r="G637" s="204">
        <v>23.69</v>
      </c>
      <c r="H637" s="208">
        <v>10.51</v>
      </c>
      <c r="I637" s="242">
        <v>8.4369999999999994</v>
      </c>
      <c r="J637" s="208">
        <v>22.591999999999999</v>
      </c>
      <c r="K637" s="208"/>
    </row>
    <row r="638" spans="1:11" s="202" customFormat="1" x14ac:dyDescent="0.25">
      <c r="A638" s="198" t="s">
        <v>32</v>
      </c>
      <c r="B638" s="206">
        <f t="shared" ref="B638:I638" si="29">B635-B637</f>
        <v>-41.037900001525877</v>
      </c>
      <c r="C638" s="206">
        <f t="shared" si="29"/>
        <v>-110.44840000534057</v>
      </c>
      <c r="D638" s="206">
        <f t="shared" si="29"/>
        <v>-141.83390000534058</v>
      </c>
      <c r="E638" s="206">
        <f t="shared" si="29"/>
        <v>-159.28490000534057</v>
      </c>
      <c r="F638" s="206">
        <f t="shared" si="29"/>
        <v>-167.49490000534058</v>
      </c>
      <c r="G638" s="206">
        <f t="shared" si="29"/>
        <v>-181.18490000534058</v>
      </c>
      <c r="H638" s="206">
        <f t="shared" si="29"/>
        <v>-226.9911250066757</v>
      </c>
      <c r="I638" s="206">
        <f t="shared" si="29"/>
        <v>-282.17590625834464</v>
      </c>
      <c r="J638" s="224">
        <v>-365.31188282293078</v>
      </c>
      <c r="K638" s="206"/>
    </row>
    <row r="639" spans="1:11" s="202" customFormat="1" x14ac:dyDescent="0.25">
      <c r="A639" s="209" t="s">
        <v>33</v>
      </c>
      <c r="B639" s="210">
        <v>2017</v>
      </c>
      <c r="C639" s="210">
        <v>2018</v>
      </c>
      <c r="D639" s="211">
        <v>2019</v>
      </c>
      <c r="E639" s="210">
        <v>2020</v>
      </c>
      <c r="F639" s="212">
        <v>2021</v>
      </c>
      <c r="G639" s="212">
        <v>2022</v>
      </c>
      <c r="H639" s="212">
        <v>2023</v>
      </c>
      <c r="I639" s="212">
        <v>2024</v>
      </c>
      <c r="J639" s="212">
        <v>2025</v>
      </c>
      <c r="K639" s="114">
        <v>2026</v>
      </c>
    </row>
    <row r="640" spans="1:11" s="202" customFormat="1" x14ac:dyDescent="0.25">
      <c r="A640" s="243" t="s">
        <v>34</v>
      </c>
      <c r="B640" s="230"/>
      <c r="C640" s="230"/>
      <c r="D640" s="230"/>
      <c r="E640" s="230"/>
      <c r="F640" s="230"/>
      <c r="G640" s="230"/>
      <c r="H640" s="230"/>
      <c r="I640" s="230"/>
      <c r="J640" s="230"/>
      <c r="K640" s="232"/>
    </row>
    <row r="641" spans="1:11" s="202" customFormat="1" x14ac:dyDescent="0.25">
      <c r="A641" s="229" t="s">
        <v>633</v>
      </c>
      <c r="B641" s="230"/>
      <c r="C641" s="230"/>
      <c r="D641" s="230"/>
      <c r="E641" s="230"/>
      <c r="F641" s="230"/>
      <c r="G641" s="230"/>
      <c r="H641" s="230"/>
      <c r="I641" s="230"/>
      <c r="J641" s="230"/>
      <c r="K641" s="232"/>
    </row>
    <row r="642" spans="1:11" s="202" customFormat="1" x14ac:dyDescent="0.25">
      <c r="A642" s="233" t="s">
        <v>894</v>
      </c>
      <c r="B642" s="83"/>
      <c r="C642" s="83"/>
      <c r="D642" s="83"/>
      <c r="E642" s="83"/>
      <c r="F642" s="83"/>
      <c r="G642" s="83"/>
      <c r="H642" s="83"/>
      <c r="I642" s="83"/>
      <c r="J642" s="83"/>
      <c r="K642" s="234"/>
    </row>
    <row r="643" spans="1:11" s="202" customFormat="1" x14ac:dyDescent="0.25">
      <c r="A643" s="233" t="s">
        <v>895</v>
      </c>
      <c r="B643" s="83"/>
      <c r="C643" s="83"/>
      <c r="D643" s="83"/>
      <c r="E643" s="83"/>
      <c r="F643" s="83"/>
      <c r="G643" s="83"/>
      <c r="H643" s="83"/>
      <c r="I643" s="83"/>
      <c r="J643" s="83"/>
      <c r="K643" s="234"/>
    </row>
    <row r="644" spans="1:11" s="202" customFormat="1" x14ac:dyDescent="0.25">
      <c r="A644" s="233" t="s">
        <v>896</v>
      </c>
      <c r="B644" s="83"/>
      <c r="C644" s="83"/>
      <c r="D644" s="83"/>
      <c r="E644" s="83"/>
      <c r="F644" s="83"/>
      <c r="G644" s="83"/>
      <c r="H644" s="83"/>
      <c r="I644" s="83"/>
      <c r="J644" s="83"/>
      <c r="K644" s="234"/>
    </row>
    <row r="645" spans="1:11" s="202" customFormat="1" x14ac:dyDescent="0.25">
      <c r="A645" s="233" t="s">
        <v>897</v>
      </c>
      <c r="B645" s="83"/>
      <c r="C645" s="83"/>
      <c r="D645" s="83"/>
      <c r="E645" s="83"/>
      <c r="F645" s="83"/>
      <c r="G645" s="83"/>
      <c r="H645" s="83"/>
      <c r="I645" s="83"/>
      <c r="J645" s="83"/>
      <c r="K645" s="234"/>
    </row>
    <row r="646" spans="1:11" s="202" customFormat="1" x14ac:dyDescent="0.25">
      <c r="A646" s="233" t="s">
        <v>892</v>
      </c>
      <c r="B646" s="83"/>
      <c r="C646" s="83"/>
      <c r="D646" s="83"/>
      <c r="E646" s="83"/>
      <c r="F646" s="83"/>
      <c r="G646" s="83"/>
      <c r="H646" s="83"/>
      <c r="I646" s="83"/>
      <c r="J646" s="83"/>
      <c r="K646" s="234"/>
    </row>
    <row r="647" spans="1:11" s="202" customFormat="1" x14ac:dyDescent="0.25">
      <c r="A647" s="233" t="s">
        <v>893</v>
      </c>
      <c r="B647" s="83"/>
      <c r="C647" s="83"/>
      <c r="D647" s="83"/>
      <c r="E647" s="83"/>
      <c r="F647" s="83"/>
      <c r="G647" s="83"/>
      <c r="H647" s="83"/>
      <c r="I647" s="83"/>
      <c r="J647" s="83"/>
      <c r="K647" s="234"/>
    </row>
    <row r="648" spans="1:11" s="202" customFormat="1" x14ac:dyDescent="0.25">
      <c r="A648" s="233" t="s">
        <v>1004</v>
      </c>
      <c r="B648" s="83"/>
      <c r="C648" s="83"/>
      <c r="D648" s="83"/>
      <c r="E648" s="83"/>
      <c r="F648" s="83"/>
      <c r="G648" s="83"/>
      <c r="H648" s="83"/>
      <c r="I648" s="83"/>
      <c r="J648" s="83"/>
      <c r="K648" s="234"/>
    </row>
    <row r="649" spans="1:11" s="202" customFormat="1" x14ac:dyDescent="0.25">
      <c r="A649" s="235" t="s">
        <v>1136</v>
      </c>
      <c r="B649" s="116"/>
      <c r="C649" s="116"/>
      <c r="D649" s="116"/>
      <c r="E649" s="116"/>
      <c r="F649" s="116"/>
      <c r="G649" s="116"/>
      <c r="H649" s="116"/>
      <c r="I649" s="116"/>
      <c r="J649" s="116"/>
      <c r="K649" s="236"/>
    </row>
    <row r="652" spans="1:11" x14ac:dyDescent="0.25">
      <c r="A652" s="6" t="s">
        <v>12</v>
      </c>
      <c r="B652" s="173" t="s">
        <v>246</v>
      </c>
    </row>
    <row r="653" spans="1:11" x14ac:dyDescent="0.25">
      <c r="A653" s="6" t="s">
        <v>14</v>
      </c>
      <c r="B653" s="7" t="s">
        <v>638</v>
      </c>
      <c r="C653" s="9" t="s">
        <v>15</v>
      </c>
    </row>
    <row r="654" spans="1:11" x14ac:dyDescent="0.25">
      <c r="A654" s="10" t="s">
        <v>16</v>
      </c>
      <c r="B654" s="154"/>
      <c r="C654" s="173">
        <v>2024</v>
      </c>
      <c r="D654" s="173">
        <v>2025</v>
      </c>
      <c r="E654" s="173">
        <v>2025</v>
      </c>
    </row>
    <row r="655" spans="1:11" x14ac:dyDescent="0.25">
      <c r="A655" s="10" t="s">
        <v>17</v>
      </c>
      <c r="B655" s="156"/>
      <c r="C655" s="175">
        <v>120</v>
      </c>
      <c r="D655" s="175">
        <v>120</v>
      </c>
      <c r="E655" s="175">
        <v>120</v>
      </c>
    </row>
    <row r="656" spans="1:11" x14ac:dyDescent="0.25">
      <c r="A656" s="10" t="s">
        <v>18</v>
      </c>
      <c r="B656" s="156"/>
      <c r="C656" s="175">
        <f>C655+1.49</f>
        <v>121.49</v>
      </c>
      <c r="D656" s="175">
        <f>D655+0.25*120</f>
        <v>150</v>
      </c>
      <c r="E656" s="175">
        <f>E655+0.25*120</f>
        <v>150</v>
      </c>
    </row>
    <row r="657" spans="1:12" x14ac:dyDescent="0.25">
      <c r="A657" s="10" t="s">
        <v>19</v>
      </c>
      <c r="B657" s="176"/>
      <c r="C657" s="176" t="s">
        <v>927</v>
      </c>
      <c r="D657" s="176" t="s">
        <v>1105</v>
      </c>
      <c r="E657" s="176" t="s">
        <v>1105</v>
      </c>
    </row>
    <row r="658" spans="1:12" x14ac:dyDescent="0.25">
      <c r="A658" s="10" t="s">
        <v>20</v>
      </c>
      <c r="B658" s="156"/>
      <c r="C658" s="175">
        <v>109.066</v>
      </c>
      <c r="D658" s="175"/>
      <c r="E658" s="175"/>
    </row>
    <row r="659" spans="1:12" x14ac:dyDescent="0.25">
      <c r="A659" s="10" t="s">
        <v>21</v>
      </c>
      <c r="B659" s="156"/>
      <c r="C659" s="175">
        <f>C656-C658</f>
        <v>12.423999999999992</v>
      </c>
      <c r="D659" s="175"/>
      <c r="E659" s="175"/>
    </row>
    <row r="660" spans="1:12" x14ac:dyDescent="0.25">
      <c r="A660" s="16" t="s">
        <v>22</v>
      </c>
      <c r="B660" s="159"/>
      <c r="C660" s="179">
        <v>2026</v>
      </c>
      <c r="D660" s="179">
        <v>2027</v>
      </c>
      <c r="E660" s="180">
        <v>2027</v>
      </c>
    </row>
    <row r="661" spans="1:12" x14ac:dyDescent="0.25">
      <c r="A661" s="18" t="s">
        <v>23</v>
      </c>
      <c r="B661" s="19"/>
      <c r="C661" s="19"/>
      <c r="D661" s="19"/>
      <c r="E661" s="63"/>
    </row>
    <row r="662" spans="1:12" x14ac:dyDescent="0.25">
      <c r="A662" s="161" t="s">
        <v>928</v>
      </c>
      <c r="B662" s="32"/>
      <c r="C662" s="32"/>
      <c r="D662" s="32"/>
      <c r="E662" s="244"/>
      <c r="F662" s="32"/>
    </row>
    <row r="663" spans="1:12" x14ac:dyDescent="0.25">
      <c r="A663" s="245" t="s">
        <v>1106</v>
      </c>
      <c r="B663" s="22"/>
      <c r="C663" s="22"/>
      <c r="D663" s="22"/>
      <c r="E663" s="246"/>
      <c r="F663" s="32"/>
    </row>
    <row r="665" spans="1:12" x14ac:dyDescent="0.25">
      <c r="A665" s="98" t="s">
        <v>14</v>
      </c>
      <c r="B665" s="66" t="s">
        <v>623</v>
      </c>
      <c r="C665" s="66" t="s">
        <v>152</v>
      </c>
      <c r="D665" s="8"/>
      <c r="E665" s="8"/>
      <c r="F665" s="8"/>
      <c r="G665" s="8"/>
    </row>
    <row r="666" spans="1:12" x14ac:dyDescent="0.25">
      <c r="A666" s="95" t="s">
        <v>16</v>
      </c>
      <c r="B666" s="247"/>
      <c r="C666" s="248">
        <v>2015</v>
      </c>
      <c r="D666" s="248">
        <v>2016</v>
      </c>
      <c r="E666" s="248" t="s">
        <v>242</v>
      </c>
      <c r="F666" s="248" t="s">
        <v>243</v>
      </c>
      <c r="G666" s="248" t="s">
        <v>244</v>
      </c>
      <c r="H666" s="248" t="s">
        <v>286</v>
      </c>
      <c r="I666" s="248" t="s">
        <v>504</v>
      </c>
      <c r="J666" s="248" t="s">
        <v>675</v>
      </c>
      <c r="K666" s="248" t="s">
        <v>824</v>
      </c>
      <c r="L666" s="249" t="s">
        <v>1046</v>
      </c>
    </row>
    <row r="667" spans="1:12" x14ac:dyDescent="0.25">
      <c r="A667" s="68" t="s">
        <v>17</v>
      </c>
      <c r="B667" s="69"/>
      <c r="C667" s="72">
        <v>50</v>
      </c>
      <c r="D667" s="72">
        <v>50</v>
      </c>
      <c r="E667" s="72">
        <v>50</v>
      </c>
      <c r="F667" s="72">
        <v>50</v>
      </c>
      <c r="G667" s="72">
        <v>50</v>
      </c>
      <c r="H667" s="72">
        <v>50</v>
      </c>
      <c r="I667" s="72">
        <v>50</v>
      </c>
      <c r="J667" s="72">
        <v>50</v>
      </c>
      <c r="K667" s="72">
        <v>50</v>
      </c>
      <c r="L667" s="90">
        <v>50</v>
      </c>
    </row>
    <row r="668" spans="1:12" x14ac:dyDescent="0.25">
      <c r="A668" s="68" t="s">
        <v>18</v>
      </c>
      <c r="B668" s="250"/>
      <c r="C668" s="72">
        <v>75</v>
      </c>
      <c r="D668" s="72">
        <v>75</v>
      </c>
      <c r="E668" s="72">
        <v>75</v>
      </c>
      <c r="F668" s="72">
        <v>70</v>
      </c>
      <c r="G668" s="72">
        <v>70</v>
      </c>
      <c r="H668" s="72">
        <f>H667+F671</f>
        <v>62.6</v>
      </c>
      <c r="I668" s="72">
        <v>70</v>
      </c>
      <c r="J668" s="72">
        <v>70</v>
      </c>
      <c r="K668" s="72">
        <v>70</v>
      </c>
      <c r="L668" s="90">
        <v>70</v>
      </c>
    </row>
    <row r="669" spans="1:12" x14ac:dyDescent="0.25">
      <c r="A669" s="68" t="s">
        <v>19</v>
      </c>
      <c r="B669" s="251"/>
      <c r="C669" s="252" t="s">
        <v>141</v>
      </c>
      <c r="D669" s="252" t="s">
        <v>141</v>
      </c>
      <c r="E669" s="252" t="s">
        <v>141</v>
      </c>
      <c r="F669" s="253" t="s">
        <v>245</v>
      </c>
      <c r="G669" s="253" t="s">
        <v>245</v>
      </c>
      <c r="H669" s="252" t="s">
        <v>329</v>
      </c>
      <c r="I669" s="252" t="s">
        <v>586</v>
      </c>
      <c r="J669" s="252" t="s">
        <v>884</v>
      </c>
      <c r="K669" s="252" t="s">
        <v>885</v>
      </c>
      <c r="L669" s="90" t="s">
        <v>1176</v>
      </c>
    </row>
    <row r="670" spans="1:12" x14ac:dyDescent="0.25">
      <c r="A670" s="68" t="s">
        <v>20</v>
      </c>
      <c r="B670" s="69"/>
      <c r="C670" s="72">
        <v>0</v>
      </c>
      <c r="D670" s="72">
        <v>27.449000000000002</v>
      </c>
      <c r="E670" s="72">
        <v>21.13</v>
      </c>
      <c r="F670" s="72">
        <v>57.4</v>
      </c>
      <c r="G670" s="72">
        <v>21.8</v>
      </c>
      <c r="H670" s="72">
        <v>27.576000000000001</v>
      </c>
      <c r="I670" s="72">
        <v>0</v>
      </c>
      <c r="J670" s="72">
        <v>0</v>
      </c>
      <c r="K670" s="72">
        <v>2.0099999999999998</v>
      </c>
      <c r="L670" s="90">
        <v>1.78</v>
      </c>
    </row>
    <row r="671" spans="1:12" x14ac:dyDescent="0.25">
      <c r="A671" s="68" t="s">
        <v>21</v>
      </c>
      <c r="B671" s="69"/>
      <c r="C671" s="72">
        <v>75</v>
      </c>
      <c r="D671" s="72">
        <f t="shared" ref="D671:L671" si="30">D668-D670</f>
        <v>47.551000000000002</v>
      </c>
      <c r="E671" s="72">
        <f t="shared" si="30"/>
        <v>53.870000000000005</v>
      </c>
      <c r="F671" s="72">
        <f t="shared" si="30"/>
        <v>12.600000000000001</v>
      </c>
      <c r="G671" s="72">
        <f t="shared" si="30"/>
        <v>48.2</v>
      </c>
      <c r="H671" s="72">
        <f t="shared" si="30"/>
        <v>35.024000000000001</v>
      </c>
      <c r="I671" s="72">
        <f t="shared" si="30"/>
        <v>70</v>
      </c>
      <c r="J671" s="72">
        <f t="shared" si="30"/>
        <v>70</v>
      </c>
      <c r="K671" s="72">
        <f t="shared" si="30"/>
        <v>67.989999999999995</v>
      </c>
      <c r="L671" s="72">
        <f t="shared" si="30"/>
        <v>68.22</v>
      </c>
    </row>
    <row r="672" spans="1:12" x14ac:dyDescent="0.25">
      <c r="A672" s="73" t="s">
        <v>22</v>
      </c>
      <c r="B672" s="74"/>
      <c r="C672" s="254">
        <v>2017</v>
      </c>
      <c r="D672" s="254">
        <v>2018</v>
      </c>
      <c r="E672" s="254">
        <v>2019</v>
      </c>
      <c r="F672" s="254">
        <v>2020</v>
      </c>
      <c r="G672" s="254">
        <v>2021</v>
      </c>
      <c r="H672" s="254">
        <v>2022</v>
      </c>
      <c r="I672" s="254">
        <v>2023</v>
      </c>
      <c r="J672" s="254">
        <v>2024</v>
      </c>
      <c r="K672" s="254">
        <v>2025</v>
      </c>
      <c r="L672" s="249">
        <v>2026</v>
      </c>
    </row>
    <row r="673" spans="1:12" x14ac:dyDescent="0.25">
      <c r="A673" s="92" t="s">
        <v>502</v>
      </c>
      <c r="B673" s="93"/>
      <c r="C673" s="255"/>
      <c r="D673" s="255"/>
      <c r="E673" s="255"/>
      <c r="F673" s="255"/>
      <c r="G673" s="255"/>
      <c r="H673" s="255"/>
      <c r="I673" s="255"/>
      <c r="J673" s="255"/>
      <c r="K673" s="255"/>
      <c r="L673" s="63"/>
    </row>
    <row r="674" spans="1:12" x14ac:dyDescent="0.25">
      <c r="A674" s="256" t="s">
        <v>886</v>
      </c>
      <c r="B674" s="257"/>
      <c r="C674" s="257"/>
      <c r="D674" s="257"/>
      <c r="E674" s="257"/>
      <c r="F674" s="257"/>
      <c r="G674" s="257"/>
      <c r="H674" s="257"/>
      <c r="I674" s="257"/>
      <c r="J674" s="257"/>
      <c r="K674" s="257"/>
      <c r="L674" s="48"/>
    </row>
    <row r="675" spans="1:12" x14ac:dyDescent="0.25">
      <c r="A675" s="138"/>
      <c r="B675" s="138"/>
      <c r="C675" s="138"/>
      <c r="D675" s="138"/>
      <c r="E675" s="138"/>
      <c r="F675" s="138"/>
      <c r="G675" s="138"/>
    </row>
    <row r="676" spans="1:12" x14ac:dyDescent="0.25">
      <c r="A676" s="98" t="s">
        <v>14</v>
      </c>
      <c r="B676" s="66" t="s">
        <v>641</v>
      </c>
      <c r="C676" s="66" t="s">
        <v>152</v>
      </c>
      <c r="D676" s="8"/>
      <c r="E676" s="8"/>
      <c r="F676" s="8"/>
      <c r="G676" s="8"/>
    </row>
    <row r="677" spans="1:12" x14ac:dyDescent="0.25">
      <c r="A677" s="95" t="s">
        <v>16</v>
      </c>
      <c r="B677" s="247"/>
      <c r="C677" s="248">
        <v>2015</v>
      </c>
      <c r="D677" s="248">
        <v>2016</v>
      </c>
      <c r="E677" s="248" t="s">
        <v>242</v>
      </c>
      <c r="F677" s="248" t="s">
        <v>243</v>
      </c>
      <c r="G677" s="248" t="s">
        <v>244</v>
      </c>
      <c r="H677" s="248" t="s">
        <v>286</v>
      </c>
      <c r="I677" s="248" t="s">
        <v>504</v>
      </c>
      <c r="J677" s="248" t="s">
        <v>675</v>
      </c>
      <c r="K677" s="248" t="s">
        <v>824</v>
      </c>
      <c r="L677" s="249" t="s">
        <v>1046</v>
      </c>
    </row>
    <row r="678" spans="1:12" x14ac:dyDescent="0.25">
      <c r="A678" s="68" t="s">
        <v>17</v>
      </c>
      <c r="B678" s="69"/>
      <c r="C678" s="72">
        <v>125</v>
      </c>
      <c r="D678" s="72">
        <v>125</v>
      </c>
      <c r="E678" s="72">
        <v>125</v>
      </c>
      <c r="F678" s="72">
        <v>125</v>
      </c>
      <c r="G678" s="72">
        <v>125</v>
      </c>
      <c r="H678" s="72">
        <v>125</v>
      </c>
      <c r="I678" s="72">
        <v>125</v>
      </c>
      <c r="J678" s="72">
        <v>125</v>
      </c>
      <c r="K678" s="72">
        <v>125</v>
      </c>
      <c r="L678" s="90">
        <v>125</v>
      </c>
    </row>
    <row r="679" spans="1:12" x14ac:dyDescent="0.25">
      <c r="A679" s="68" t="s">
        <v>18</v>
      </c>
      <c r="B679" s="250"/>
      <c r="C679" s="72">
        <f>C678*1.3</f>
        <v>162.5</v>
      </c>
      <c r="D679" s="72">
        <f>D678*1.3+25</f>
        <v>187.5</v>
      </c>
      <c r="E679" s="72">
        <f>E678*1.3+25</f>
        <v>187.5</v>
      </c>
      <c r="F679" s="72">
        <f>F678*1.2+25</f>
        <v>175</v>
      </c>
      <c r="G679" s="72">
        <f>G678*1.2+25</f>
        <v>175</v>
      </c>
      <c r="H679" s="72">
        <f>H678*1.2+25</f>
        <v>175</v>
      </c>
      <c r="I679" s="72">
        <v>150</v>
      </c>
      <c r="J679" s="72">
        <v>150</v>
      </c>
      <c r="K679" s="72">
        <v>150</v>
      </c>
      <c r="L679" s="90">
        <v>150</v>
      </c>
    </row>
    <row r="680" spans="1:12" x14ac:dyDescent="0.25">
      <c r="A680" s="68" t="s">
        <v>19</v>
      </c>
      <c r="B680" s="251"/>
      <c r="C680" s="252" t="s">
        <v>333</v>
      </c>
      <c r="D680" s="252" t="s">
        <v>334</v>
      </c>
      <c r="E680" s="252" t="s">
        <v>334</v>
      </c>
      <c r="F680" s="252" t="s">
        <v>335</v>
      </c>
      <c r="G680" s="252" t="s">
        <v>335</v>
      </c>
      <c r="H680" s="252" t="s">
        <v>335</v>
      </c>
      <c r="I680" s="252" t="s">
        <v>587</v>
      </c>
      <c r="J680" s="252" t="s">
        <v>587</v>
      </c>
      <c r="K680" s="252" t="s">
        <v>587</v>
      </c>
      <c r="L680" s="90" t="s">
        <v>587</v>
      </c>
    </row>
    <row r="681" spans="1:12" x14ac:dyDescent="0.25">
      <c r="A681" s="68" t="s">
        <v>20</v>
      </c>
      <c r="B681" s="69"/>
      <c r="C681" s="72">
        <v>41.9</v>
      </c>
      <c r="D681" s="72">
        <v>25.21</v>
      </c>
      <c r="E681" s="72">
        <v>16.8</v>
      </c>
      <c r="F681" s="72">
        <v>46.8</v>
      </c>
      <c r="G681" s="72">
        <v>101.46</v>
      </c>
      <c r="H681" s="72">
        <v>17.2</v>
      </c>
      <c r="I681" s="72">
        <v>0</v>
      </c>
      <c r="J681" s="72">
        <v>23.78</v>
      </c>
      <c r="K681" s="72">
        <v>2.4434</v>
      </c>
      <c r="L681" s="90">
        <v>65.12</v>
      </c>
    </row>
    <row r="682" spans="1:12" x14ac:dyDescent="0.25">
      <c r="A682" s="68" t="s">
        <v>21</v>
      </c>
      <c r="B682" s="69"/>
      <c r="C682" s="72">
        <f t="shared" ref="C682:L682" si="31">C679-C681</f>
        <v>120.6</v>
      </c>
      <c r="D682" s="72">
        <f t="shared" si="31"/>
        <v>162.29</v>
      </c>
      <c r="E682" s="72">
        <f t="shared" si="31"/>
        <v>170.7</v>
      </c>
      <c r="F682" s="72">
        <f t="shared" si="31"/>
        <v>128.19999999999999</v>
      </c>
      <c r="G682" s="72">
        <f t="shared" si="31"/>
        <v>73.540000000000006</v>
      </c>
      <c r="H682" s="72">
        <f t="shared" si="31"/>
        <v>157.80000000000001</v>
      </c>
      <c r="I682" s="72">
        <f t="shared" si="31"/>
        <v>150</v>
      </c>
      <c r="J682" s="72">
        <f t="shared" si="31"/>
        <v>126.22</v>
      </c>
      <c r="K682" s="72">
        <f t="shared" si="31"/>
        <v>147.5566</v>
      </c>
      <c r="L682" s="72">
        <f t="shared" si="31"/>
        <v>84.88</v>
      </c>
    </row>
    <row r="683" spans="1:12" x14ac:dyDescent="0.25">
      <c r="A683" s="73" t="s">
        <v>22</v>
      </c>
      <c r="B683" s="74"/>
      <c r="C683" s="254">
        <v>2017</v>
      </c>
      <c r="D683" s="254">
        <v>2018</v>
      </c>
      <c r="E683" s="254">
        <v>2019</v>
      </c>
      <c r="F683" s="254">
        <v>2020</v>
      </c>
      <c r="G683" s="254">
        <v>2021</v>
      </c>
      <c r="H683" s="254">
        <v>2022</v>
      </c>
      <c r="I683" s="254">
        <v>2023</v>
      </c>
      <c r="J683" s="254">
        <v>2024</v>
      </c>
      <c r="K683" s="254">
        <v>2025</v>
      </c>
      <c r="L683" s="249">
        <v>2026</v>
      </c>
    </row>
    <row r="684" spans="1:12" ht="12.75" customHeight="1" x14ac:dyDescent="0.25">
      <c r="A684" s="92" t="s">
        <v>331</v>
      </c>
      <c r="B684" s="258"/>
      <c r="C684" s="258"/>
      <c r="D684" s="258"/>
      <c r="E684" s="258"/>
      <c r="F684" s="258"/>
      <c r="G684" s="258"/>
      <c r="H684" s="258"/>
      <c r="I684" s="19"/>
      <c r="J684" s="19"/>
      <c r="K684" s="19"/>
      <c r="L684" s="63"/>
    </row>
    <row r="685" spans="1:12" x14ac:dyDescent="0.25">
      <c r="A685" s="109" t="s">
        <v>332</v>
      </c>
      <c r="B685" s="138"/>
      <c r="C685" s="138"/>
      <c r="D685" s="138"/>
      <c r="E685" s="138"/>
      <c r="F685" s="138"/>
      <c r="G685" s="138"/>
      <c r="L685" s="64"/>
    </row>
    <row r="686" spans="1:12" ht="13.2" customHeight="1" x14ac:dyDescent="0.25">
      <c r="A686" s="109" t="s">
        <v>330</v>
      </c>
      <c r="B686" s="138"/>
      <c r="C686" s="138"/>
      <c r="D686" s="138"/>
      <c r="E686" s="138"/>
      <c r="F686" s="138"/>
      <c r="G686" s="138"/>
      <c r="L686" s="64"/>
    </row>
    <row r="687" spans="1:12" x14ac:dyDescent="0.25">
      <c r="A687" s="259"/>
      <c r="B687" s="260"/>
      <c r="C687" s="260"/>
      <c r="D687" s="260"/>
      <c r="E687" s="260"/>
      <c r="F687" s="260"/>
      <c r="G687" s="260"/>
      <c r="H687" s="34"/>
      <c r="I687" s="34"/>
      <c r="J687" s="34"/>
      <c r="K687" s="34"/>
      <c r="L687" s="48"/>
    </row>
    <row r="688" spans="1:12" x14ac:dyDescent="0.25">
      <c r="A688" s="138"/>
      <c r="B688" s="138"/>
      <c r="C688" s="138"/>
      <c r="D688" s="138"/>
      <c r="E688" s="138"/>
      <c r="F688" s="138"/>
      <c r="G688" s="138"/>
    </row>
    <row r="689" spans="1:16" x14ac:dyDescent="0.25">
      <c r="A689" s="138"/>
      <c r="B689" s="138"/>
      <c r="C689" s="138"/>
      <c r="D689" s="138"/>
      <c r="E689" s="138"/>
      <c r="F689" s="138"/>
      <c r="G689" s="138"/>
    </row>
    <row r="690" spans="1:16" x14ac:dyDescent="0.25">
      <c r="A690" s="6" t="s">
        <v>12</v>
      </c>
      <c r="B690" s="173" t="s">
        <v>603</v>
      </c>
    </row>
    <row r="691" spans="1:16" x14ac:dyDescent="0.25">
      <c r="A691" s="261" t="s">
        <v>14</v>
      </c>
      <c r="B691" s="262" t="s">
        <v>74</v>
      </c>
      <c r="C691" s="263" t="s">
        <v>152</v>
      </c>
      <c r="D691" s="8"/>
      <c r="E691" s="8"/>
      <c r="F691" s="8"/>
      <c r="G691" s="8"/>
    </row>
    <row r="692" spans="1:16" x14ac:dyDescent="0.25">
      <c r="A692" s="68" t="s">
        <v>16</v>
      </c>
      <c r="B692" s="264">
        <v>2016</v>
      </c>
      <c r="C692" s="264">
        <v>2017</v>
      </c>
      <c r="D692" s="264">
        <v>2018</v>
      </c>
      <c r="E692" s="264">
        <v>2019</v>
      </c>
      <c r="F692" s="264">
        <v>2020</v>
      </c>
      <c r="G692" s="264">
        <v>2021</v>
      </c>
      <c r="H692" s="264">
        <v>2022</v>
      </c>
      <c r="I692" s="264">
        <v>2023</v>
      </c>
      <c r="J692" s="264">
        <v>2024</v>
      </c>
      <c r="K692" s="264">
        <v>2025</v>
      </c>
      <c r="L692" s="264">
        <v>2026</v>
      </c>
      <c r="M692" s="264">
        <v>2027</v>
      </c>
      <c r="N692" s="264">
        <v>2028</v>
      </c>
      <c r="O692" s="264">
        <v>2029</v>
      </c>
      <c r="P692" s="264">
        <v>2030</v>
      </c>
    </row>
    <row r="693" spans="1:16" x14ac:dyDescent="0.25">
      <c r="A693" s="68" t="s">
        <v>17</v>
      </c>
      <c r="B693" s="72">
        <v>10</v>
      </c>
      <c r="C693" s="72">
        <v>10</v>
      </c>
      <c r="D693" s="72">
        <v>10</v>
      </c>
      <c r="E693" s="72">
        <v>10</v>
      </c>
      <c r="F693" s="72">
        <v>10</v>
      </c>
      <c r="G693" s="72">
        <v>10</v>
      </c>
      <c r="H693" s="72">
        <v>10</v>
      </c>
      <c r="I693" s="72">
        <v>10</v>
      </c>
      <c r="J693" s="72">
        <v>10</v>
      </c>
      <c r="K693" s="72">
        <v>10</v>
      </c>
      <c r="L693" s="72">
        <v>10</v>
      </c>
      <c r="M693" s="72">
        <v>10</v>
      </c>
      <c r="N693" s="72">
        <v>10</v>
      </c>
      <c r="O693" s="72">
        <v>10</v>
      </c>
      <c r="P693" s="72">
        <v>10</v>
      </c>
    </row>
    <row r="694" spans="1:16" x14ac:dyDescent="0.25">
      <c r="A694" s="68" t="s">
        <v>18</v>
      </c>
      <c r="B694" s="72"/>
      <c r="C694" s="72"/>
      <c r="D694" s="72">
        <f>C697+D693</f>
        <v>-28</v>
      </c>
      <c r="E694" s="72">
        <f>D697+E693</f>
        <v>-20.3</v>
      </c>
      <c r="F694" s="72">
        <f>E697+F693</f>
        <v>-30.6</v>
      </c>
      <c r="G694" s="72">
        <f>F697+G693</f>
        <v>-20.6</v>
      </c>
      <c r="H694" s="72">
        <f>-2.53+H693</f>
        <v>7.4700000000000006</v>
      </c>
      <c r="I694" s="72">
        <f>-2.5+I693</f>
        <v>7.5</v>
      </c>
      <c r="J694" s="72">
        <f t="shared" ref="J694:P694" si="32">-2.5+J693</f>
        <v>7.5</v>
      </c>
      <c r="K694" s="72">
        <f t="shared" si="32"/>
        <v>7.5</v>
      </c>
      <c r="L694" s="72">
        <f t="shared" si="32"/>
        <v>7.5</v>
      </c>
      <c r="M694" s="72">
        <f t="shared" si="32"/>
        <v>7.5</v>
      </c>
      <c r="N694" s="72">
        <f t="shared" si="32"/>
        <v>7.5</v>
      </c>
      <c r="O694" s="72">
        <f t="shared" si="32"/>
        <v>7.5</v>
      </c>
      <c r="P694" s="72">
        <f t="shared" si="32"/>
        <v>7.5</v>
      </c>
    </row>
    <row r="695" spans="1:16" x14ac:dyDescent="0.25">
      <c r="A695" s="68" t="s">
        <v>19</v>
      </c>
      <c r="B695" s="265"/>
      <c r="C695" s="265"/>
      <c r="D695" s="265"/>
      <c r="E695" s="265"/>
      <c r="F695" s="265"/>
      <c r="G695" s="265"/>
      <c r="H695" s="266" t="s">
        <v>543</v>
      </c>
      <c r="I695" s="266" t="s">
        <v>543</v>
      </c>
      <c r="J695" s="266" t="s">
        <v>543</v>
      </c>
      <c r="K695" s="266" t="s">
        <v>543</v>
      </c>
      <c r="L695" s="266" t="s">
        <v>543</v>
      </c>
      <c r="M695" s="266" t="s">
        <v>543</v>
      </c>
      <c r="N695" s="266" t="s">
        <v>543</v>
      </c>
      <c r="O695" s="266" t="s">
        <v>543</v>
      </c>
      <c r="P695" s="266" t="s">
        <v>543</v>
      </c>
    </row>
    <row r="696" spans="1:16" x14ac:dyDescent="0.25">
      <c r="A696" s="68" t="s">
        <v>20</v>
      </c>
      <c r="B696" s="72">
        <v>0</v>
      </c>
      <c r="C696" s="72">
        <v>48</v>
      </c>
      <c r="D696" s="72">
        <v>2.2999999999999998</v>
      </c>
      <c r="E696" s="72">
        <v>20.3</v>
      </c>
      <c r="F696" s="72">
        <v>0</v>
      </c>
      <c r="G696" s="72">
        <v>1.9330000000000001</v>
      </c>
      <c r="H696" s="72">
        <v>6.29</v>
      </c>
      <c r="I696" s="72">
        <v>0.80700000000000005</v>
      </c>
      <c r="J696" s="72">
        <v>0</v>
      </c>
      <c r="K696" s="72"/>
      <c r="L696" s="72"/>
      <c r="M696" s="72"/>
      <c r="N696" s="72"/>
      <c r="O696" s="72"/>
      <c r="P696" s="72"/>
    </row>
    <row r="697" spans="1:16" x14ac:dyDescent="0.25">
      <c r="A697" s="68" t="s">
        <v>21</v>
      </c>
      <c r="B697" s="72">
        <f>B693-B696</f>
        <v>10</v>
      </c>
      <c r="C697" s="72">
        <f>C693-C696</f>
        <v>-38</v>
      </c>
      <c r="D697" s="72">
        <f t="shared" ref="D697:J697" si="33">D694-D696</f>
        <v>-30.3</v>
      </c>
      <c r="E697" s="72">
        <f t="shared" si="33"/>
        <v>-40.6</v>
      </c>
      <c r="F697" s="72">
        <f t="shared" si="33"/>
        <v>-30.6</v>
      </c>
      <c r="G697" s="72">
        <f t="shared" si="33"/>
        <v>-22.533000000000001</v>
      </c>
      <c r="H697" s="72">
        <f t="shared" si="33"/>
        <v>1.1800000000000006</v>
      </c>
      <c r="I697" s="72">
        <f t="shared" si="33"/>
        <v>6.6929999999999996</v>
      </c>
      <c r="J697" s="72">
        <f t="shared" si="33"/>
        <v>7.5</v>
      </c>
      <c r="K697" s="72"/>
      <c r="L697" s="72"/>
      <c r="M697" s="72"/>
      <c r="N697" s="72"/>
      <c r="O697" s="72"/>
      <c r="P697" s="72"/>
    </row>
    <row r="698" spans="1:16" x14ac:dyDescent="0.25">
      <c r="A698" s="73" t="s">
        <v>22</v>
      </c>
      <c r="B698" s="74">
        <v>2017</v>
      </c>
      <c r="C698" s="74">
        <v>2018</v>
      </c>
      <c r="D698" s="74">
        <v>2019</v>
      </c>
      <c r="E698" s="74">
        <v>2020</v>
      </c>
      <c r="F698" s="74">
        <v>2021</v>
      </c>
      <c r="G698" s="74">
        <v>2022</v>
      </c>
      <c r="H698" s="74">
        <v>2023</v>
      </c>
      <c r="I698" s="74">
        <v>2024</v>
      </c>
      <c r="J698" s="74">
        <v>2025</v>
      </c>
      <c r="K698" s="74">
        <v>2026</v>
      </c>
      <c r="L698" s="74">
        <v>2027</v>
      </c>
      <c r="M698" s="74">
        <v>2028</v>
      </c>
      <c r="N698" s="74">
        <v>2029</v>
      </c>
      <c r="O698" s="74">
        <v>2030</v>
      </c>
      <c r="P698" s="74">
        <v>2031</v>
      </c>
    </row>
    <row r="699" spans="1:16" x14ac:dyDescent="0.25">
      <c r="A699" s="73" t="s">
        <v>429</v>
      </c>
      <c r="B699" s="75"/>
      <c r="C699" s="75"/>
      <c r="D699" s="75"/>
      <c r="E699" s="75"/>
      <c r="F699" s="75"/>
      <c r="G699" s="75"/>
      <c r="H699" s="75"/>
      <c r="I699" s="46"/>
      <c r="J699" s="46"/>
      <c r="K699" s="46"/>
      <c r="L699" s="46"/>
      <c r="M699" s="46"/>
      <c r="N699" s="46"/>
      <c r="O699" s="46"/>
      <c r="P699" s="47"/>
    </row>
    <row r="700" spans="1:16" x14ac:dyDescent="0.25">
      <c r="A700" s="702" t="s">
        <v>935</v>
      </c>
      <c r="B700" s="703"/>
      <c r="C700" s="703"/>
      <c r="D700" s="703"/>
      <c r="E700" s="703"/>
      <c r="F700" s="703"/>
      <c r="G700" s="703"/>
      <c r="H700" s="703"/>
      <c r="I700" s="34"/>
      <c r="J700" s="34"/>
      <c r="K700" s="34"/>
      <c r="L700" s="34"/>
      <c r="M700" s="34"/>
      <c r="N700" s="34"/>
      <c r="O700" s="34"/>
      <c r="P700" s="48"/>
    </row>
    <row r="702" spans="1:16" x14ac:dyDescent="0.25">
      <c r="A702" s="138"/>
      <c r="B702" s="138"/>
      <c r="C702" s="138"/>
      <c r="D702" s="138"/>
      <c r="E702" s="138"/>
      <c r="F702" s="138"/>
      <c r="G702" s="138"/>
    </row>
    <row r="703" spans="1:16" x14ac:dyDescent="0.25">
      <c r="A703" s="6" t="s">
        <v>12</v>
      </c>
      <c r="B703" s="173" t="s">
        <v>707</v>
      </c>
    </row>
    <row r="704" spans="1:16" x14ac:dyDescent="0.25">
      <c r="A704" s="103" t="s">
        <v>14</v>
      </c>
      <c r="B704" s="104" t="s">
        <v>1017</v>
      </c>
      <c r="C704" s="66" t="s">
        <v>152</v>
      </c>
      <c r="D704" s="8"/>
      <c r="E704" s="8"/>
      <c r="F704" s="8"/>
      <c r="G704" s="8"/>
    </row>
    <row r="705" spans="1:8" x14ac:dyDescent="0.25">
      <c r="A705" s="95" t="s">
        <v>16</v>
      </c>
      <c r="B705" s="264"/>
      <c r="C705" s="264">
        <v>2022</v>
      </c>
      <c r="D705" s="264">
        <v>2023</v>
      </c>
      <c r="E705" s="264">
        <v>2024</v>
      </c>
      <c r="F705" s="90">
        <v>2025</v>
      </c>
    </row>
    <row r="706" spans="1:8" x14ac:dyDescent="0.25">
      <c r="A706" s="68" t="s">
        <v>17</v>
      </c>
      <c r="B706" s="72"/>
      <c r="C706" s="72">
        <v>177.27</v>
      </c>
      <c r="D706" s="72">
        <v>150.27000000000001</v>
      </c>
      <c r="E706" s="72">
        <v>150.27000000000001</v>
      </c>
      <c r="F706" s="90">
        <v>150.27000000000001</v>
      </c>
    </row>
    <row r="707" spans="1:8" x14ac:dyDescent="0.25">
      <c r="A707" s="68" t="s">
        <v>18</v>
      </c>
      <c r="B707" s="72"/>
      <c r="C707" s="72"/>
      <c r="D707" s="72"/>
      <c r="E707" s="72">
        <f>E706+D710</f>
        <v>136.54000000000002</v>
      </c>
      <c r="F707" s="130">
        <f>F706+E710</f>
        <v>141.54000000000002</v>
      </c>
    </row>
    <row r="708" spans="1:8" x14ac:dyDescent="0.25">
      <c r="A708" s="68" t="s">
        <v>19</v>
      </c>
      <c r="B708" s="265"/>
      <c r="C708" s="265"/>
      <c r="D708" s="265"/>
      <c r="E708" s="266" t="s">
        <v>543</v>
      </c>
      <c r="F708" s="90" t="s">
        <v>543</v>
      </c>
    </row>
    <row r="709" spans="1:8" x14ac:dyDescent="0.25">
      <c r="A709" s="68" t="s">
        <v>20</v>
      </c>
      <c r="B709" s="72"/>
      <c r="C709" s="72">
        <v>177</v>
      </c>
      <c r="D709" s="72">
        <v>164</v>
      </c>
      <c r="E709" s="72">
        <v>159</v>
      </c>
      <c r="F709" s="90"/>
    </row>
    <row r="710" spans="1:8" x14ac:dyDescent="0.25">
      <c r="A710" s="68" t="s">
        <v>21</v>
      </c>
      <c r="B710" s="72"/>
      <c r="C710" s="72">
        <f>C706-C709</f>
        <v>0.27000000000001023</v>
      </c>
      <c r="D710" s="72">
        <f>D706-D709</f>
        <v>-13.72999999999999</v>
      </c>
      <c r="E710" s="267">
        <f>E706-E709</f>
        <v>-8.7299999999999898</v>
      </c>
      <c r="F710" s="90"/>
    </row>
    <row r="711" spans="1:8" x14ac:dyDescent="0.25">
      <c r="A711" s="73" t="s">
        <v>22</v>
      </c>
      <c r="B711" s="74"/>
      <c r="C711" s="74"/>
      <c r="D711" s="74">
        <v>2024</v>
      </c>
      <c r="E711" s="74">
        <v>2025</v>
      </c>
      <c r="F711" s="90">
        <v>2026</v>
      </c>
    </row>
    <row r="712" spans="1:8" ht="13.2" customHeight="1" x14ac:dyDescent="0.25">
      <c r="A712" s="268" t="s">
        <v>23</v>
      </c>
      <c r="B712" s="268"/>
      <c r="C712" s="268"/>
      <c r="D712" s="268"/>
      <c r="E712" s="268"/>
      <c r="F712" s="90"/>
    </row>
    <row r="713" spans="1:8" ht="13.2" customHeight="1" x14ac:dyDescent="0.25">
      <c r="A713" s="92" t="s">
        <v>1018</v>
      </c>
      <c r="B713" s="258"/>
      <c r="C713" s="258"/>
      <c r="D713" s="258"/>
      <c r="E713" s="258"/>
      <c r="F713" s="63"/>
    </row>
    <row r="714" spans="1:8" x14ac:dyDescent="0.25">
      <c r="A714" s="110"/>
      <c r="B714" s="260"/>
      <c r="C714" s="260"/>
      <c r="D714" s="260"/>
      <c r="E714" s="122"/>
      <c r="F714" s="269"/>
      <c r="G714" s="119"/>
      <c r="H714" s="119"/>
    </row>
    <row r="715" spans="1:8" x14ac:dyDescent="0.25">
      <c r="A715" s="110"/>
      <c r="B715" s="260"/>
      <c r="C715" s="260"/>
      <c r="D715" s="138"/>
      <c r="E715" s="119"/>
      <c r="F715" s="119"/>
      <c r="G715" s="119"/>
      <c r="H715" s="119"/>
    </row>
    <row r="716" spans="1:8" x14ac:dyDescent="0.25">
      <c r="A716" s="103" t="s">
        <v>14</v>
      </c>
      <c r="B716" s="104" t="s">
        <v>642</v>
      </c>
      <c r="C716" s="66" t="s">
        <v>152</v>
      </c>
      <c r="D716" s="8"/>
      <c r="E716" s="8"/>
      <c r="F716" s="8"/>
      <c r="G716" s="8"/>
    </row>
    <row r="717" spans="1:8" x14ac:dyDescent="0.25">
      <c r="A717" s="95" t="s">
        <v>16</v>
      </c>
      <c r="B717" s="264"/>
      <c r="C717" s="264">
        <v>2021</v>
      </c>
      <c r="D717" s="264">
        <v>2022</v>
      </c>
      <c r="E717" s="264">
        <v>2023</v>
      </c>
      <c r="F717" s="264">
        <v>2024</v>
      </c>
      <c r="G717" s="264">
        <v>2025</v>
      </c>
    </row>
    <row r="718" spans="1:8" x14ac:dyDescent="0.25">
      <c r="A718" s="68" t="s">
        <v>17</v>
      </c>
      <c r="B718" s="72"/>
      <c r="C718" s="72">
        <v>330</v>
      </c>
      <c r="D718" s="72">
        <v>330</v>
      </c>
      <c r="E718" s="72">
        <v>513</v>
      </c>
      <c r="F718" s="72">
        <v>513</v>
      </c>
      <c r="G718" s="72">
        <v>513</v>
      </c>
    </row>
    <row r="719" spans="1:8" x14ac:dyDescent="0.25">
      <c r="A719" s="68" t="s">
        <v>18</v>
      </c>
      <c r="B719" s="72"/>
      <c r="C719" s="72"/>
      <c r="D719" s="72">
        <f>D718-259.62</f>
        <v>70.38</v>
      </c>
      <c r="E719" s="72">
        <f>E718-507.87</f>
        <v>5.1299999999999955</v>
      </c>
      <c r="F719" s="72">
        <f>F718-507.87</f>
        <v>5.1299999999999955</v>
      </c>
      <c r="G719" s="72">
        <f>G718-507.87</f>
        <v>5.1299999999999955</v>
      </c>
      <c r="H719" s="270"/>
    </row>
    <row r="720" spans="1:8" x14ac:dyDescent="0.25">
      <c r="A720" s="68" t="s">
        <v>19</v>
      </c>
      <c r="B720" s="265"/>
      <c r="C720" s="265"/>
      <c r="D720" s="265"/>
      <c r="E720" s="265"/>
      <c r="F720" s="265"/>
      <c r="G720" s="265"/>
    </row>
    <row r="721" spans="1:8" x14ac:dyDescent="0.25">
      <c r="A721" s="68" t="s">
        <v>20</v>
      </c>
      <c r="B721" s="72"/>
      <c r="C721" s="72">
        <v>326.61</v>
      </c>
      <c r="D721" s="72">
        <v>67.08</v>
      </c>
      <c r="E721" s="72">
        <v>0</v>
      </c>
      <c r="F721" s="72">
        <v>0</v>
      </c>
      <c r="G721" s="72"/>
    </row>
    <row r="722" spans="1:8" x14ac:dyDescent="0.25">
      <c r="A722" s="68" t="s">
        <v>21</v>
      </c>
      <c r="B722" s="72"/>
      <c r="C722" s="72">
        <f>C718-C721</f>
        <v>3.3899999999999864</v>
      </c>
      <c r="D722" s="72">
        <f>D719-D721</f>
        <v>3.2999999999999972</v>
      </c>
      <c r="E722" s="72">
        <f>E719-E721</f>
        <v>5.1299999999999955</v>
      </c>
      <c r="F722" s="72">
        <f>F719-F721</f>
        <v>5.1299999999999955</v>
      </c>
      <c r="G722" s="72"/>
    </row>
    <row r="723" spans="1:8" x14ac:dyDescent="0.25">
      <c r="A723" s="73" t="s">
        <v>22</v>
      </c>
      <c r="B723" s="74"/>
      <c r="C723" s="74"/>
      <c r="D723" s="74"/>
      <c r="E723" s="74"/>
      <c r="F723" s="74"/>
      <c r="G723" s="74"/>
    </row>
    <row r="724" spans="1:8" ht="13.2" customHeight="1" x14ac:dyDescent="0.25">
      <c r="A724" s="268" t="s">
        <v>23</v>
      </c>
      <c r="B724" s="268"/>
      <c r="C724" s="268"/>
      <c r="D724" s="268"/>
      <c r="E724" s="268"/>
      <c r="F724" s="268"/>
      <c r="G724" s="268"/>
    </row>
    <row r="725" spans="1:8" x14ac:dyDescent="0.25">
      <c r="A725" s="73" t="s">
        <v>660</v>
      </c>
      <c r="B725" s="75"/>
      <c r="C725" s="75"/>
      <c r="D725" s="75"/>
      <c r="E725" s="271"/>
      <c r="F725" s="47"/>
    </row>
    <row r="726" spans="1:8" ht="12.75" customHeight="1" x14ac:dyDescent="0.25">
      <c r="A726" s="94" t="s">
        <v>1016</v>
      </c>
      <c r="B726" s="8"/>
      <c r="C726" s="8"/>
      <c r="D726" s="8"/>
      <c r="E726" s="119"/>
      <c r="F726" s="64"/>
    </row>
    <row r="727" spans="1:8" x14ac:dyDescent="0.25">
      <c r="A727" s="110" t="s">
        <v>959</v>
      </c>
      <c r="B727" s="260"/>
      <c r="C727" s="260"/>
      <c r="D727" s="260"/>
      <c r="E727" s="122"/>
      <c r="F727" s="269"/>
      <c r="G727" s="119"/>
      <c r="H727" s="119"/>
    </row>
    <row r="728" spans="1:8" x14ac:dyDescent="0.25">
      <c r="A728" s="80"/>
      <c r="B728" s="138"/>
      <c r="C728" s="138"/>
      <c r="D728" s="138"/>
      <c r="E728" s="119"/>
      <c r="F728" s="119"/>
      <c r="G728" s="119"/>
      <c r="H728" s="119"/>
    </row>
    <row r="729" spans="1:8" x14ac:dyDescent="0.25">
      <c r="A729" s="710" t="s">
        <v>14</v>
      </c>
      <c r="B729" s="711" t="s">
        <v>1249</v>
      </c>
      <c r="C729" s="66" t="s">
        <v>152</v>
      </c>
      <c r="D729" s="138"/>
      <c r="E729" s="119"/>
      <c r="F729" s="119"/>
      <c r="G729" s="119"/>
      <c r="H729" s="119"/>
    </row>
    <row r="730" spans="1:8" x14ac:dyDescent="0.25">
      <c r="A730" s="95" t="s">
        <v>16</v>
      </c>
      <c r="B730" s="264"/>
      <c r="C730" s="264">
        <v>2022</v>
      </c>
      <c r="D730" s="264">
        <v>2023</v>
      </c>
      <c r="E730" s="264">
        <v>2024</v>
      </c>
      <c r="F730" s="264">
        <v>2025</v>
      </c>
    </row>
    <row r="731" spans="1:8" x14ac:dyDescent="0.25">
      <c r="A731" s="68" t="s">
        <v>17</v>
      </c>
      <c r="B731" s="72"/>
      <c r="C731" s="712"/>
      <c r="D731" s="712"/>
      <c r="E731" s="713"/>
      <c r="F731" s="713">
        <v>125</v>
      </c>
      <c r="G731" s="119"/>
      <c r="H731" s="119"/>
    </row>
    <row r="732" spans="1:8" x14ac:dyDescent="0.25">
      <c r="A732" s="68" t="s">
        <v>18</v>
      </c>
      <c r="B732" s="72"/>
      <c r="C732" s="712"/>
      <c r="D732" s="715">
        <f>C735</f>
        <v>-6.3249999999999993</v>
      </c>
      <c r="E732" s="715">
        <f t="shared" ref="E732:F732" si="34">D735</f>
        <v>-79.325000000000003</v>
      </c>
      <c r="F732" s="715">
        <f t="shared" si="34"/>
        <v>-159.64999999999998</v>
      </c>
      <c r="G732" s="119"/>
      <c r="H732" s="119"/>
    </row>
    <row r="733" spans="1:8" ht="26.4" x14ac:dyDescent="0.25">
      <c r="A733" s="68" t="s">
        <v>19</v>
      </c>
      <c r="B733" s="265"/>
      <c r="C733" s="712"/>
      <c r="D733" s="716" t="s">
        <v>1252</v>
      </c>
      <c r="E733" s="716" t="s">
        <v>1251</v>
      </c>
      <c r="F733" s="716" t="s">
        <v>1250</v>
      </c>
      <c r="G733" s="119"/>
      <c r="H733" s="119"/>
    </row>
    <row r="734" spans="1:8" x14ac:dyDescent="0.25">
      <c r="A734" s="68" t="s">
        <v>20</v>
      </c>
      <c r="B734" s="72"/>
      <c r="C734" s="130">
        <v>26</v>
      </c>
      <c r="D734" s="130">
        <v>73</v>
      </c>
      <c r="E734" s="130">
        <v>100</v>
      </c>
      <c r="F734" s="130"/>
      <c r="G734" s="119"/>
      <c r="H734" s="119"/>
    </row>
    <row r="735" spans="1:8" x14ac:dyDescent="0.25">
      <c r="A735" s="68" t="s">
        <v>21</v>
      </c>
      <c r="B735" s="72"/>
      <c r="C735" s="130">
        <v>-6.3249999999999993</v>
      </c>
      <c r="D735" s="130">
        <v>-79.325000000000003</v>
      </c>
      <c r="E735" s="130">
        <v>-159.64999999999998</v>
      </c>
      <c r="F735" s="713"/>
      <c r="G735" s="119"/>
      <c r="H735" s="119"/>
    </row>
    <row r="736" spans="1:8" x14ac:dyDescent="0.25">
      <c r="A736" s="73" t="s">
        <v>22</v>
      </c>
      <c r="B736" s="74"/>
      <c r="C736" s="712"/>
      <c r="D736" s="712"/>
      <c r="E736" s="713"/>
      <c r="F736" s="713"/>
      <c r="G736" s="119"/>
      <c r="H736" s="119"/>
    </row>
    <row r="737" spans="1:9" x14ac:dyDescent="0.25">
      <c r="A737" s="717" t="s">
        <v>23</v>
      </c>
      <c r="B737" s="713"/>
      <c r="C737" s="659"/>
      <c r="D737" s="659"/>
      <c r="E737" s="718"/>
      <c r="F737" s="719"/>
      <c r="G737" s="119"/>
      <c r="H737" s="119"/>
    </row>
    <row r="738" spans="1:9" x14ac:dyDescent="0.25">
      <c r="A738" s="80"/>
      <c r="B738" s="138"/>
      <c r="C738" s="138"/>
      <c r="D738" s="138"/>
      <c r="E738" s="119"/>
      <c r="F738" s="119"/>
      <c r="G738" s="119"/>
      <c r="H738" s="119"/>
    </row>
    <row r="740" spans="1:9" x14ac:dyDescent="0.25">
      <c r="A740" s="6" t="s">
        <v>12</v>
      </c>
      <c r="B740" s="173" t="s">
        <v>259</v>
      </c>
    </row>
    <row r="741" spans="1:9" x14ac:dyDescent="0.25">
      <c r="A741" s="103" t="s">
        <v>14</v>
      </c>
      <c r="B741" s="104" t="s">
        <v>66</v>
      </c>
      <c r="C741" s="66" t="s">
        <v>152</v>
      </c>
      <c r="D741" s="8"/>
      <c r="E741" s="8"/>
      <c r="F741" s="8"/>
      <c r="G741" s="8"/>
    </row>
    <row r="742" spans="1:9" x14ac:dyDescent="0.25">
      <c r="A742" s="95" t="s">
        <v>16</v>
      </c>
      <c r="B742" s="272" t="s">
        <v>243</v>
      </c>
      <c r="C742" s="264" t="s">
        <v>244</v>
      </c>
      <c r="D742" s="264" t="s">
        <v>286</v>
      </c>
      <c r="E742" s="264" t="s">
        <v>594</v>
      </c>
      <c r="F742" s="264" t="s">
        <v>789</v>
      </c>
      <c r="G742" s="273" t="s">
        <v>1177</v>
      </c>
      <c r="H742" s="273" t="s">
        <v>1178</v>
      </c>
      <c r="I742" s="273" t="s">
        <v>1179</v>
      </c>
    </row>
    <row r="743" spans="1:9" x14ac:dyDescent="0.25">
      <c r="A743" s="68" t="s">
        <v>17</v>
      </c>
      <c r="B743" s="72" t="s">
        <v>47</v>
      </c>
      <c r="C743" s="72" t="s">
        <v>47</v>
      </c>
      <c r="D743" s="72">
        <v>1552.77</v>
      </c>
      <c r="E743" s="72">
        <v>1527.9256800000001</v>
      </c>
      <c r="F743" s="72">
        <v>1540.3478400000001</v>
      </c>
      <c r="G743" s="131">
        <v>1540.3478400000001</v>
      </c>
      <c r="H743" s="131">
        <v>1553</v>
      </c>
      <c r="I743" s="131">
        <v>1980</v>
      </c>
    </row>
    <row r="744" spans="1:9" x14ac:dyDescent="0.25">
      <c r="A744" s="68" t="s">
        <v>18</v>
      </c>
      <c r="B744" s="72" t="s">
        <v>47</v>
      </c>
      <c r="C744" s="72" t="s">
        <v>47</v>
      </c>
      <c r="D744" s="72"/>
      <c r="E744" s="72"/>
      <c r="F744" s="72"/>
      <c r="G744" s="90"/>
      <c r="H744" s="90"/>
      <c r="I744" s="90"/>
    </row>
    <row r="745" spans="1:9" x14ac:dyDescent="0.25">
      <c r="A745" s="68" t="s">
        <v>19</v>
      </c>
      <c r="B745" s="265"/>
      <c r="C745" s="265"/>
      <c r="D745" s="265"/>
      <c r="E745" s="265"/>
      <c r="F745" s="265"/>
      <c r="G745" s="90"/>
      <c r="H745" s="90"/>
      <c r="I745" s="90"/>
    </row>
    <row r="746" spans="1:9" x14ac:dyDescent="0.25">
      <c r="A746" s="68" t="s">
        <v>20</v>
      </c>
      <c r="B746" s="72">
        <v>2633.56</v>
      </c>
      <c r="C746" s="72">
        <v>2463.83</v>
      </c>
      <c r="D746" s="72">
        <v>1518</v>
      </c>
      <c r="E746" s="72">
        <v>1491.84</v>
      </c>
      <c r="F746" s="72">
        <v>1499.98</v>
      </c>
      <c r="G746" s="72">
        <v>1396.63</v>
      </c>
      <c r="H746" s="90">
        <v>1542.47</v>
      </c>
      <c r="I746" s="90"/>
    </row>
    <row r="747" spans="1:9" x14ac:dyDescent="0.25">
      <c r="A747" s="68" t="s">
        <v>21</v>
      </c>
      <c r="B747" s="72" t="s">
        <v>47</v>
      </c>
      <c r="C747" s="72" t="s">
        <v>47</v>
      </c>
      <c r="D747" s="72">
        <f>D743-D746</f>
        <v>34.769999999999982</v>
      </c>
      <c r="E747" s="72">
        <f>E743-E746</f>
        <v>36.085680000000139</v>
      </c>
      <c r="F747" s="72">
        <f>F743-F746</f>
        <v>40.367840000000115</v>
      </c>
      <c r="G747" s="72">
        <f t="shared" ref="G747:I747" si="35">G743-G746</f>
        <v>143.71784000000002</v>
      </c>
      <c r="H747" s="72">
        <f t="shared" si="35"/>
        <v>10.529999999999973</v>
      </c>
      <c r="I747" s="72">
        <f t="shared" si="35"/>
        <v>1980</v>
      </c>
    </row>
    <row r="748" spans="1:9" x14ac:dyDescent="0.25">
      <c r="A748" s="92" t="s">
        <v>22</v>
      </c>
      <c r="B748" s="274"/>
      <c r="C748" s="274"/>
      <c r="D748" s="274"/>
      <c r="E748" s="274"/>
      <c r="F748" s="274"/>
      <c r="G748" s="62"/>
      <c r="H748" s="62"/>
      <c r="I748" s="62"/>
    </row>
    <row r="749" spans="1:9" x14ac:dyDescent="0.25">
      <c r="A749" s="698" t="s">
        <v>787</v>
      </c>
      <c r="B749" s="699"/>
      <c r="C749" s="699"/>
      <c r="D749" s="699"/>
      <c r="E749" s="699"/>
      <c r="F749" s="258"/>
      <c r="G749" s="258"/>
      <c r="H749" s="258"/>
      <c r="I749" s="63"/>
    </row>
    <row r="750" spans="1:9" x14ac:dyDescent="0.25">
      <c r="A750" s="39" t="s">
        <v>788</v>
      </c>
      <c r="I750" s="64"/>
    </row>
    <row r="751" spans="1:9" x14ac:dyDescent="0.25">
      <c r="A751" s="41" t="s">
        <v>790</v>
      </c>
      <c r="B751" s="34"/>
      <c r="C751" s="34"/>
      <c r="D751" s="34"/>
      <c r="E751" s="34"/>
      <c r="F751" s="34"/>
      <c r="G751" s="34"/>
      <c r="H751" s="34"/>
      <c r="I751" s="48"/>
    </row>
    <row r="753" spans="1:13" ht="13.2" customHeight="1" x14ac:dyDescent="0.25"/>
    <row r="754" spans="1:13" x14ac:dyDescent="0.25">
      <c r="A754" s="6" t="s">
        <v>12</v>
      </c>
      <c r="B754" s="173" t="s">
        <v>39</v>
      </c>
    </row>
    <row r="755" spans="1:13" x14ac:dyDescent="0.25">
      <c r="A755" s="151" t="s">
        <v>14</v>
      </c>
      <c r="B755" s="275" t="s">
        <v>624</v>
      </c>
      <c r="C755" s="7" t="s">
        <v>15</v>
      </c>
    </row>
    <row r="756" spans="1:13" x14ac:dyDescent="0.25">
      <c r="A756" s="41" t="s">
        <v>16</v>
      </c>
      <c r="B756" s="276">
        <v>2014</v>
      </c>
      <c r="C756" s="154">
        <v>2015</v>
      </c>
      <c r="D756" s="154">
        <v>2016</v>
      </c>
      <c r="E756" s="154">
        <v>2017</v>
      </c>
      <c r="F756" s="154">
        <v>2018</v>
      </c>
      <c r="G756" s="154">
        <v>2019</v>
      </c>
      <c r="H756" s="154">
        <v>2020</v>
      </c>
      <c r="I756" s="154">
        <v>2021</v>
      </c>
      <c r="J756" s="154">
        <v>2022</v>
      </c>
      <c r="K756" s="154">
        <v>2023</v>
      </c>
      <c r="L756" s="154">
        <v>2024</v>
      </c>
      <c r="M756" s="154">
        <v>2025</v>
      </c>
    </row>
    <row r="757" spans="1:13" x14ac:dyDescent="0.25">
      <c r="A757" s="10" t="s">
        <v>17</v>
      </c>
      <c r="B757" s="277">
        <v>21551.3</v>
      </c>
      <c r="C757" s="277">
        <v>21551.3</v>
      </c>
      <c r="D757" s="277">
        <v>21551.3</v>
      </c>
      <c r="E757" s="277">
        <v>21551.3</v>
      </c>
      <c r="F757" s="277">
        <v>25861.599999999999</v>
      </c>
      <c r="G757" s="277">
        <v>25861.599999999999</v>
      </c>
      <c r="H757" s="277">
        <v>25861.599999999999</v>
      </c>
      <c r="I757" s="12">
        <v>29095.1</v>
      </c>
      <c r="J757" s="12">
        <v>29095.1</v>
      </c>
      <c r="K757" s="12">
        <v>29095.1</v>
      </c>
      <c r="L757" s="12">
        <v>35815.9</v>
      </c>
      <c r="M757" s="12">
        <v>35815.9</v>
      </c>
    </row>
    <row r="758" spans="1:13" x14ac:dyDescent="0.25">
      <c r="A758" s="10" t="s">
        <v>18</v>
      </c>
      <c r="B758" s="277">
        <v>26534.959999999999</v>
      </c>
      <c r="C758" s="277">
        <v>26939.13</v>
      </c>
      <c r="D758" s="277">
        <v>24541.7</v>
      </c>
      <c r="E758" s="277">
        <v>26939.125</v>
      </c>
      <c r="F758" s="277">
        <v>26094.649999999998</v>
      </c>
      <c r="G758" s="277">
        <v>29536.849000000002</v>
      </c>
      <c r="H758" s="277">
        <v>26869.420999999995</v>
      </c>
      <c r="I758" s="12">
        <f>I757+G761-434.04</f>
        <v>28121.021000000001</v>
      </c>
      <c r="J758" s="12">
        <f>J757+H761-0.0152*J757</f>
        <v>29941.571479999991</v>
      </c>
      <c r="K758" s="12">
        <f>K757+I761-0.0152*I757</f>
        <v>30678.782479999994</v>
      </c>
      <c r="L758" s="12">
        <f>L757+J761</f>
        <v>38912.721479999993</v>
      </c>
      <c r="M758" s="12">
        <f>M757+K761</f>
        <v>43134.292479999996</v>
      </c>
    </row>
    <row r="759" spans="1:13" ht="52.8" x14ac:dyDescent="0.25">
      <c r="A759" s="10" t="s">
        <v>19</v>
      </c>
      <c r="B759" s="278" t="s">
        <v>40</v>
      </c>
      <c r="C759" s="278" t="s">
        <v>41</v>
      </c>
      <c r="D759" s="278" t="s">
        <v>42</v>
      </c>
      <c r="E759" s="279" t="s">
        <v>43</v>
      </c>
      <c r="F759" s="279" t="s">
        <v>44</v>
      </c>
      <c r="G759" s="279" t="s">
        <v>45</v>
      </c>
      <c r="H759" s="279" t="s">
        <v>46</v>
      </c>
      <c r="I759" s="280" t="s">
        <v>471</v>
      </c>
      <c r="J759" s="280" t="s">
        <v>472</v>
      </c>
      <c r="K759" s="280" t="s">
        <v>634</v>
      </c>
      <c r="L759" s="280" t="s">
        <v>1006</v>
      </c>
      <c r="M759" s="280" t="s">
        <v>1125</v>
      </c>
    </row>
    <row r="760" spans="1:13" ht="12.6" customHeight="1" x14ac:dyDescent="0.25">
      <c r="A760" s="10" t="s">
        <v>20</v>
      </c>
      <c r="B760" s="12">
        <v>23544.560000000001</v>
      </c>
      <c r="C760" s="12">
        <v>20891.8</v>
      </c>
      <c r="D760" s="12">
        <v>24308.65</v>
      </c>
      <c r="E760" s="12">
        <v>23263.875999999997</v>
      </c>
      <c r="F760" s="12">
        <v>25086.829000000002</v>
      </c>
      <c r="G760" s="12">
        <v>30076.887999999999</v>
      </c>
      <c r="H760" s="12">
        <v>25580.704000000002</v>
      </c>
      <c r="I760" s="12">
        <v>26095.093000000004</v>
      </c>
      <c r="J760" s="12">
        <v>26844.75</v>
      </c>
      <c r="K760" s="12">
        <v>23360.39</v>
      </c>
      <c r="L760" s="12">
        <v>19901.083999999999</v>
      </c>
      <c r="M760" s="12"/>
    </row>
    <row r="761" spans="1:13" x14ac:dyDescent="0.25">
      <c r="A761" s="10" t="s">
        <v>21</v>
      </c>
      <c r="B761" s="12">
        <v>2990.4</v>
      </c>
      <c r="C761" s="12">
        <v>6047.33</v>
      </c>
      <c r="D761" s="12">
        <v>233.04999999999927</v>
      </c>
      <c r="E761" s="12">
        <v>3675.2490000000034</v>
      </c>
      <c r="F761" s="12">
        <v>1007.8209999999963</v>
      </c>
      <c r="G761" s="12">
        <f t="shared" ref="G761:L761" si="36">G758-G760</f>
        <v>-540.03899999999703</v>
      </c>
      <c r="H761" s="12">
        <f t="shared" si="36"/>
        <v>1288.7169999999933</v>
      </c>
      <c r="I761" s="12">
        <f t="shared" si="36"/>
        <v>2025.9279999999962</v>
      </c>
      <c r="J761" s="12">
        <f t="shared" si="36"/>
        <v>3096.8214799999914</v>
      </c>
      <c r="K761" s="12">
        <f t="shared" si="36"/>
        <v>7318.392479999995</v>
      </c>
      <c r="L761" s="12">
        <f t="shared" si="36"/>
        <v>19011.637479999994</v>
      </c>
      <c r="M761" s="12"/>
    </row>
    <row r="762" spans="1:13" x14ac:dyDescent="0.25">
      <c r="A762" s="16" t="s">
        <v>22</v>
      </c>
      <c r="B762" s="159">
        <v>2016</v>
      </c>
      <c r="C762" s="159">
        <v>2017</v>
      </c>
      <c r="D762" s="159">
        <v>2018</v>
      </c>
      <c r="E762" s="159">
        <v>2019</v>
      </c>
      <c r="F762" s="159">
        <v>2020</v>
      </c>
      <c r="G762" s="159">
        <v>2021</v>
      </c>
      <c r="H762" s="159">
        <v>2022</v>
      </c>
      <c r="I762" s="159">
        <v>2023</v>
      </c>
      <c r="J762" s="159">
        <v>2024</v>
      </c>
      <c r="K762" s="159">
        <v>2025</v>
      </c>
      <c r="L762" s="159">
        <v>2026</v>
      </c>
      <c r="M762" s="159">
        <v>2027</v>
      </c>
    </row>
    <row r="763" spans="1:13" x14ac:dyDescent="0.25">
      <c r="A763" s="18" t="s">
        <v>469</v>
      </c>
      <c r="B763" s="281"/>
      <c r="C763" s="281"/>
      <c r="D763" s="281"/>
      <c r="E763" s="281"/>
      <c r="F763" s="281"/>
      <c r="G763" s="281"/>
      <c r="H763" s="281"/>
      <c r="I763" s="281"/>
      <c r="J763" s="19"/>
      <c r="K763" s="19"/>
      <c r="L763" s="19"/>
      <c r="M763" s="63"/>
    </row>
    <row r="764" spans="1:13" x14ac:dyDescent="0.25">
      <c r="A764" s="39" t="s">
        <v>470</v>
      </c>
      <c r="B764" s="282"/>
      <c r="C764" s="282"/>
      <c r="D764" s="282"/>
      <c r="E764" s="282"/>
      <c r="F764" s="282"/>
      <c r="G764" s="282"/>
      <c r="H764" s="282"/>
      <c r="I764" s="282"/>
      <c r="M764" s="64"/>
    </row>
    <row r="765" spans="1:13" x14ac:dyDescent="0.25">
      <c r="A765" s="39" t="s">
        <v>473</v>
      </c>
      <c r="B765" s="282"/>
      <c r="C765" s="282"/>
      <c r="D765" s="282"/>
      <c r="E765" s="282"/>
      <c r="F765" s="282"/>
      <c r="G765" s="282"/>
      <c r="H765" s="282"/>
      <c r="I765" s="282"/>
      <c r="M765" s="64"/>
    </row>
    <row r="766" spans="1:13" x14ac:dyDescent="0.25">
      <c r="A766" s="39" t="s">
        <v>474</v>
      </c>
      <c r="B766" s="282"/>
      <c r="C766" s="282"/>
      <c r="D766" s="282"/>
      <c r="E766" s="282"/>
      <c r="F766" s="282"/>
      <c r="G766" s="282"/>
      <c r="H766" s="282"/>
      <c r="I766" s="282"/>
      <c r="M766" s="64"/>
    </row>
    <row r="767" spans="1:13" x14ac:dyDescent="0.25">
      <c r="A767" s="41" t="s">
        <v>635</v>
      </c>
      <c r="B767" s="283"/>
      <c r="C767" s="283"/>
      <c r="D767" s="283"/>
      <c r="E767" s="283"/>
      <c r="F767" s="283"/>
      <c r="G767" s="283"/>
      <c r="H767" s="283"/>
      <c r="I767" s="283"/>
      <c r="J767" s="34"/>
      <c r="K767" s="34"/>
      <c r="L767" s="34"/>
      <c r="M767" s="48"/>
    </row>
    <row r="769" spans="1:14" x14ac:dyDescent="0.25">
      <c r="A769" s="6" t="s">
        <v>14</v>
      </c>
      <c r="B769" s="173" t="s">
        <v>638</v>
      </c>
      <c r="C769" s="7" t="s">
        <v>15</v>
      </c>
    </row>
    <row r="770" spans="1:14" x14ac:dyDescent="0.25">
      <c r="A770" s="41" t="s">
        <v>16</v>
      </c>
      <c r="B770" s="276">
        <v>2014</v>
      </c>
      <c r="C770" s="154">
        <v>2015</v>
      </c>
      <c r="D770" s="154">
        <v>2016</v>
      </c>
      <c r="E770" s="154">
        <v>2017</v>
      </c>
      <c r="F770" s="154">
        <v>2018</v>
      </c>
      <c r="G770" s="154">
        <v>2019</v>
      </c>
      <c r="H770" s="154">
        <v>2020</v>
      </c>
      <c r="I770" s="154">
        <v>2021</v>
      </c>
      <c r="J770" s="154">
        <v>2022</v>
      </c>
      <c r="K770" s="154">
        <v>2023</v>
      </c>
      <c r="L770" s="154">
        <v>2024</v>
      </c>
      <c r="M770" s="154">
        <v>2025</v>
      </c>
      <c r="N770" s="154">
        <v>2026</v>
      </c>
    </row>
    <row r="771" spans="1:14" x14ac:dyDescent="0.25">
      <c r="A771" s="10" t="s">
        <v>17</v>
      </c>
      <c r="B771" s="277">
        <v>1470</v>
      </c>
      <c r="C771" s="277">
        <v>1470</v>
      </c>
      <c r="D771" s="277">
        <v>1470</v>
      </c>
      <c r="E771" s="277">
        <v>1470</v>
      </c>
      <c r="F771" s="277">
        <v>1470</v>
      </c>
      <c r="G771" s="277">
        <v>1470</v>
      </c>
      <c r="H771" s="277">
        <v>1470</v>
      </c>
      <c r="I771" s="12">
        <v>1470</v>
      </c>
      <c r="J771" s="12">
        <v>1470</v>
      </c>
      <c r="K771" s="12">
        <v>1765</v>
      </c>
      <c r="L771" s="12">
        <v>1765</v>
      </c>
      <c r="M771" s="12">
        <v>1765</v>
      </c>
      <c r="N771" s="12">
        <v>1765</v>
      </c>
    </row>
    <row r="772" spans="1:14" x14ac:dyDescent="0.25">
      <c r="A772" s="10" t="s">
        <v>18</v>
      </c>
      <c r="B772" s="277">
        <v>1470</v>
      </c>
      <c r="C772" s="277">
        <v>1719</v>
      </c>
      <c r="D772" s="277">
        <v>1837.5</v>
      </c>
      <c r="E772" s="277">
        <v>1837.5</v>
      </c>
      <c r="F772" s="277">
        <v>1837.5</v>
      </c>
      <c r="G772" s="277">
        <v>1837.5</v>
      </c>
      <c r="H772" s="277">
        <v>1837.5</v>
      </c>
      <c r="I772" s="277">
        <f>+I771+G771*0.25</f>
        <v>1837.5</v>
      </c>
      <c r="J772" s="277">
        <f>+J771+H771*0.25</f>
        <v>1837.5</v>
      </c>
      <c r="K772" s="277">
        <f>K771+I771*0.25</f>
        <v>2132.5</v>
      </c>
      <c r="L772" s="277">
        <v>2132.5</v>
      </c>
      <c r="M772" s="277">
        <f>M771+0.25*K771</f>
        <v>2206.25</v>
      </c>
      <c r="N772" s="277">
        <f>N771+0.25*L771</f>
        <v>2206.25</v>
      </c>
    </row>
    <row r="773" spans="1:14" ht="26.4" x14ac:dyDescent="0.25">
      <c r="A773" s="10" t="s">
        <v>19</v>
      </c>
      <c r="B773" s="278" t="s">
        <v>47</v>
      </c>
      <c r="C773" s="278" t="s">
        <v>48</v>
      </c>
      <c r="D773" s="278" t="s">
        <v>49</v>
      </c>
      <c r="E773" s="279" t="s">
        <v>43</v>
      </c>
      <c r="F773" s="279" t="s">
        <v>50</v>
      </c>
      <c r="G773" s="279" t="s">
        <v>51</v>
      </c>
      <c r="H773" s="279" t="s">
        <v>52</v>
      </c>
      <c r="I773" s="280" t="s">
        <v>263</v>
      </c>
      <c r="J773" s="280" t="s">
        <v>478</v>
      </c>
      <c r="K773" s="280" t="s">
        <v>711</v>
      </c>
      <c r="L773" s="284" t="s">
        <v>543</v>
      </c>
      <c r="M773" s="280" t="s">
        <v>1107</v>
      </c>
      <c r="N773" s="280" t="s">
        <v>1131</v>
      </c>
    </row>
    <row r="774" spans="1:14" x14ac:dyDescent="0.25">
      <c r="A774" s="10" t="s">
        <v>20</v>
      </c>
      <c r="B774" s="12">
        <v>335.36</v>
      </c>
      <c r="C774" s="12">
        <v>472.71</v>
      </c>
      <c r="D774" s="12">
        <v>54.77</v>
      </c>
      <c r="E774" s="12">
        <v>178.2</v>
      </c>
      <c r="F774" s="12">
        <v>102.81099999999999</v>
      </c>
      <c r="G774" s="279">
        <v>81.733813276999982</v>
      </c>
      <c r="H774" s="12">
        <v>60.466000000000008</v>
      </c>
      <c r="I774" s="12">
        <v>70.94</v>
      </c>
      <c r="J774" s="12">
        <v>71.53</v>
      </c>
      <c r="K774" s="12">
        <v>41.71</v>
      </c>
      <c r="L774" s="12">
        <v>67.03</v>
      </c>
      <c r="M774" s="12"/>
      <c r="N774" s="12"/>
    </row>
    <row r="775" spans="1:14" x14ac:dyDescent="0.25">
      <c r="A775" s="10" t="s">
        <v>21</v>
      </c>
      <c r="B775" s="12">
        <v>1135</v>
      </c>
      <c r="C775" s="12">
        <v>1246.29</v>
      </c>
      <c r="D775" s="12">
        <v>1782.73</v>
      </c>
      <c r="E775" s="12">
        <v>1659.3</v>
      </c>
      <c r="F775" s="12">
        <v>1734.6890000000001</v>
      </c>
      <c r="G775" s="279">
        <f t="shared" ref="G775:L775" si="37">G772-G774</f>
        <v>1755.7661867229999</v>
      </c>
      <c r="H775" s="12">
        <f t="shared" si="37"/>
        <v>1777.0340000000001</v>
      </c>
      <c r="I775" s="12">
        <f t="shared" si="37"/>
        <v>1766.56</v>
      </c>
      <c r="J775" s="12">
        <f t="shared" si="37"/>
        <v>1765.97</v>
      </c>
      <c r="K775" s="12">
        <f t="shared" si="37"/>
        <v>2090.79</v>
      </c>
      <c r="L775" s="12">
        <f t="shared" si="37"/>
        <v>2065.4699999999998</v>
      </c>
      <c r="M775" s="12"/>
      <c r="N775" s="12"/>
    </row>
    <row r="776" spans="1:14" x14ac:dyDescent="0.25">
      <c r="A776" s="16" t="s">
        <v>22</v>
      </c>
      <c r="B776" s="159">
        <v>2016</v>
      </c>
      <c r="C776" s="159">
        <v>2017</v>
      </c>
      <c r="D776" s="159">
        <v>2018</v>
      </c>
      <c r="E776" s="159">
        <v>2019</v>
      </c>
      <c r="F776" s="159">
        <v>2020</v>
      </c>
      <c r="G776" s="159">
        <v>2021</v>
      </c>
      <c r="H776" s="159">
        <v>2022</v>
      </c>
      <c r="I776" s="159">
        <v>2023</v>
      </c>
      <c r="J776" s="159">
        <v>2024</v>
      </c>
      <c r="K776" s="159">
        <v>2025</v>
      </c>
      <c r="L776" s="159">
        <v>2026</v>
      </c>
      <c r="M776" s="159">
        <v>2027</v>
      </c>
      <c r="N776" s="159">
        <v>2028</v>
      </c>
    </row>
    <row r="777" spans="1:14" x14ac:dyDescent="0.25">
      <c r="A777" s="18" t="s">
        <v>476</v>
      </c>
      <c r="B777" s="281"/>
      <c r="C777" s="281"/>
      <c r="D777" s="281"/>
      <c r="E777" s="281"/>
      <c r="F777" s="281"/>
      <c r="G777" s="281"/>
      <c r="H777" s="281"/>
      <c r="I777" s="281"/>
      <c r="J777" s="19"/>
      <c r="K777" s="19"/>
      <c r="L777" s="19"/>
      <c r="M777" s="19"/>
      <c r="N777" s="63"/>
    </row>
    <row r="778" spans="1:14" x14ac:dyDescent="0.25">
      <c r="A778" s="39" t="s">
        <v>475</v>
      </c>
      <c r="N778" s="64"/>
    </row>
    <row r="779" spans="1:14" x14ac:dyDescent="0.25">
      <c r="A779" s="39" t="s">
        <v>477</v>
      </c>
      <c r="N779" s="64"/>
    </row>
    <row r="780" spans="1:14" x14ac:dyDescent="0.25">
      <c r="A780" s="39" t="s">
        <v>712</v>
      </c>
      <c r="N780" s="64"/>
    </row>
    <row r="781" spans="1:14" x14ac:dyDescent="0.25">
      <c r="A781" s="39" t="s">
        <v>1031</v>
      </c>
      <c r="N781" s="64"/>
    </row>
    <row r="782" spans="1:14" x14ac:dyDescent="0.25">
      <c r="A782" s="41" t="s">
        <v>1108</v>
      </c>
      <c r="B782" s="34"/>
      <c r="C782" s="34"/>
      <c r="D782" s="34"/>
      <c r="E782" s="34"/>
      <c r="F782" s="34"/>
      <c r="G782" s="34"/>
      <c r="H782" s="34"/>
      <c r="I782" s="34"/>
      <c r="J782" s="34"/>
      <c r="K782" s="34"/>
      <c r="L782" s="34"/>
      <c r="M782" s="34"/>
      <c r="N782" s="48"/>
    </row>
    <row r="784" spans="1:14" x14ac:dyDescent="0.25">
      <c r="A784" s="6" t="s">
        <v>14</v>
      </c>
      <c r="B784" s="173" t="s">
        <v>623</v>
      </c>
      <c r="C784" s="7" t="s">
        <v>15</v>
      </c>
    </row>
    <row r="785" spans="1:13" x14ac:dyDescent="0.25">
      <c r="A785" s="41" t="s">
        <v>16</v>
      </c>
      <c r="B785" s="276">
        <v>2014</v>
      </c>
      <c r="C785" s="154">
        <v>2015</v>
      </c>
      <c r="D785" s="154">
        <v>2016</v>
      </c>
      <c r="E785" s="154">
        <v>2017</v>
      </c>
      <c r="F785" s="154">
        <v>2018</v>
      </c>
      <c r="G785" s="154">
        <v>2019</v>
      </c>
      <c r="H785" s="154">
        <v>2020</v>
      </c>
      <c r="I785" s="154">
        <v>2021</v>
      </c>
      <c r="J785" s="154">
        <v>2022</v>
      </c>
      <c r="K785" s="154">
        <v>2023</v>
      </c>
      <c r="L785" s="154">
        <v>2024</v>
      </c>
      <c r="M785" s="285">
        <v>2025</v>
      </c>
    </row>
    <row r="786" spans="1:13" x14ac:dyDescent="0.25">
      <c r="A786" s="10" t="s">
        <v>17</v>
      </c>
      <c r="B786" s="277">
        <v>6718</v>
      </c>
      <c r="C786" s="277">
        <v>6718</v>
      </c>
      <c r="D786" s="277">
        <v>6718</v>
      </c>
      <c r="E786" s="277">
        <v>6718</v>
      </c>
      <c r="F786" s="277">
        <v>6718</v>
      </c>
      <c r="G786" s="277">
        <v>6718</v>
      </c>
      <c r="H786" s="277">
        <v>6718</v>
      </c>
      <c r="I786" s="12">
        <v>6718</v>
      </c>
      <c r="J786" s="12">
        <v>6718</v>
      </c>
      <c r="K786" s="12">
        <v>6717.33</v>
      </c>
      <c r="L786" s="12">
        <v>6717.33</v>
      </c>
      <c r="M786" s="90">
        <v>7408.33</v>
      </c>
    </row>
    <row r="787" spans="1:13" x14ac:dyDescent="0.25">
      <c r="A787" s="10" t="s">
        <v>18</v>
      </c>
      <c r="B787" s="277">
        <v>7887.5</v>
      </c>
      <c r="C787" s="277">
        <v>7897.5</v>
      </c>
      <c r="D787" s="277">
        <v>7390.7</v>
      </c>
      <c r="E787" s="277">
        <v>7425.7</v>
      </c>
      <c r="F787" s="277">
        <v>7385.7</v>
      </c>
      <c r="G787" s="277">
        <v>7385.7</v>
      </c>
      <c r="H787" s="277">
        <f>H786+F786*0.15-100-40</f>
        <v>7585.7</v>
      </c>
      <c r="I787" s="277">
        <f>I786+0.15*G786-40-200-0.67</f>
        <v>7485.03</v>
      </c>
      <c r="J787" s="277">
        <f>J786+0.15*H786-40-250-0.0001*J786</f>
        <v>7435.0281999999997</v>
      </c>
      <c r="K787" s="277">
        <f>K786+0.15*I786-327</f>
        <v>7398.03</v>
      </c>
      <c r="L787" s="277">
        <f>L786+0.15*J786-280-40</f>
        <v>7405.03</v>
      </c>
      <c r="M787" s="90">
        <v>7302.37</v>
      </c>
    </row>
    <row r="788" spans="1:13" ht="39.6" x14ac:dyDescent="0.25">
      <c r="A788" s="10" t="s">
        <v>19</v>
      </c>
      <c r="B788" s="278" t="s">
        <v>53</v>
      </c>
      <c r="C788" s="278" t="s">
        <v>54</v>
      </c>
      <c r="D788" s="278" t="s">
        <v>55</v>
      </c>
      <c r="E788" s="279" t="s">
        <v>56</v>
      </c>
      <c r="F788" s="279" t="s">
        <v>57</v>
      </c>
      <c r="G788" s="279" t="s">
        <v>58</v>
      </c>
      <c r="H788" s="279" t="s">
        <v>517</v>
      </c>
      <c r="I788" s="286" t="s">
        <v>518</v>
      </c>
      <c r="J788" s="286" t="s">
        <v>637</v>
      </c>
      <c r="K788" s="286" t="s">
        <v>1007</v>
      </c>
      <c r="L788" s="286" t="s">
        <v>1180</v>
      </c>
      <c r="M788" s="287" t="s">
        <v>1181</v>
      </c>
    </row>
    <row r="789" spans="1:13" s="270" customFormat="1" x14ac:dyDescent="0.25">
      <c r="A789" s="288" t="s">
        <v>20</v>
      </c>
      <c r="B789" s="12">
        <v>5020.43</v>
      </c>
      <c r="C789" s="12">
        <v>5449.08</v>
      </c>
      <c r="D789" s="12">
        <v>5765.63</v>
      </c>
      <c r="E789" s="12">
        <v>5573.6610000000001</v>
      </c>
      <c r="F789" s="12">
        <v>4966.4159999999993</v>
      </c>
      <c r="G789" s="12">
        <v>5740.2240000000002</v>
      </c>
      <c r="H789" s="12">
        <v>5960.2599999999993</v>
      </c>
      <c r="I789" s="12">
        <v>5522.9264400000002</v>
      </c>
      <c r="J789" s="12">
        <v>5527.68</v>
      </c>
      <c r="K789" s="12">
        <v>7263.99</v>
      </c>
      <c r="L789" s="12">
        <v>6685.085</v>
      </c>
      <c r="M789" s="131"/>
    </row>
    <row r="790" spans="1:13" x14ac:dyDescent="0.25">
      <c r="A790" s="10" t="s">
        <v>21</v>
      </c>
      <c r="B790" s="12">
        <v>2867.0699999999997</v>
      </c>
      <c r="C790" s="12">
        <v>2448.42</v>
      </c>
      <c r="D790" s="12">
        <v>1625.0699999999997</v>
      </c>
      <c r="E790" s="12">
        <v>1852.039</v>
      </c>
      <c r="F790" s="12">
        <v>2419.2840000000006</v>
      </c>
      <c r="G790" s="12">
        <v>1645.4759999999997</v>
      </c>
      <c r="H790" s="12">
        <f>H787-H789</f>
        <v>1625.4400000000005</v>
      </c>
      <c r="I790" s="12">
        <f>I787-I789</f>
        <v>1962.1035599999996</v>
      </c>
      <c r="J790" s="12">
        <f>J787-J789</f>
        <v>1907.3481999999995</v>
      </c>
      <c r="K790" s="12">
        <f>K787-K789</f>
        <v>134.03999999999996</v>
      </c>
      <c r="L790" s="12">
        <f>L787-L789</f>
        <v>719.94499999999971</v>
      </c>
      <c r="M790" s="90"/>
    </row>
    <row r="791" spans="1:13" x14ac:dyDescent="0.25">
      <c r="A791" s="16" t="s">
        <v>22</v>
      </c>
      <c r="B791" s="159">
        <v>2016</v>
      </c>
      <c r="C791" s="159">
        <v>2017</v>
      </c>
      <c r="D791" s="159">
        <v>2018</v>
      </c>
      <c r="E791" s="159">
        <v>2019</v>
      </c>
      <c r="F791" s="159">
        <v>2020</v>
      </c>
      <c r="G791" s="159">
        <v>2021</v>
      </c>
      <c r="H791" s="159">
        <v>2022</v>
      </c>
      <c r="I791" s="159">
        <v>2023</v>
      </c>
      <c r="J791" s="159">
        <v>2024</v>
      </c>
      <c r="K791" s="159">
        <v>2025</v>
      </c>
      <c r="L791" s="159">
        <v>2025</v>
      </c>
      <c r="M791" s="90">
        <v>2025</v>
      </c>
    </row>
    <row r="792" spans="1:13" x14ac:dyDescent="0.25">
      <c r="A792" s="18" t="s">
        <v>479</v>
      </c>
      <c r="B792" s="289"/>
      <c r="C792" s="289"/>
      <c r="D792" s="289"/>
      <c r="E792" s="289"/>
      <c r="F792" s="289"/>
      <c r="G792" s="289"/>
      <c r="H792" s="289"/>
      <c r="I792" s="289"/>
      <c r="J792" s="19"/>
      <c r="K792" s="19"/>
      <c r="L792" s="19"/>
      <c r="M792" s="63"/>
    </row>
    <row r="793" spans="1:13" x14ac:dyDescent="0.25">
      <c r="A793" s="39" t="s">
        <v>519</v>
      </c>
      <c r="B793" s="2"/>
      <c r="C793" s="2"/>
      <c r="D793" s="2"/>
      <c r="E793" s="2"/>
      <c r="F793" s="2"/>
      <c r="G793" s="2"/>
      <c r="H793" s="2"/>
      <c r="I793" s="2"/>
      <c r="M793" s="64"/>
    </row>
    <row r="794" spans="1:13" x14ac:dyDescent="0.25">
      <c r="A794" s="39" t="s">
        <v>480</v>
      </c>
      <c r="B794" s="2"/>
      <c r="C794" s="2"/>
      <c r="D794" s="2"/>
      <c r="E794" s="2"/>
      <c r="F794" s="2"/>
      <c r="G794" s="2"/>
      <c r="H794" s="2"/>
      <c r="I794" s="2"/>
      <c r="M794" s="64"/>
    </row>
    <row r="795" spans="1:13" x14ac:dyDescent="0.25">
      <c r="A795" s="39" t="s">
        <v>520</v>
      </c>
      <c r="B795" s="2"/>
      <c r="C795" s="2"/>
      <c r="D795" s="2"/>
      <c r="E795" s="2"/>
      <c r="F795" s="2"/>
      <c r="G795" s="2"/>
      <c r="H795" s="2"/>
      <c r="I795" s="2"/>
      <c r="M795" s="64"/>
    </row>
    <row r="796" spans="1:13" x14ac:dyDescent="0.25">
      <c r="A796" s="39" t="s">
        <v>481</v>
      </c>
      <c r="B796" s="2"/>
      <c r="C796" s="2"/>
      <c r="D796" s="2"/>
      <c r="E796" s="2"/>
      <c r="F796" s="2"/>
      <c r="G796" s="2"/>
      <c r="H796" s="2"/>
      <c r="I796" s="2"/>
      <c r="M796" s="64"/>
    </row>
    <row r="797" spans="1:13" x14ac:dyDescent="0.25">
      <c r="A797" s="39" t="s">
        <v>483</v>
      </c>
      <c r="B797" s="2"/>
      <c r="C797" s="2"/>
      <c r="D797" s="2"/>
      <c r="E797" s="2"/>
      <c r="F797" s="2"/>
      <c r="G797" s="2"/>
      <c r="H797" s="2"/>
      <c r="I797" s="2"/>
      <c r="M797" s="64"/>
    </row>
    <row r="798" spans="1:13" x14ac:dyDescent="0.25">
      <c r="A798" s="39" t="s">
        <v>482</v>
      </c>
      <c r="B798" s="2"/>
      <c r="C798" s="2"/>
      <c r="D798" s="2"/>
      <c r="E798" s="2"/>
      <c r="F798" s="2"/>
      <c r="G798" s="2"/>
      <c r="H798" s="2"/>
      <c r="I798" s="2"/>
      <c r="M798" s="64"/>
    </row>
    <row r="799" spans="1:13" ht="44.25" customHeight="1" x14ac:dyDescent="0.25">
      <c r="A799" s="660" t="s">
        <v>636</v>
      </c>
      <c r="B799" s="661"/>
      <c r="C799" s="661"/>
      <c r="D799" s="661"/>
      <c r="E799" s="661"/>
      <c r="F799" s="661"/>
      <c r="G799" s="661"/>
      <c r="H799" s="661"/>
      <c r="I799" s="661"/>
      <c r="J799" s="661"/>
      <c r="K799" s="661"/>
      <c r="L799" s="661"/>
      <c r="M799" s="64"/>
    </row>
    <row r="800" spans="1:13" x14ac:dyDescent="0.25">
      <c r="A800" s="161" t="s">
        <v>1005</v>
      </c>
      <c r="B800" s="32"/>
      <c r="C800" s="32"/>
      <c r="D800" s="32"/>
      <c r="E800" s="32"/>
      <c r="F800" s="32"/>
      <c r="G800" s="32"/>
      <c r="H800" s="32"/>
      <c r="I800" s="32"/>
      <c r="J800" s="32"/>
      <c r="M800" s="64"/>
    </row>
    <row r="801" spans="1:13" x14ac:dyDescent="0.25">
      <c r="A801" s="290" t="s">
        <v>1008</v>
      </c>
      <c r="B801" s="291"/>
      <c r="C801" s="291"/>
      <c r="D801" s="291"/>
      <c r="E801" s="291"/>
      <c r="F801" s="291"/>
      <c r="G801" s="291"/>
      <c r="H801" s="291"/>
      <c r="I801" s="291"/>
      <c r="J801" s="34"/>
      <c r="K801" s="34"/>
      <c r="L801" s="34"/>
      <c r="M801" s="48"/>
    </row>
    <row r="803" spans="1:13" x14ac:dyDescent="0.25">
      <c r="A803" s="6" t="s">
        <v>14</v>
      </c>
      <c r="B803" s="173" t="s">
        <v>641</v>
      </c>
      <c r="C803" s="7" t="s">
        <v>15</v>
      </c>
    </row>
    <row r="804" spans="1:13" x14ac:dyDescent="0.25">
      <c r="A804" s="41" t="s">
        <v>16</v>
      </c>
      <c r="B804" s="276">
        <v>2014</v>
      </c>
      <c r="C804" s="154">
        <v>2015</v>
      </c>
      <c r="D804" s="154">
        <v>2016</v>
      </c>
      <c r="E804" s="154">
        <v>2017</v>
      </c>
      <c r="F804" s="154">
        <v>2018</v>
      </c>
      <c r="G804" s="154">
        <v>2019</v>
      </c>
      <c r="H804" s="154">
        <v>2020</v>
      </c>
      <c r="I804" s="154">
        <v>2021</v>
      </c>
      <c r="J804" s="154">
        <v>2022</v>
      </c>
      <c r="K804" s="154">
        <v>2023</v>
      </c>
      <c r="L804" s="154">
        <v>2024</v>
      </c>
      <c r="M804" s="154">
        <v>2025</v>
      </c>
    </row>
    <row r="805" spans="1:13" x14ac:dyDescent="0.25">
      <c r="A805" s="10" t="s">
        <v>17</v>
      </c>
      <c r="B805" s="277">
        <v>4824</v>
      </c>
      <c r="C805" s="277">
        <v>4824</v>
      </c>
      <c r="D805" s="277">
        <v>4824</v>
      </c>
      <c r="E805" s="277">
        <v>4824</v>
      </c>
      <c r="F805" s="277">
        <v>4824</v>
      </c>
      <c r="G805" s="277">
        <v>4824</v>
      </c>
      <c r="H805" s="277">
        <v>4824</v>
      </c>
      <c r="I805" s="277">
        <v>4824</v>
      </c>
      <c r="J805" s="277">
        <v>4824</v>
      </c>
      <c r="K805" s="277">
        <v>4824</v>
      </c>
      <c r="L805" s="277">
        <v>4824</v>
      </c>
      <c r="M805" s="292">
        <v>4824</v>
      </c>
    </row>
    <row r="806" spans="1:13" x14ac:dyDescent="0.25">
      <c r="A806" s="10" t="s">
        <v>18</v>
      </c>
      <c r="B806" s="277">
        <v>5141.7</v>
      </c>
      <c r="C806" s="277">
        <v>5695.4</v>
      </c>
      <c r="D806" s="277">
        <v>5601.06</v>
      </c>
      <c r="E806" s="277">
        <v>5224.38</v>
      </c>
      <c r="F806" s="277">
        <v>4963.5200000000004</v>
      </c>
      <c r="G806" s="277">
        <v>4928.1499999999996</v>
      </c>
      <c r="H806" s="277">
        <v>5011.2030000000004</v>
      </c>
      <c r="I806" s="277">
        <f>I805+G809</f>
        <v>5243.19</v>
      </c>
      <c r="J806" s="277">
        <f>J805+H809</f>
        <v>5085.0014400000018</v>
      </c>
      <c r="K806" s="277">
        <f>K805+0.1*I805</f>
        <v>5306.4</v>
      </c>
      <c r="L806" s="277">
        <f>L805+0.1*J805</f>
        <v>5306.4</v>
      </c>
      <c r="M806" s="292">
        <f>K809+M805</f>
        <v>4852.4709999999995</v>
      </c>
    </row>
    <row r="807" spans="1:13" ht="26.4" x14ac:dyDescent="0.25">
      <c r="A807" s="10" t="s">
        <v>19</v>
      </c>
      <c r="B807" s="278" t="s">
        <v>59</v>
      </c>
      <c r="C807" s="278" t="s">
        <v>60</v>
      </c>
      <c r="D807" s="278" t="s">
        <v>61</v>
      </c>
      <c r="E807" s="293" t="s">
        <v>62</v>
      </c>
      <c r="F807" s="293" t="s">
        <v>63</v>
      </c>
      <c r="G807" s="293" t="s">
        <v>64</v>
      </c>
      <c r="H807" s="293" t="s">
        <v>65</v>
      </c>
      <c r="I807" s="195" t="s">
        <v>264</v>
      </c>
      <c r="J807" s="195" t="s">
        <v>487</v>
      </c>
      <c r="K807" s="195" t="s">
        <v>882</v>
      </c>
      <c r="L807" s="195" t="s">
        <v>1010</v>
      </c>
      <c r="M807" s="294" t="s">
        <v>1182</v>
      </c>
    </row>
    <row r="808" spans="1:13" s="270" customFormat="1" x14ac:dyDescent="0.25">
      <c r="A808" s="288" t="s">
        <v>20</v>
      </c>
      <c r="B808" s="12">
        <v>4364.6400000000003</v>
      </c>
      <c r="C808" s="12">
        <v>5295.02</v>
      </c>
      <c r="D808" s="12">
        <v>5461.54</v>
      </c>
      <c r="E808" s="12">
        <v>5120.2</v>
      </c>
      <c r="F808" s="12">
        <v>4776.317</v>
      </c>
      <c r="G808" s="12">
        <v>4508.96</v>
      </c>
      <c r="H808" s="12">
        <v>4750.2015599999986</v>
      </c>
      <c r="I808" s="12">
        <v>4695.1249299999999</v>
      </c>
      <c r="J808" s="12">
        <v>3802.12</v>
      </c>
      <c r="K808" s="12">
        <v>5277.9290000000001</v>
      </c>
      <c r="L808" s="12">
        <v>4818.67</v>
      </c>
      <c r="M808" s="295"/>
    </row>
    <row r="809" spans="1:13" x14ac:dyDescent="0.25">
      <c r="A809" s="10" t="s">
        <v>21</v>
      </c>
      <c r="B809" s="12">
        <v>777.06</v>
      </c>
      <c r="C809" s="12">
        <v>400.38</v>
      </c>
      <c r="D809" s="12">
        <v>139.52000000000001</v>
      </c>
      <c r="E809" s="12">
        <v>104.2</v>
      </c>
      <c r="F809" s="12">
        <v>187.20300000000043</v>
      </c>
      <c r="G809" s="12">
        <v>419.1899999999996</v>
      </c>
      <c r="H809" s="12">
        <v>261.00144000000182</v>
      </c>
      <c r="I809" s="12">
        <f>I806-I808</f>
        <v>548.06506999999965</v>
      </c>
      <c r="J809" s="12">
        <f>J806-J808</f>
        <v>1282.8814400000019</v>
      </c>
      <c r="K809" s="12">
        <f>K806-K808</f>
        <v>28.470999999999549</v>
      </c>
      <c r="L809" s="12">
        <f>L806-L808</f>
        <v>487.72999999999956</v>
      </c>
      <c r="M809" s="296"/>
    </row>
    <row r="810" spans="1:13" x14ac:dyDescent="0.25">
      <c r="A810" s="16" t="s">
        <v>22</v>
      </c>
      <c r="B810" s="159">
        <v>2016</v>
      </c>
      <c r="C810" s="159">
        <v>2017</v>
      </c>
      <c r="D810" s="159">
        <v>2018</v>
      </c>
      <c r="E810" s="159">
        <v>2019</v>
      </c>
      <c r="F810" s="159">
        <v>2020</v>
      </c>
      <c r="G810" s="159">
        <v>2021</v>
      </c>
      <c r="H810" s="159">
        <v>2022</v>
      </c>
      <c r="I810" s="159">
        <v>2023</v>
      </c>
      <c r="J810" s="159">
        <v>2024</v>
      </c>
      <c r="K810" s="159">
        <v>2025</v>
      </c>
      <c r="L810" s="159">
        <v>2026</v>
      </c>
      <c r="M810" s="297">
        <v>2027</v>
      </c>
    </row>
    <row r="811" spans="1:13" x14ac:dyDescent="0.25">
      <c r="A811" s="18" t="s">
        <v>484</v>
      </c>
      <c r="B811" s="281"/>
      <c r="C811" s="281"/>
      <c r="D811" s="281"/>
      <c r="E811" s="281"/>
      <c r="F811" s="281"/>
      <c r="G811" s="281"/>
      <c r="H811" s="281"/>
      <c r="I811" s="281"/>
      <c r="J811" s="19"/>
      <c r="K811" s="19"/>
      <c r="L811" s="19"/>
      <c r="M811" s="63"/>
    </row>
    <row r="812" spans="1:13" x14ac:dyDescent="0.25">
      <c r="A812" s="39" t="s">
        <v>485</v>
      </c>
      <c r="B812" s="282"/>
      <c r="C812" s="282"/>
      <c r="D812" s="282"/>
      <c r="E812" s="282"/>
      <c r="F812" s="282"/>
      <c r="G812" s="282"/>
      <c r="H812" s="282"/>
      <c r="I812" s="282"/>
      <c r="M812" s="64"/>
    </row>
    <row r="813" spans="1:13" x14ac:dyDescent="0.25">
      <c r="A813" s="39" t="s">
        <v>486</v>
      </c>
      <c r="B813" s="282"/>
      <c r="C813" s="282"/>
      <c r="D813" s="282"/>
      <c r="E813" s="282"/>
      <c r="F813" s="282"/>
      <c r="G813" s="282"/>
      <c r="H813" s="282"/>
      <c r="I813" s="282"/>
      <c r="M813" s="64"/>
    </row>
    <row r="814" spans="1:13" x14ac:dyDescent="0.25">
      <c r="A814" s="700" t="s">
        <v>881</v>
      </c>
      <c r="B814" s="701"/>
      <c r="C814" s="701"/>
      <c r="D814" s="701"/>
      <c r="E814" s="701"/>
      <c r="F814" s="701"/>
      <c r="G814" s="701"/>
      <c r="H814" s="701"/>
      <c r="I814" s="701"/>
      <c r="J814" s="701"/>
      <c r="M814" s="64"/>
    </row>
    <row r="815" spans="1:13" x14ac:dyDescent="0.25">
      <c r="A815" s="298" t="s">
        <v>1009</v>
      </c>
      <c r="B815" s="299"/>
      <c r="C815" s="299"/>
      <c r="D815" s="299"/>
      <c r="E815" s="299"/>
      <c r="F815" s="299"/>
      <c r="G815" s="299"/>
      <c r="H815" s="299"/>
      <c r="I815" s="299"/>
      <c r="J815" s="299"/>
      <c r="K815" s="34"/>
      <c r="L815" s="34"/>
      <c r="M815" s="48"/>
    </row>
    <row r="816" spans="1:13" s="50" customFormat="1" ht="14.4" x14ac:dyDescent="0.3">
      <c r="A816" s="3"/>
      <c r="B816" s="3"/>
      <c r="C816" s="3"/>
      <c r="D816" s="3"/>
      <c r="E816" s="3"/>
      <c r="F816" s="3"/>
      <c r="G816" s="3"/>
      <c r="H816" s="3"/>
      <c r="I816" s="3"/>
      <c r="J816" s="3"/>
      <c r="K816" s="3"/>
    </row>
    <row r="817" spans="1:11" s="50" customFormat="1" ht="14.4" x14ac:dyDescent="0.3">
      <c r="A817" s="6" t="s">
        <v>14</v>
      </c>
      <c r="B817" s="173" t="s">
        <v>642</v>
      </c>
      <c r="C817" s="7" t="s">
        <v>15</v>
      </c>
      <c r="D817" s="3"/>
      <c r="E817" s="3"/>
      <c r="F817" s="3"/>
      <c r="G817" s="3"/>
      <c r="H817" s="3"/>
      <c r="I817" s="3"/>
      <c r="J817" s="3"/>
      <c r="K817" s="3"/>
    </row>
    <row r="818" spans="1:11" s="50" customFormat="1" ht="14.4" x14ac:dyDescent="0.3">
      <c r="A818" s="41" t="s">
        <v>16</v>
      </c>
      <c r="B818" s="276">
        <v>2020</v>
      </c>
      <c r="C818" s="154">
        <v>2021</v>
      </c>
      <c r="D818" s="154">
        <v>2022</v>
      </c>
      <c r="E818" s="154">
        <v>2023</v>
      </c>
      <c r="F818" s="154">
        <v>2024</v>
      </c>
      <c r="G818" s="154">
        <v>2025</v>
      </c>
      <c r="H818" s="154">
        <v>2026</v>
      </c>
      <c r="I818" s="154"/>
      <c r="J818" s="154"/>
      <c r="K818" s="3"/>
    </row>
    <row r="819" spans="1:11" s="50" customFormat="1" ht="14.4" x14ac:dyDescent="0.3">
      <c r="A819" s="10" t="s">
        <v>17</v>
      </c>
      <c r="B819" s="300">
        <v>19460</v>
      </c>
      <c r="C819" s="300">
        <v>19460</v>
      </c>
      <c r="D819" s="300">
        <v>19460</v>
      </c>
      <c r="E819" s="277">
        <v>21503</v>
      </c>
      <c r="F819" s="277">
        <v>21503</v>
      </c>
      <c r="G819" s="277">
        <v>21503</v>
      </c>
      <c r="H819" s="277">
        <v>21503</v>
      </c>
      <c r="I819" s="11"/>
      <c r="J819" s="11"/>
      <c r="K819" s="3"/>
    </row>
    <row r="820" spans="1:11" s="50" customFormat="1" ht="14.4" x14ac:dyDescent="0.3">
      <c r="A820" s="10" t="s">
        <v>18</v>
      </c>
      <c r="B820" s="277"/>
      <c r="C820" s="277">
        <f>C819+B823-48.4</f>
        <v>19737.565544000001</v>
      </c>
      <c r="D820" s="12">
        <f>D819+C823-19360*0.0025</f>
        <v>19985.500093000002</v>
      </c>
      <c r="E820" s="277">
        <f>E819+0.05*D819</f>
        <v>22476</v>
      </c>
      <c r="F820" s="277">
        <f>F819+0.05*E819</f>
        <v>22578.15</v>
      </c>
      <c r="G820" s="277">
        <f>G819+0.05*F819</f>
        <v>22578.15</v>
      </c>
      <c r="H820" s="277">
        <f>H819+0.05*G819</f>
        <v>22578.15</v>
      </c>
      <c r="I820" s="12"/>
      <c r="J820" s="12"/>
      <c r="K820" s="3"/>
    </row>
    <row r="821" spans="1:11" s="50" customFormat="1" ht="27" x14ac:dyDescent="0.3">
      <c r="A821" s="10" t="s">
        <v>19</v>
      </c>
      <c r="B821" s="293"/>
      <c r="C821" s="195" t="s">
        <v>876</v>
      </c>
      <c r="D821" s="301" t="s">
        <v>877</v>
      </c>
      <c r="E821" s="293" t="s">
        <v>954</v>
      </c>
      <c r="F821" s="293" t="s">
        <v>1011</v>
      </c>
      <c r="G821" s="293" t="s">
        <v>1139</v>
      </c>
      <c r="H821" s="293" t="s">
        <v>1130</v>
      </c>
      <c r="I821" s="195"/>
      <c r="J821" s="195"/>
      <c r="K821" s="3"/>
    </row>
    <row r="822" spans="1:11" s="50" customFormat="1" ht="14.4" x14ac:dyDescent="0.3">
      <c r="A822" s="288" t="s">
        <v>20</v>
      </c>
      <c r="B822" s="12">
        <v>19134.034455999998</v>
      </c>
      <c r="C822" s="12">
        <v>19163.665450999997</v>
      </c>
      <c r="D822" s="12">
        <v>18950.900000000001</v>
      </c>
      <c r="E822" s="12">
        <v>21104.23</v>
      </c>
      <c r="F822" s="12">
        <v>20865.420999999998</v>
      </c>
      <c r="G822" s="12"/>
      <c r="H822" s="12"/>
      <c r="I822" s="12"/>
      <c r="J822" s="12"/>
      <c r="K822" s="3"/>
    </row>
    <row r="823" spans="1:11" s="50" customFormat="1" ht="14.4" x14ac:dyDescent="0.3">
      <c r="A823" s="288" t="s">
        <v>21</v>
      </c>
      <c r="B823" s="12">
        <f>B819-B822</f>
        <v>325.96554400000241</v>
      </c>
      <c r="C823" s="12">
        <f>C820-C822</f>
        <v>573.90009300000384</v>
      </c>
      <c r="D823" s="12">
        <f>D820-D822</f>
        <v>1034.6000930000009</v>
      </c>
      <c r="E823" s="12">
        <f>E820-E822</f>
        <v>1371.7700000000004</v>
      </c>
      <c r="F823" s="12">
        <f>F820-F822</f>
        <v>1712.729000000003</v>
      </c>
      <c r="G823" s="12"/>
      <c r="H823" s="12"/>
      <c r="I823" s="12"/>
      <c r="J823" s="12"/>
      <c r="K823" s="3"/>
    </row>
    <row r="824" spans="1:11" s="50" customFormat="1" ht="14.4" x14ac:dyDescent="0.3">
      <c r="A824" s="16" t="s">
        <v>22</v>
      </c>
      <c r="B824" s="159">
        <v>2021</v>
      </c>
      <c r="C824" s="159">
        <v>2022</v>
      </c>
      <c r="D824" s="159">
        <v>2023</v>
      </c>
      <c r="E824" s="302"/>
      <c r="F824" s="302"/>
      <c r="G824" s="302"/>
      <c r="H824" s="302"/>
      <c r="I824" s="302"/>
      <c r="J824" s="302"/>
      <c r="K824" s="3"/>
    </row>
    <row r="825" spans="1:11" s="50" customFormat="1" ht="14.4" x14ac:dyDescent="0.3">
      <c r="A825" s="18" t="s">
        <v>875</v>
      </c>
      <c r="B825" s="281"/>
      <c r="C825" s="281"/>
      <c r="D825" s="281"/>
      <c r="E825" s="281"/>
      <c r="F825" s="281"/>
      <c r="G825" s="281"/>
      <c r="H825" s="281"/>
      <c r="I825" s="281"/>
      <c r="J825" s="303"/>
      <c r="K825" s="3"/>
    </row>
    <row r="826" spans="1:11" s="50" customFormat="1" ht="14.4" x14ac:dyDescent="0.3">
      <c r="A826" s="39" t="s">
        <v>878</v>
      </c>
      <c r="B826" s="282"/>
      <c r="C826" s="282"/>
      <c r="D826" s="282"/>
      <c r="E826" s="282"/>
      <c r="F826" s="282"/>
      <c r="G826" s="282"/>
      <c r="H826" s="282"/>
      <c r="I826" s="282"/>
      <c r="J826" s="304"/>
      <c r="K826" s="3"/>
    </row>
    <row r="827" spans="1:11" s="50" customFormat="1" ht="14.4" x14ac:dyDescent="0.3">
      <c r="A827" s="39" t="s">
        <v>495</v>
      </c>
      <c r="B827" s="282"/>
      <c r="C827" s="282"/>
      <c r="D827" s="282"/>
      <c r="E827" s="282"/>
      <c r="F827" s="282"/>
      <c r="G827" s="282"/>
      <c r="H827" s="282"/>
      <c r="I827" s="282"/>
      <c r="J827" s="304"/>
      <c r="K827" s="3"/>
    </row>
    <row r="828" spans="1:11" s="50" customFormat="1" ht="14.4" x14ac:dyDescent="0.3">
      <c r="A828" s="39" t="s">
        <v>496</v>
      </c>
      <c r="B828" s="282"/>
      <c r="C828" s="282"/>
      <c r="D828" s="282"/>
      <c r="E828" s="282"/>
      <c r="F828" s="282"/>
      <c r="G828" s="282"/>
      <c r="H828" s="282"/>
      <c r="I828" s="282"/>
      <c r="J828" s="304"/>
      <c r="K828" s="3"/>
    </row>
    <row r="829" spans="1:11" s="50" customFormat="1" ht="14.4" x14ac:dyDescent="0.3">
      <c r="A829" s="39" t="s">
        <v>879</v>
      </c>
      <c r="B829" s="282"/>
      <c r="C829" s="282"/>
      <c r="D829" s="282"/>
      <c r="E829" s="282"/>
      <c r="F829" s="282"/>
      <c r="G829" s="282"/>
      <c r="H829" s="282"/>
      <c r="I829" s="282"/>
      <c r="J829" s="304"/>
      <c r="K829" s="3"/>
    </row>
    <row r="830" spans="1:11" s="50" customFormat="1" ht="14.4" x14ac:dyDescent="0.3">
      <c r="A830" s="305" t="s">
        <v>1012</v>
      </c>
      <c r="B830" s="306"/>
      <c r="C830" s="306"/>
      <c r="D830" s="306"/>
      <c r="E830" s="306"/>
      <c r="F830" s="306"/>
      <c r="G830" s="306"/>
      <c r="H830" s="306"/>
      <c r="I830" s="306"/>
      <c r="J830" s="307"/>
      <c r="K830" s="3"/>
    </row>
    <row r="831" spans="1:11" s="50" customFormat="1" ht="14.4" x14ac:dyDescent="0.3">
      <c r="A831" s="305" t="s">
        <v>1013</v>
      </c>
      <c r="B831" s="306"/>
      <c r="C831" s="306"/>
      <c r="D831" s="306"/>
      <c r="E831" s="306"/>
      <c r="F831" s="306"/>
      <c r="G831" s="306"/>
      <c r="H831" s="306"/>
      <c r="I831" s="306"/>
      <c r="J831" s="307"/>
      <c r="K831" s="3"/>
    </row>
    <row r="832" spans="1:11" s="59" customFormat="1" ht="14.4" x14ac:dyDescent="0.3">
      <c r="A832" s="308" t="s">
        <v>1183</v>
      </c>
      <c r="B832" s="309"/>
      <c r="C832" s="309"/>
      <c r="D832" s="309"/>
      <c r="E832" s="309"/>
      <c r="F832" s="309"/>
      <c r="G832" s="309"/>
      <c r="H832" s="309"/>
      <c r="I832" s="309"/>
      <c r="J832" s="310"/>
      <c r="K832" s="34"/>
    </row>
    <row r="834" spans="1:13" x14ac:dyDescent="0.25">
      <c r="A834" s="6" t="s">
        <v>14</v>
      </c>
      <c r="B834" s="173" t="s">
        <v>66</v>
      </c>
      <c r="C834" s="7" t="s">
        <v>15</v>
      </c>
    </row>
    <row r="835" spans="1:13" x14ac:dyDescent="0.25">
      <c r="A835" s="41" t="s">
        <v>16</v>
      </c>
      <c r="B835" s="276">
        <v>2014</v>
      </c>
      <c r="C835" s="154">
        <v>2015</v>
      </c>
      <c r="D835" s="154">
        <v>2016</v>
      </c>
      <c r="E835" s="154">
        <v>2017</v>
      </c>
      <c r="F835" s="154">
        <v>2018</v>
      </c>
      <c r="G835" s="154">
        <v>2019</v>
      </c>
      <c r="H835" s="154">
        <v>2020</v>
      </c>
      <c r="I835" s="154">
        <v>2021</v>
      </c>
      <c r="J835" s="154">
        <v>2022</v>
      </c>
      <c r="K835" s="154">
        <v>2023</v>
      </c>
      <c r="L835" s="154">
        <v>2024</v>
      </c>
      <c r="M835" s="154">
        <v>2025</v>
      </c>
    </row>
    <row r="836" spans="1:13" x14ac:dyDescent="0.25">
      <c r="A836" s="10" t="s">
        <v>17</v>
      </c>
      <c r="B836" s="277">
        <v>22667</v>
      </c>
      <c r="C836" s="277">
        <v>22667</v>
      </c>
      <c r="D836" s="277">
        <v>16989</v>
      </c>
      <c r="E836" s="277">
        <v>16989</v>
      </c>
      <c r="F836" s="277">
        <v>16989</v>
      </c>
      <c r="G836" s="277">
        <v>16989</v>
      </c>
      <c r="H836" s="311">
        <v>13421.3</v>
      </c>
      <c r="I836" s="11">
        <v>13206.57</v>
      </c>
      <c r="J836" s="11">
        <v>13313.94</v>
      </c>
      <c r="K836" s="11">
        <v>13313.94</v>
      </c>
      <c r="L836" s="12">
        <v>13313.93952</v>
      </c>
      <c r="M836" s="11">
        <v>13576.29</v>
      </c>
    </row>
    <row r="837" spans="1:13" x14ac:dyDescent="0.25">
      <c r="A837" s="10" t="s">
        <v>18</v>
      </c>
      <c r="B837" s="277">
        <v>29467.1</v>
      </c>
      <c r="C837" s="277">
        <v>29467.1</v>
      </c>
      <c r="D837" s="277">
        <v>23789.1</v>
      </c>
      <c r="E837" s="277">
        <v>20389.099999999999</v>
      </c>
      <c r="F837" s="277">
        <v>19537.400000000001</v>
      </c>
      <c r="G837" s="277">
        <v>17157.5</v>
      </c>
      <c r="H837" s="277">
        <f>H836+F840+300</f>
        <v>15842.646000000001</v>
      </c>
      <c r="I837" s="12">
        <f>I836+G840</f>
        <v>13453.544999999998</v>
      </c>
      <c r="J837" s="12">
        <f>J836+0.1*H836</f>
        <v>14656.07</v>
      </c>
      <c r="K837" s="12">
        <f>K836+0.1*I836</f>
        <v>14634.597000000002</v>
      </c>
      <c r="L837" s="12">
        <f>L836+0.1*J836</f>
        <v>14645.33352</v>
      </c>
      <c r="M837" s="12">
        <f>M836+0.1*K836</f>
        <v>14907.684000000001</v>
      </c>
    </row>
    <row r="838" spans="1:13" ht="26.4" x14ac:dyDescent="0.25">
      <c r="A838" s="10" t="s">
        <v>19</v>
      </c>
      <c r="B838" s="278" t="s">
        <v>67</v>
      </c>
      <c r="C838" s="278" t="s">
        <v>67</v>
      </c>
      <c r="D838" s="278" t="s">
        <v>68</v>
      </c>
      <c r="E838" s="293" t="s">
        <v>69</v>
      </c>
      <c r="F838" s="293" t="s">
        <v>70</v>
      </c>
      <c r="G838" s="293" t="s">
        <v>71</v>
      </c>
      <c r="H838" s="293" t="s">
        <v>265</v>
      </c>
      <c r="I838" s="195" t="s">
        <v>266</v>
      </c>
      <c r="J838" s="195" t="s">
        <v>582</v>
      </c>
      <c r="K838" s="195" t="s">
        <v>880</v>
      </c>
      <c r="L838" s="195" t="s">
        <v>1014</v>
      </c>
      <c r="M838" s="195" t="s">
        <v>1235</v>
      </c>
    </row>
    <row r="839" spans="1:13" x14ac:dyDescent="0.25">
      <c r="A839" s="288" t="s">
        <v>20</v>
      </c>
      <c r="B839" s="12">
        <v>18152.900000000001</v>
      </c>
      <c r="C839" s="12">
        <v>15741.23</v>
      </c>
      <c r="D839" s="12">
        <v>18059.400000000001</v>
      </c>
      <c r="E839" s="12">
        <v>20220.53</v>
      </c>
      <c r="F839" s="12">
        <v>17416.054</v>
      </c>
      <c r="G839" s="12">
        <v>16910.525000000001</v>
      </c>
      <c r="H839" s="12">
        <v>11285.478270000007</v>
      </c>
      <c r="I839" s="12">
        <v>11445.933670000008</v>
      </c>
      <c r="J839" s="12">
        <v>12588.91</v>
      </c>
      <c r="K839" s="12">
        <v>11864.06</v>
      </c>
      <c r="L839" s="12">
        <v>9157.4519999999993</v>
      </c>
      <c r="M839" s="12"/>
    </row>
    <row r="840" spans="1:13" x14ac:dyDescent="0.25">
      <c r="A840" s="312" t="s">
        <v>21</v>
      </c>
      <c r="B840" s="313">
        <v>11314.2</v>
      </c>
      <c r="C840" s="313">
        <v>13725.87</v>
      </c>
      <c r="D840" s="313">
        <v>5729.68</v>
      </c>
      <c r="E840" s="313">
        <v>168.52</v>
      </c>
      <c r="F840" s="313">
        <v>2121.3460000000014</v>
      </c>
      <c r="G840" s="313">
        <f t="shared" ref="G840:L840" si="38">G837-G839</f>
        <v>246.97499999999854</v>
      </c>
      <c r="H840" s="313">
        <f t="shared" si="38"/>
        <v>4557.1677299999938</v>
      </c>
      <c r="I840" s="313">
        <f t="shared" si="38"/>
        <v>2007.6113299999906</v>
      </c>
      <c r="J840" s="313">
        <f t="shared" si="38"/>
        <v>2067.16</v>
      </c>
      <c r="K840" s="313">
        <f t="shared" si="38"/>
        <v>2770.5370000000021</v>
      </c>
      <c r="L840" s="313">
        <f t="shared" si="38"/>
        <v>5487.8815200000008</v>
      </c>
      <c r="M840" s="313"/>
    </row>
    <row r="841" spans="1:13" x14ac:dyDescent="0.25">
      <c r="A841" s="17" t="s">
        <v>22</v>
      </c>
      <c r="B841" s="159">
        <v>2016</v>
      </c>
      <c r="C841" s="159">
        <v>2017</v>
      </c>
      <c r="D841" s="159">
        <v>2018</v>
      </c>
      <c r="E841" s="159">
        <v>2019</v>
      </c>
      <c r="F841" s="159" t="s">
        <v>72</v>
      </c>
      <c r="G841" s="159" t="s">
        <v>73</v>
      </c>
      <c r="H841" s="159">
        <v>2022</v>
      </c>
      <c r="I841" s="159">
        <v>2023</v>
      </c>
      <c r="J841" s="159">
        <v>2024</v>
      </c>
      <c r="K841" s="159">
        <v>2025</v>
      </c>
      <c r="L841" s="159">
        <v>2026</v>
      </c>
      <c r="M841" s="197">
        <v>2027</v>
      </c>
    </row>
    <row r="842" spans="1:13" x14ac:dyDescent="0.25">
      <c r="A842" s="18" t="s">
        <v>488</v>
      </c>
      <c r="B842" s="281"/>
      <c r="C842" s="281"/>
      <c r="D842" s="281"/>
      <c r="E842" s="281"/>
      <c r="F842" s="281"/>
      <c r="G842" s="281"/>
      <c r="H842" s="281"/>
      <c r="I842" s="281"/>
      <c r="J842" s="19"/>
      <c r="K842" s="19"/>
      <c r="L842" s="19"/>
      <c r="M842" s="63"/>
    </row>
    <row r="843" spans="1:13" x14ac:dyDescent="0.25">
      <c r="A843" s="39" t="s">
        <v>489</v>
      </c>
      <c r="B843" s="282"/>
      <c r="C843" s="282"/>
      <c r="D843" s="282"/>
      <c r="E843" s="282"/>
      <c r="F843" s="282"/>
      <c r="G843" s="282"/>
      <c r="H843" s="282"/>
      <c r="I843" s="282"/>
      <c r="M843" s="64"/>
    </row>
    <row r="844" spans="1:13" ht="14.4" x14ac:dyDescent="0.25">
      <c r="A844" s="39" t="s">
        <v>733</v>
      </c>
      <c r="B844" s="282"/>
      <c r="C844" s="282"/>
      <c r="D844" s="282"/>
      <c r="E844" s="282"/>
      <c r="F844" s="282"/>
      <c r="G844" s="282"/>
      <c r="H844" s="282"/>
      <c r="I844" s="282"/>
      <c r="M844" s="64"/>
    </row>
    <row r="845" spans="1:13" x14ac:dyDescent="0.25">
      <c r="A845" s="41" t="s">
        <v>583</v>
      </c>
      <c r="B845" s="283"/>
      <c r="C845" s="283"/>
      <c r="D845" s="283"/>
      <c r="E845" s="283"/>
      <c r="F845" s="283"/>
      <c r="G845" s="283"/>
      <c r="H845" s="283"/>
      <c r="I845" s="283"/>
      <c r="J845" s="34"/>
      <c r="K845" s="34"/>
      <c r="L845" s="34"/>
      <c r="M845" s="48"/>
    </row>
    <row r="846" spans="1:13" x14ac:dyDescent="0.25">
      <c r="B846" s="4"/>
      <c r="C846" s="4"/>
      <c r="D846" s="4"/>
      <c r="E846" s="4"/>
      <c r="F846" s="4"/>
      <c r="G846" s="4"/>
      <c r="H846" s="4"/>
      <c r="I846" s="4"/>
    </row>
    <row r="848" spans="1:13" x14ac:dyDescent="0.25">
      <c r="A848" s="6" t="s">
        <v>14</v>
      </c>
      <c r="B848" s="173" t="s">
        <v>74</v>
      </c>
      <c r="C848" s="7" t="s">
        <v>15</v>
      </c>
    </row>
    <row r="849" spans="1:13" x14ac:dyDescent="0.25">
      <c r="A849" s="41" t="s">
        <v>16</v>
      </c>
      <c r="B849" s="276">
        <v>2014</v>
      </c>
      <c r="C849" s="154">
        <v>2015</v>
      </c>
      <c r="D849" s="154">
        <v>2016</v>
      </c>
      <c r="E849" s="154">
        <v>2017</v>
      </c>
      <c r="F849" s="154">
        <v>2018</v>
      </c>
      <c r="G849" s="154">
        <v>2019</v>
      </c>
      <c r="H849" s="154">
        <v>2020</v>
      </c>
      <c r="I849" s="154">
        <v>2021</v>
      </c>
      <c r="J849" s="154">
        <v>2022</v>
      </c>
      <c r="K849" s="154">
        <v>2023</v>
      </c>
      <c r="L849" s="154">
        <v>2024</v>
      </c>
      <c r="M849" s="154">
        <v>2025</v>
      </c>
    </row>
    <row r="850" spans="1:13" x14ac:dyDescent="0.25">
      <c r="A850" s="10" t="s">
        <v>17</v>
      </c>
      <c r="B850" s="277">
        <v>480</v>
      </c>
      <c r="C850" s="277">
        <v>480</v>
      </c>
      <c r="D850" s="277">
        <v>480</v>
      </c>
      <c r="E850" s="277">
        <v>480</v>
      </c>
      <c r="F850" s="277">
        <v>480</v>
      </c>
      <c r="G850" s="277">
        <v>480</v>
      </c>
      <c r="H850" s="300">
        <v>403.8</v>
      </c>
      <c r="I850" s="11">
        <v>403.8</v>
      </c>
      <c r="J850" s="11">
        <v>403.8</v>
      </c>
      <c r="K850" s="11">
        <v>403.8</v>
      </c>
      <c r="L850" s="11">
        <v>403.8</v>
      </c>
      <c r="M850" s="90">
        <v>403.8</v>
      </c>
    </row>
    <row r="851" spans="1:13" x14ac:dyDescent="0.25">
      <c r="A851" s="10" t="s">
        <v>18</v>
      </c>
      <c r="B851" s="277">
        <v>480</v>
      </c>
      <c r="C851" s="277">
        <v>528</v>
      </c>
      <c r="D851" s="277">
        <v>407.63</v>
      </c>
      <c r="E851" s="277">
        <v>414.75</v>
      </c>
      <c r="F851" s="277">
        <v>462.75</v>
      </c>
      <c r="G851" s="277">
        <v>528</v>
      </c>
      <c r="H851" s="277">
        <v>449.8</v>
      </c>
      <c r="I851" s="11">
        <f>I850+0.1*G850-2</f>
        <v>449.8</v>
      </c>
      <c r="J851" s="11">
        <v>401.8</v>
      </c>
      <c r="K851" s="11">
        <v>401.8</v>
      </c>
      <c r="L851" s="11">
        <v>401.8</v>
      </c>
      <c r="M851" s="90">
        <v>401.8</v>
      </c>
    </row>
    <row r="852" spans="1:13" ht="26.4" x14ac:dyDescent="0.25">
      <c r="A852" s="10" t="s">
        <v>19</v>
      </c>
      <c r="B852" s="278">
        <v>480</v>
      </c>
      <c r="C852" s="278">
        <v>528</v>
      </c>
      <c r="D852" s="278" t="s">
        <v>75</v>
      </c>
      <c r="E852" s="293" t="s">
        <v>76</v>
      </c>
      <c r="F852" s="293" t="s">
        <v>77</v>
      </c>
      <c r="G852" s="293" t="s">
        <v>78</v>
      </c>
      <c r="H852" s="293" t="s">
        <v>267</v>
      </c>
      <c r="I852" s="301" t="s">
        <v>268</v>
      </c>
      <c r="J852" s="301" t="s">
        <v>490</v>
      </c>
      <c r="K852" s="301" t="s">
        <v>883</v>
      </c>
      <c r="L852" s="301" t="s">
        <v>1015</v>
      </c>
      <c r="M852" s="90" t="s">
        <v>1184</v>
      </c>
    </row>
    <row r="853" spans="1:13" x14ac:dyDescent="0.25">
      <c r="A853" s="10" t="s">
        <v>20</v>
      </c>
      <c r="B853" s="12">
        <v>552.37</v>
      </c>
      <c r="C853" s="12">
        <v>658.51</v>
      </c>
      <c r="D853" s="12">
        <v>355.07</v>
      </c>
      <c r="E853" s="12">
        <v>338.75</v>
      </c>
      <c r="F853" s="12">
        <v>120.791</v>
      </c>
      <c r="G853" s="12">
        <v>79.62</v>
      </c>
      <c r="H853" s="12">
        <v>138.81700000000001</v>
      </c>
      <c r="I853" s="11">
        <v>105.06</v>
      </c>
      <c r="J853" s="11">
        <v>282.19</v>
      </c>
      <c r="K853" s="11">
        <v>191.54</v>
      </c>
      <c r="L853" s="11">
        <v>135.71</v>
      </c>
      <c r="M853" s="90"/>
    </row>
    <row r="854" spans="1:13" x14ac:dyDescent="0.25">
      <c r="A854" s="10" t="s">
        <v>21</v>
      </c>
      <c r="B854" s="12">
        <v>-72.37</v>
      </c>
      <c r="C854" s="12">
        <v>-130.51</v>
      </c>
      <c r="D854" s="12">
        <f>D851-D853</f>
        <v>52.56</v>
      </c>
      <c r="E854" s="12">
        <f>E851-E853</f>
        <v>76</v>
      </c>
      <c r="F854" s="12">
        <v>341.959</v>
      </c>
      <c r="G854" s="12">
        <f t="shared" ref="G854:L854" si="39">G851-G853</f>
        <v>448.38</v>
      </c>
      <c r="H854" s="12">
        <f t="shared" si="39"/>
        <v>310.983</v>
      </c>
      <c r="I854" s="11">
        <f t="shared" si="39"/>
        <v>344.74</v>
      </c>
      <c r="J854" s="11">
        <f t="shared" si="39"/>
        <v>119.61000000000001</v>
      </c>
      <c r="K854" s="11">
        <f t="shared" si="39"/>
        <v>210.26000000000002</v>
      </c>
      <c r="L854" s="11">
        <f t="shared" si="39"/>
        <v>266.09000000000003</v>
      </c>
      <c r="M854" s="90"/>
    </row>
    <row r="855" spans="1:13" x14ac:dyDescent="0.25">
      <c r="A855" s="16" t="s">
        <v>22</v>
      </c>
      <c r="B855" s="159">
        <v>2016</v>
      </c>
      <c r="C855" s="159">
        <v>2017</v>
      </c>
      <c r="D855" s="159">
        <v>2018</v>
      </c>
      <c r="E855" s="159">
        <v>2019</v>
      </c>
      <c r="F855" s="159" t="s">
        <v>72</v>
      </c>
      <c r="G855" s="159" t="s">
        <v>73</v>
      </c>
      <c r="H855" s="159" t="s">
        <v>161</v>
      </c>
      <c r="I855" s="159" t="s">
        <v>161</v>
      </c>
      <c r="J855" s="159" t="s">
        <v>161</v>
      </c>
      <c r="K855" s="159" t="s">
        <v>161</v>
      </c>
      <c r="L855" s="159" t="s">
        <v>161</v>
      </c>
      <c r="M855" s="180" t="s">
        <v>161</v>
      </c>
    </row>
    <row r="856" spans="1:13" x14ac:dyDescent="0.25">
      <c r="A856" s="18" t="s">
        <v>491</v>
      </c>
      <c r="B856" s="281"/>
      <c r="C856" s="281"/>
      <c r="D856" s="281"/>
      <c r="E856" s="281"/>
      <c r="F856" s="281"/>
      <c r="G856" s="281"/>
      <c r="H856" s="281"/>
      <c r="I856" s="281"/>
      <c r="J856" s="281"/>
      <c r="K856" s="281"/>
      <c r="L856" s="281"/>
      <c r="M856" s="63"/>
    </row>
    <row r="857" spans="1:13" x14ac:dyDescent="0.25">
      <c r="A857" s="39" t="s">
        <v>492</v>
      </c>
      <c r="B857" s="282"/>
      <c r="C857" s="282"/>
      <c r="D857" s="282"/>
      <c r="E857" s="282"/>
      <c r="F857" s="282"/>
      <c r="G857" s="282"/>
      <c r="H857" s="282"/>
      <c r="I857" s="282"/>
      <c r="J857" s="282"/>
      <c r="K857" s="282"/>
      <c r="L857" s="282"/>
      <c r="M857" s="64"/>
    </row>
    <row r="858" spans="1:13" x14ac:dyDescent="0.25">
      <c r="A858" s="314" t="s">
        <v>1071</v>
      </c>
      <c r="B858" s="315"/>
      <c r="C858" s="315"/>
      <c r="D858" s="315"/>
      <c r="E858" s="315"/>
      <c r="F858" s="315"/>
      <c r="G858" s="315"/>
      <c r="H858" s="315"/>
      <c r="I858" s="34"/>
      <c r="J858" s="34"/>
      <c r="K858" s="34"/>
      <c r="L858" s="34"/>
      <c r="M858" s="48"/>
    </row>
    <row r="860" spans="1:13" x14ac:dyDescent="0.25">
      <c r="A860" s="6" t="s">
        <v>14</v>
      </c>
      <c r="B860" s="173" t="s">
        <v>79</v>
      </c>
      <c r="C860" s="7" t="s">
        <v>15</v>
      </c>
    </row>
    <row r="861" spans="1:13" x14ac:dyDescent="0.25">
      <c r="A861" s="41" t="s">
        <v>16</v>
      </c>
      <c r="B861" s="276">
        <v>2014</v>
      </c>
      <c r="C861" s="154">
        <v>2015</v>
      </c>
      <c r="D861" s="154">
        <v>2016</v>
      </c>
      <c r="E861" s="154">
        <v>2017</v>
      </c>
      <c r="F861" s="154">
        <v>2018</v>
      </c>
      <c r="G861" s="154">
        <v>2019</v>
      </c>
      <c r="H861" s="154">
        <v>2020</v>
      </c>
      <c r="I861" s="154">
        <v>2021</v>
      </c>
      <c r="J861" s="154">
        <v>2022</v>
      </c>
    </row>
    <row r="862" spans="1:13" x14ac:dyDescent="0.25">
      <c r="A862" s="10" t="s">
        <v>17</v>
      </c>
      <c r="B862" s="277">
        <v>50</v>
      </c>
      <c r="C862" s="277">
        <v>50</v>
      </c>
      <c r="D862" s="277">
        <v>50</v>
      </c>
      <c r="E862" s="277">
        <v>50</v>
      </c>
      <c r="F862" s="277">
        <v>50</v>
      </c>
      <c r="G862" s="277">
        <v>50</v>
      </c>
      <c r="H862" s="300">
        <v>50</v>
      </c>
      <c r="I862" s="12">
        <v>50</v>
      </c>
      <c r="J862" s="12">
        <v>50</v>
      </c>
    </row>
    <row r="863" spans="1:13" x14ac:dyDescent="0.25">
      <c r="A863" s="10" t="s">
        <v>18</v>
      </c>
      <c r="B863" s="277">
        <v>50</v>
      </c>
      <c r="C863" s="277">
        <v>52.5</v>
      </c>
      <c r="D863" s="277">
        <v>23.9</v>
      </c>
      <c r="E863" s="277">
        <v>23.9</v>
      </c>
      <c r="F863" s="277">
        <v>27.6</v>
      </c>
      <c r="G863" s="277">
        <v>27.6</v>
      </c>
      <c r="H863" s="277">
        <v>32.6</v>
      </c>
      <c r="I863" s="12">
        <v>55</v>
      </c>
      <c r="J863" s="12">
        <v>50</v>
      </c>
    </row>
    <row r="864" spans="1:13" ht="26.4" x14ac:dyDescent="0.25">
      <c r="A864" s="10" t="s">
        <v>19</v>
      </c>
      <c r="B864" s="316">
        <v>50</v>
      </c>
      <c r="C864" s="316">
        <v>52.5</v>
      </c>
      <c r="D864" s="278" t="s">
        <v>80</v>
      </c>
      <c r="E864" s="293" t="s">
        <v>81</v>
      </c>
      <c r="F864" s="293" t="s">
        <v>82</v>
      </c>
      <c r="G864" s="293" t="s">
        <v>83</v>
      </c>
      <c r="H864" s="293" t="s">
        <v>84</v>
      </c>
      <c r="I864" s="195" t="s">
        <v>269</v>
      </c>
      <c r="J864" s="195" t="s">
        <v>572</v>
      </c>
    </row>
    <row r="865" spans="1:12" x14ac:dyDescent="0.25">
      <c r="A865" s="10" t="s">
        <v>20</v>
      </c>
      <c r="B865" s="12">
        <v>102.21</v>
      </c>
      <c r="C865" s="12">
        <v>119.69</v>
      </c>
      <c r="D865" s="12">
        <v>101.54</v>
      </c>
      <c r="E865" s="12">
        <v>14.67</v>
      </c>
      <c r="F865" s="12">
        <v>0.17</v>
      </c>
      <c r="G865" s="12">
        <v>0.7</v>
      </c>
      <c r="H865" s="12">
        <v>3.0670000000000002</v>
      </c>
      <c r="I865" s="12">
        <v>14.32</v>
      </c>
      <c r="J865" s="12">
        <v>1.1000000000000001</v>
      </c>
    </row>
    <row r="866" spans="1:12" x14ac:dyDescent="0.25">
      <c r="A866" s="10" t="s">
        <v>21</v>
      </c>
      <c r="B866" s="12">
        <v>-52.21</v>
      </c>
      <c r="C866" s="12">
        <v>-67.19</v>
      </c>
      <c r="D866" s="12">
        <v>-77.640000000000015</v>
      </c>
      <c r="E866" s="12">
        <f t="shared" ref="E866:J866" si="40">E863-E865</f>
        <v>9.2299999999999986</v>
      </c>
      <c r="F866" s="12">
        <f t="shared" si="40"/>
        <v>27.43</v>
      </c>
      <c r="G866" s="12">
        <f t="shared" si="40"/>
        <v>26.900000000000002</v>
      </c>
      <c r="H866" s="12">
        <f t="shared" si="40"/>
        <v>29.533000000000001</v>
      </c>
      <c r="I866" s="12">
        <f t="shared" si="40"/>
        <v>40.68</v>
      </c>
      <c r="J866" s="12">
        <f t="shared" si="40"/>
        <v>48.9</v>
      </c>
    </row>
    <row r="867" spans="1:12" x14ac:dyDescent="0.25">
      <c r="A867" s="16" t="s">
        <v>22</v>
      </c>
      <c r="B867" s="159">
        <v>2016</v>
      </c>
      <c r="C867" s="159">
        <v>2017</v>
      </c>
      <c r="D867" s="159">
        <v>2018</v>
      </c>
      <c r="E867" s="159">
        <v>2019</v>
      </c>
      <c r="F867" s="159" t="s">
        <v>72</v>
      </c>
      <c r="G867" s="159" t="s">
        <v>73</v>
      </c>
      <c r="H867" s="159" t="s">
        <v>161</v>
      </c>
      <c r="I867" s="159" t="s">
        <v>161</v>
      </c>
      <c r="J867" s="159" t="s">
        <v>161</v>
      </c>
    </row>
    <row r="868" spans="1:12" x14ac:dyDescent="0.25">
      <c r="A868" s="16" t="s">
        <v>493</v>
      </c>
      <c r="B868" s="178"/>
      <c r="C868" s="178"/>
      <c r="D868" s="178"/>
      <c r="E868" s="178"/>
      <c r="F868" s="178"/>
      <c r="G868" s="178"/>
      <c r="H868" s="178"/>
      <c r="I868" s="178"/>
      <c r="J868" s="179"/>
    </row>
    <row r="869" spans="1:12" x14ac:dyDescent="0.25">
      <c r="A869" s="314" t="s">
        <v>494</v>
      </c>
      <c r="B869" s="315"/>
      <c r="C869" s="315"/>
      <c r="D869" s="315"/>
      <c r="E869" s="315"/>
      <c r="F869" s="315"/>
      <c r="G869" s="315"/>
      <c r="H869" s="315"/>
      <c r="I869" s="315"/>
      <c r="J869" s="48"/>
    </row>
    <row r="870" spans="1:12" x14ac:dyDescent="0.25">
      <c r="A870" s="317"/>
      <c r="B870" s="317"/>
      <c r="C870" s="317"/>
      <c r="D870" s="317"/>
      <c r="E870" s="317"/>
      <c r="F870" s="317"/>
      <c r="G870" s="317"/>
      <c r="H870" s="317"/>
      <c r="I870" s="317"/>
    </row>
    <row r="872" spans="1:12" x14ac:dyDescent="0.25">
      <c r="A872" s="6" t="s">
        <v>11</v>
      </c>
      <c r="B872" s="7" t="s">
        <v>361</v>
      </c>
      <c r="C872" s="2"/>
    </row>
    <row r="873" spans="1:12" x14ac:dyDescent="0.25">
      <c r="A873" s="151" t="s">
        <v>1</v>
      </c>
      <c r="B873" s="24" t="s">
        <v>624</v>
      </c>
      <c r="C873" s="9" t="s">
        <v>2</v>
      </c>
    </row>
    <row r="874" spans="1:12" x14ac:dyDescent="0.25">
      <c r="A874" s="10" t="s">
        <v>3</v>
      </c>
      <c r="B874" s="154">
        <v>2015</v>
      </c>
      <c r="C874" s="154">
        <v>2016</v>
      </c>
      <c r="D874" s="172">
        <v>2017</v>
      </c>
      <c r="E874" s="154">
        <v>2018</v>
      </c>
      <c r="F874" s="154">
        <v>2019</v>
      </c>
      <c r="G874" s="154">
        <v>2020</v>
      </c>
      <c r="H874" s="154">
        <v>2021</v>
      </c>
      <c r="I874" s="154">
        <v>2022</v>
      </c>
      <c r="J874" s="154">
        <v>2023</v>
      </c>
      <c r="K874" s="154">
        <v>2024</v>
      </c>
      <c r="L874" s="154">
        <v>2025</v>
      </c>
    </row>
    <row r="875" spans="1:12" x14ac:dyDescent="0.25">
      <c r="A875" s="10" t="s">
        <v>4</v>
      </c>
      <c r="B875" s="156">
        <v>200</v>
      </c>
      <c r="C875" s="174">
        <v>200</v>
      </c>
      <c r="D875" s="156">
        <v>200</v>
      </c>
      <c r="E875" s="175">
        <v>200</v>
      </c>
      <c r="F875" s="175">
        <v>215</v>
      </c>
      <c r="G875" s="175">
        <v>215</v>
      </c>
      <c r="H875" s="175">
        <v>242</v>
      </c>
      <c r="I875" s="175">
        <v>242</v>
      </c>
      <c r="J875" s="175">
        <v>242</v>
      </c>
      <c r="K875" s="175">
        <v>302</v>
      </c>
      <c r="L875" s="175">
        <v>302</v>
      </c>
    </row>
    <row r="876" spans="1:12" x14ac:dyDescent="0.25">
      <c r="A876" s="10" t="s">
        <v>5</v>
      </c>
      <c r="B876" s="156">
        <f>200+(200*25%)</f>
        <v>250</v>
      </c>
      <c r="C876" s="156">
        <f>200+(200*25%)</f>
        <v>250</v>
      </c>
      <c r="D876" s="156">
        <f>200+(200*25%)</f>
        <v>250</v>
      </c>
      <c r="E876" s="156">
        <f>200+(200*25%)</f>
        <v>250</v>
      </c>
      <c r="F876" s="175">
        <f t="shared" ref="F876:L876" si="41">F875+0.25*E875</f>
        <v>265</v>
      </c>
      <c r="G876" s="175">
        <f t="shared" si="41"/>
        <v>268.75</v>
      </c>
      <c r="H876" s="175">
        <f t="shared" si="41"/>
        <v>295.75</v>
      </c>
      <c r="I876" s="175">
        <f t="shared" si="41"/>
        <v>302.5</v>
      </c>
      <c r="J876" s="175">
        <f t="shared" si="41"/>
        <v>302.5</v>
      </c>
      <c r="K876" s="175">
        <f t="shared" si="41"/>
        <v>362.5</v>
      </c>
      <c r="L876" s="175">
        <f t="shared" si="41"/>
        <v>377.5</v>
      </c>
    </row>
    <row r="877" spans="1:12" x14ac:dyDescent="0.25">
      <c r="A877" s="10" t="s">
        <v>6</v>
      </c>
      <c r="B877" s="13">
        <v>2</v>
      </c>
      <c r="C877" s="318">
        <v>3</v>
      </c>
      <c r="D877" s="13">
        <v>4</v>
      </c>
      <c r="E877" s="319">
        <v>5</v>
      </c>
      <c r="F877" s="319">
        <v>6</v>
      </c>
      <c r="G877" s="13">
        <v>7</v>
      </c>
      <c r="H877" s="13">
        <v>8</v>
      </c>
      <c r="I877" s="13">
        <v>9</v>
      </c>
      <c r="J877" s="13">
        <v>10</v>
      </c>
      <c r="K877" s="13">
        <v>11</v>
      </c>
      <c r="L877" s="13"/>
    </row>
    <row r="878" spans="1:12" x14ac:dyDescent="0.25">
      <c r="A878" s="10" t="s">
        <v>7</v>
      </c>
      <c r="B878" s="12">
        <v>0</v>
      </c>
      <c r="C878" s="188">
        <v>0</v>
      </c>
      <c r="D878" s="12">
        <v>0</v>
      </c>
      <c r="E878" s="189">
        <v>0</v>
      </c>
      <c r="F878" s="189">
        <v>0</v>
      </c>
      <c r="G878" s="12">
        <v>0</v>
      </c>
      <c r="H878" s="12">
        <v>0</v>
      </c>
      <c r="I878" s="12">
        <v>0</v>
      </c>
      <c r="J878" s="12">
        <v>0</v>
      </c>
      <c r="K878" s="12">
        <v>0</v>
      </c>
      <c r="L878" s="12"/>
    </row>
    <row r="879" spans="1:12" x14ac:dyDescent="0.25">
      <c r="A879" s="10" t="s">
        <v>8</v>
      </c>
      <c r="B879" s="156">
        <f>B876-B878</f>
        <v>250</v>
      </c>
      <c r="C879" s="156">
        <f>C876-C878</f>
        <v>250</v>
      </c>
      <c r="D879" s="156">
        <f>D876-D878</f>
        <v>250</v>
      </c>
      <c r="E879" s="175">
        <v>250</v>
      </c>
      <c r="F879" s="175">
        <f t="shared" ref="F879:K879" si="42">F876-F878</f>
        <v>265</v>
      </c>
      <c r="G879" s="175">
        <f t="shared" si="42"/>
        <v>268.75</v>
      </c>
      <c r="H879" s="175">
        <f t="shared" si="42"/>
        <v>295.75</v>
      </c>
      <c r="I879" s="175">
        <f t="shared" si="42"/>
        <v>302.5</v>
      </c>
      <c r="J879" s="175">
        <f t="shared" si="42"/>
        <v>302.5</v>
      </c>
      <c r="K879" s="175">
        <f t="shared" si="42"/>
        <v>362.5</v>
      </c>
      <c r="L879" s="175"/>
    </row>
    <row r="880" spans="1:12" x14ac:dyDescent="0.25">
      <c r="A880" s="10" t="s">
        <v>9</v>
      </c>
      <c r="B880" s="320">
        <v>2016</v>
      </c>
      <c r="C880" s="320">
        <v>2017</v>
      </c>
      <c r="D880" s="320">
        <v>2018</v>
      </c>
      <c r="E880" s="320">
        <v>2019</v>
      </c>
      <c r="F880" s="320">
        <v>2020</v>
      </c>
      <c r="G880" s="320">
        <v>2021</v>
      </c>
      <c r="H880" s="320">
        <v>2022</v>
      </c>
      <c r="I880" s="320">
        <v>2023</v>
      </c>
      <c r="J880" s="320">
        <v>2024</v>
      </c>
      <c r="K880" s="320">
        <v>2025</v>
      </c>
      <c r="L880" s="321">
        <v>2026</v>
      </c>
    </row>
    <row r="881" spans="1:12" x14ac:dyDescent="0.25">
      <c r="A881" s="16" t="s">
        <v>10</v>
      </c>
      <c r="B881" s="16"/>
      <c r="C881" s="46"/>
      <c r="D881" s="46"/>
      <c r="E881" s="46"/>
      <c r="F881" s="46"/>
      <c r="G881" s="47"/>
      <c r="H881" s="47"/>
      <c r="I881" s="47"/>
      <c r="J881" s="47"/>
      <c r="K881" s="47"/>
      <c r="L881" s="90"/>
    </row>
    <row r="882" spans="1:12" x14ac:dyDescent="0.25">
      <c r="A882" s="18" t="s">
        <v>362</v>
      </c>
      <c r="B882" s="19"/>
      <c r="C882" s="19"/>
      <c r="D882" s="19"/>
      <c r="E882" s="19"/>
      <c r="F882" s="19"/>
      <c r="G882" s="19"/>
      <c r="H882" s="19"/>
      <c r="I882" s="19"/>
      <c r="J882" s="19"/>
      <c r="K882" s="19"/>
      <c r="L882" s="63"/>
    </row>
    <row r="883" spans="1:12" x14ac:dyDescent="0.25">
      <c r="A883" s="39" t="s">
        <v>794</v>
      </c>
      <c r="L883" s="64"/>
    </row>
    <row r="884" spans="1:12" x14ac:dyDescent="0.25">
      <c r="A884" s="39" t="s">
        <v>795</v>
      </c>
      <c r="L884" s="64"/>
    </row>
    <row r="885" spans="1:12" x14ac:dyDescent="0.25">
      <c r="A885" s="39" t="s">
        <v>796</v>
      </c>
      <c r="L885" s="64"/>
    </row>
    <row r="886" spans="1:12" x14ac:dyDescent="0.25">
      <c r="A886" s="39" t="s">
        <v>797</v>
      </c>
      <c r="L886" s="64"/>
    </row>
    <row r="887" spans="1:12" x14ac:dyDescent="0.25">
      <c r="A887" s="39" t="s">
        <v>798</v>
      </c>
      <c r="L887" s="64"/>
    </row>
    <row r="888" spans="1:12" x14ac:dyDescent="0.25">
      <c r="A888" s="39" t="s">
        <v>799</v>
      </c>
      <c r="L888" s="64"/>
    </row>
    <row r="889" spans="1:12" x14ac:dyDescent="0.25">
      <c r="A889" s="39" t="s">
        <v>800</v>
      </c>
      <c r="L889" s="64"/>
    </row>
    <row r="890" spans="1:12" x14ac:dyDescent="0.25">
      <c r="A890" s="39" t="s">
        <v>801</v>
      </c>
      <c r="L890" s="64"/>
    </row>
    <row r="891" spans="1:12" x14ac:dyDescent="0.25">
      <c r="A891" s="39" t="s">
        <v>802</v>
      </c>
      <c r="L891" s="64"/>
    </row>
    <row r="892" spans="1:12" x14ac:dyDescent="0.25">
      <c r="A892" s="39" t="s">
        <v>972</v>
      </c>
      <c r="L892" s="64"/>
    </row>
    <row r="893" spans="1:12" x14ac:dyDescent="0.25">
      <c r="A893" s="41"/>
      <c r="B893" s="34"/>
      <c r="C893" s="34"/>
      <c r="D893" s="34"/>
      <c r="E893" s="34"/>
      <c r="F893" s="34"/>
      <c r="G893" s="34"/>
      <c r="H893" s="34"/>
      <c r="I893" s="34"/>
      <c r="J893" s="34"/>
      <c r="K893" s="34"/>
      <c r="L893" s="48"/>
    </row>
    <row r="895" spans="1:12" s="4" customFormat="1" x14ac:dyDescent="0.25">
      <c r="A895" s="322" t="s">
        <v>1</v>
      </c>
      <c r="B895" s="323" t="s">
        <v>623</v>
      </c>
      <c r="C895" s="324" t="s">
        <v>2</v>
      </c>
    </row>
    <row r="896" spans="1:12" s="4" customFormat="1" x14ac:dyDescent="0.25">
      <c r="A896" s="325" t="s">
        <v>3</v>
      </c>
      <c r="B896" s="326">
        <v>2015</v>
      </c>
      <c r="C896" s="326">
        <v>2016</v>
      </c>
      <c r="D896" s="327">
        <v>2017</v>
      </c>
      <c r="E896" s="326">
        <v>2018</v>
      </c>
      <c r="F896" s="326">
        <v>2019</v>
      </c>
      <c r="G896" s="326">
        <v>2020</v>
      </c>
      <c r="H896" s="326">
        <v>2021</v>
      </c>
      <c r="I896" s="326">
        <v>2022</v>
      </c>
      <c r="J896" s="326">
        <v>2023</v>
      </c>
      <c r="K896" s="326">
        <v>2024</v>
      </c>
    </row>
    <row r="897" spans="1:11" s="4" customFormat="1" x14ac:dyDescent="0.25">
      <c r="A897" s="325" t="s">
        <v>4</v>
      </c>
      <c r="B897" s="286">
        <v>40</v>
      </c>
      <c r="C897" s="286">
        <v>40</v>
      </c>
      <c r="D897" s="328">
        <v>40</v>
      </c>
      <c r="E897" s="286">
        <v>40</v>
      </c>
      <c r="F897" s="329">
        <v>40</v>
      </c>
      <c r="G897" s="329">
        <v>40</v>
      </c>
      <c r="H897" s="329">
        <v>40</v>
      </c>
      <c r="I897" s="329">
        <v>40</v>
      </c>
      <c r="J897" s="329">
        <v>40</v>
      </c>
      <c r="K897" s="329">
        <v>40</v>
      </c>
    </row>
    <row r="898" spans="1:11" s="4" customFormat="1" x14ac:dyDescent="0.25">
      <c r="A898" s="325" t="s">
        <v>5</v>
      </c>
      <c r="B898" s="286">
        <f>40+(40*50%)+40</f>
        <v>100</v>
      </c>
      <c r="C898" s="286">
        <f>40+(40*50%)+40</f>
        <v>100</v>
      </c>
      <c r="D898" s="286">
        <v>112.75</v>
      </c>
      <c r="E898" s="286">
        <v>108.75</v>
      </c>
      <c r="F898" s="286">
        <v>108.75</v>
      </c>
      <c r="G898" s="286">
        <v>108.75</v>
      </c>
      <c r="H898" s="286">
        <v>108.75</v>
      </c>
      <c r="I898" s="286">
        <f>I897+0.4*G897+40</f>
        <v>96</v>
      </c>
      <c r="J898" s="330">
        <v>96</v>
      </c>
      <c r="K898" s="286">
        <f>K897+0.4*I897+40</f>
        <v>96</v>
      </c>
    </row>
    <row r="899" spans="1:11" s="4" customFormat="1" x14ac:dyDescent="0.25">
      <c r="A899" s="325" t="s">
        <v>6</v>
      </c>
      <c r="B899" s="195">
        <v>1</v>
      </c>
      <c r="C899" s="195">
        <v>2</v>
      </c>
      <c r="D899" s="331">
        <v>3</v>
      </c>
      <c r="E899" s="195">
        <v>4</v>
      </c>
      <c r="F899" s="332">
        <v>5</v>
      </c>
      <c r="G899" s="195">
        <v>6</v>
      </c>
      <c r="H899" s="195">
        <v>7</v>
      </c>
      <c r="I899" s="195">
        <v>8</v>
      </c>
      <c r="J899" s="195">
        <v>9</v>
      </c>
      <c r="K899" s="195">
        <v>10</v>
      </c>
    </row>
    <row r="900" spans="1:11" s="4" customFormat="1" x14ac:dyDescent="0.25">
      <c r="A900" s="325" t="s">
        <v>7</v>
      </c>
      <c r="B900" s="286">
        <v>0</v>
      </c>
      <c r="C900" s="286">
        <v>0</v>
      </c>
      <c r="D900" s="328">
        <v>0</v>
      </c>
      <c r="E900" s="286">
        <v>0</v>
      </c>
      <c r="F900" s="329">
        <v>0</v>
      </c>
      <c r="G900" s="286">
        <v>0</v>
      </c>
      <c r="H900" s="286">
        <v>0</v>
      </c>
      <c r="I900" s="286">
        <v>78</v>
      </c>
      <c r="J900" s="286">
        <v>0</v>
      </c>
      <c r="K900" s="286">
        <v>0</v>
      </c>
    </row>
    <row r="901" spans="1:11" s="4" customFormat="1" x14ac:dyDescent="0.25">
      <c r="A901" s="325" t="s">
        <v>8</v>
      </c>
      <c r="B901" s="286">
        <f t="shared" ref="B901:G901" si="43">B898-B900</f>
        <v>100</v>
      </c>
      <c r="C901" s="286">
        <f t="shared" si="43"/>
        <v>100</v>
      </c>
      <c r="D901" s="286">
        <f t="shared" si="43"/>
        <v>112.75</v>
      </c>
      <c r="E901" s="286">
        <f t="shared" si="43"/>
        <v>108.75</v>
      </c>
      <c r="F901" s="286">
        <f t="shared" si="43"/>
        <v>108.75</v>
      </c>
      <c r="G901" s="286">
        <f t="shared" si="43"/>
        <v>108.75</v>
      </c>
      <c r="H901" s="286">
        <v>108.75</v>
      </c>
      <c r="I901" s="286">
        <f>I898-I900</f>
        <v>18</v>
      </c>
      <c r="J901" s="286">
        <f>J898-J900</f>
        <v>96</v>
      </c>
      <c r="K901" s="286">
        <f>K898-K900</f>
        <v>96</v>
      </c>
    </row>
    <row r="902" spans="1:11" s="4" customFormat="1" x14ac:dyDescent="0.25">
      <c r="A902" s="333" t="s">
        <v>9</v>
      </c>
      <c r="B902" s="334">
        <v>2017</v>
      </c>
      <c r="C902" s="334">
        <v>2018</v>
      </c>
      <c r="D902" s="334">
        <v>2019</v>
      </c>
      <c r="E902" s="334">
        <v>2020</v>
      </c>
      <c r="F902" s="334">
        <v>2021</v>
      </c>
      <c r="G902" s="334">
        <v>2022</v>
      </c>
      <c r="H902" s="334">
        <v>2023</v>
      </c>
      <c r="I902" s="334">
        <v>2024</v>
      </c>
      <c r="J902" s="334">
        <v>2025</v>
      </c>
      <c r="K902" s="334">
        <v>2026</v>
      </c>
    </row>
    <row r="903" spans="1:11" s="4" customFormat="1" x14ac:dyDescent="0.25">
      <c r="A903" s="662" t="s">
        <v>10</v>
      </c>
      <c r="B903" s="663"/>
      <c r="C903" s="663"/>
      <c r="D903" s="663"/>
      <c r="E903" s="663"/>
      <c r="F903" s="663"/>
      <c r="G903" s="335"/>
      <c r="H903" s="335"/>
      <c r="I903" s="335"/>
      <c r="J903" s="336"/>
      <c r="K903" s="336"/>
    </row>
    <row r="904" spans="1:11" s="4" customFormat="1" x14ac:dyDescent="0.25">
      <c r="A904" s="333" t="s">
        <v>362</v>
      </c>
      <c r="B904" s="335"/>
      <c r="C904" s="335"/>
      <c r="D904" s="335"/>
      <c r="E904" s="335"/>
      <c r="F904" s="335"/>
      <c r="G904" s="335"/>
      <c r="H904" s="335"/>
      <c r="I904" s="335"/>
      <c r="J904" s="335"/>
      <c r="K904" s="336"/>
    </row>
    <row r="905" spans="1:11" s="4" customFormat="1" x14ac:dyDescent="0.25">
      <c r="A905" s="660" t="s">
        <v>363</v>
      </c>
      <c r="B905" s="661"/>
      <c r="C905" s="661"/>
      <c r="D905" s="661"/>
      <c r="E905" s="661"/>
      <c r="F905" s="661"/>
      <c r="K905" s="337"/>
    </row>
    <row r="906" spans="1:11" s="4" customFormat="1" x14ac:dyDescent="0.25">
      <c r="A906" s="660" t="s">
        <v>364</v>
      </c>
      <c r="B906" s="661"/>
      <c r="C906" s="661"/>
      <c r="D906" s="661"/>
      <c r="E906" s="661"/>
      <c r="F906" s="661"/>
      <c r="K906" s="337"/>
    </row>
    <row r="907" spans="1:11" s="4" customFormat="1" ht="45" customHeight="1" x14ac:dyDescent="0.25">
      <c r="A907" s="660" t="s">
        <v>365</v>
      </c>
      <c r="B907" s="661"/>
      <c r="C907" s="661"/>
      <c r="D907" s="661"/>
      <c r="E907" s="661"/>
      <c r="F907" s="661"/>
      <c r="G907" s="661"/>
      <c r="K907" s="337"/>
    </row>
    <row r="908" spans="1:11" s="4" customFormat="1" ht="30" customHeight="1" x14ac:dyDescent="0.25">
      <c r="A908" s="660" t="s">
        <v>977</v>
      </c>
      <c r="B908" s="661"/>
      <c r="C908" s="661"/>
      <c r="D908" s="661"/>
      <c r="E908" s="661"/>
      <c r="F908" s="661"/>
      <c r="G908" s="661"/>
      <c r="K908" s="337"/>
    </row>
    <row r="909" spans="1:11" s="4" customFormat="1" ht="30" customHeight="1" x14ac:dyDescent="0.25">
      <c r="A909" s="660" t="s">
        <v>976</v>
      </c>
      <c r="B909" s="661"/>
      <c r="C909" s="661"/>
      <c r="D909" s="661"/>
      <c r="E909" s="661"/>
      <c r="F909" s="661"/>
      <c r="G909" s="661"/>
      <c r="K909" s="337"/>
    </row>
    <row r="910" spans="1:11" s="4" customFormat="1" ht="30" customHeight="1" x14ac:dyDescent="0.25">
      <c r="A910" s="660" t="s">
        <v>975</v>
      </c>
      <c r="B910" s="661"/>
      <c r="C910" s="661"/>
      <c r="D910" s="661"/>
      <c r="E910" s="661"/>
      <c r="F910" s="661"/>
      <c r="G910" s="661"/>
      <c r="K910" s="337"/>
    </row>
    <row r="911" spans="1:11" s="4" customFormat="1" ht="30" customHeight="1" x14ac:dyDescent="0.25">
      <c r="A911" s="660" t="s">
        <v>974</v>
      </c>
      <c r="B911" s="661"/>
      <c r="C911" s="661"/>
      <c r="D911" s="661"/>
      <c r="E911" s="661"/>
      <c r="F911" s="661"/>
      <c r="G911" s="661"/>
      <c r="K911" s="337"/>
    </row>
    <row r="912" spans="1:11" s="4" customFormat="1" ht="30" customHeight="1" x14ac:dyDescent="0.25">
      <c r="A912" s="161" t="s">
        <v>973</v>
      </c>
      <c r="B912" s="32"/>
      <c r="C912" s="32"/>
      <c r="D912" s="32"/>
      <c r="E912" s="32"/>
      <c r="F912" s="32"/>
      <c r="G912" s="32"/>
      <c r="K912" s="337"/>
    </row>
    <row r="913" spans="1:11" s="340" customFormat="1" ht="30" customHeight="1" x14ac:dyDescent="0.25">
      <c r="A913" s="338" t="s">
        <v>1151</v>
      </c>
      <c r="B913" s="339"/>
      <c r="C913" s="339"/>
      <c r="D913" s="339"/>
      <c r="E913" s="339"/>
      <c r="F913" s="339"/>
      <c r="G913" s="339"/>
      <c r="K913" s="341"/>
    </row>
    <row r="914" spans="1:11" s="4" customFormat="1" ht="30" customHeight="1" x14ac:dyDescent="0.25">
      <c r="A914" s="664" t="s">
        <v>978</v>
      </c>
      <c r="B914" s="665"/>
      <c r="C914" s="665"/>
      <c r="D914" s="665"/>
      <c r="E914" s="665"/>
      <c r="F914" s="665"/>
      <c r="G914" s="665"/>
      <c r="H914" s="342"/>
      <c r="I914" s="342"/>
      <c r="J914" s="342"/>
      <c r="K914" s="343"/>
    </row>
    <row r="916" spans="1:11" x14ac:dyDescent="0.25">
      <c r="A916" s="6" t="s">
        <v>1</v>
      </c>
      <c r="B916" s="7" t="s">
        <v>645</v>
      </c>
      <c r="C916" s="324" t="s">
        <v>2</v>
      </c>
    </row>
    <row r="917" spans="1:11" x14ac:dyDescent="0.25">
      <c r="A917" s="10" t="s">
        <v>3</v>
      </c>
      <c r="B917" s="154">
        <v>2015</v>
      </c>
      <c r="C917" s="154">
        <v>2016</v>
      </c>
      <c r="D917" s="172">
        <v>2017</v>
      </c>
      <c r="E917" s="154">
        <v>2018</v>
      </c>
      <c r="F917" s="154">
        <v>2019</v>
      </c>
      <c r="G917" s="154">
        <v>2020</v>
      </c>
      <c r="H917" s="154">
        <v>2021</v>
      </c>
      <c r="I917" s="154">
        <v>2022</v>
      </c>
      <c r="J917" s="154">
        <v>2023</v>
      </c>
      <c r="K917" s="154">
        <v>2024</v>
      </c>
    </row>
    <row r="918" spans="1:11" x14ac:dyDescent="0.25">
      <c r="A918" s="10" t="s">
        <v>4</v>
      </c>
      <c r="B918" s="12">
        <v>4.51</v>
      </c>
      <c r="C918" s="12">
        <v>4.51</v>
      </c>
      <c r="D918" s="188">
        <v>4.51</v>
      </c>
      <c r="E918" s="12">
        <v>5.31</v>
      </c>
      <c r="F918" s="189">
        <v>5.31</v>
      </c>
      <c r="G918" s="12">
        <v>5.31</v>
      </c>
      <c r="H918" s="12">
        <v>5.31</v>
      </c>
      <c r="I918" s="12">
        <v>6.18</v>
      </c>
      <c r="J918" s="12">
        <v>6.18</v>
      </c>
      <c r="K918" s="12">
        <v>6.18</v>
      </c>
    </row>
    <row r="919" spans="1:11" x14ac:dyDescent="0.25">
      <c r="A919" s="10" t="s">
        <v>5</v>
      </c>
      <c r="B919" s="12">
        <v>8.51</v>
      </c>
      <c r="C919" s="12">
        <v>9.02</v>
      </c>
      <c r="D919" s="12">
        <v>4.1899999999999995</v>
      </c>
      <c r="E919" s="12">
        <v>9.5</v>
      </c>
      <c r="F919" s="12">
        <f>2*F918-9.62</f>
        <v>1</v>
      </c>
      <c r="G919" s="12">
        <f>G918+F922-4.78</f>
        <v>1.5299999999999994</v>
      </c>
      <c r="H919" s="12">
        <f>H918+G922-4.78</f>
        <v>2.0599999999999987</v>
      </c>
      <c r="I919" s="12">
        <f>I918+H922-4.78</f>
        <v>3.4599999999999982</v>
      </c>
      <c r="J919" s="12">
        <f>J918+I922-5.18</f>
        <v>4.4599999999999973</v>
      </c>
      <c r="K919" s="12">
        <f>K918+J922</f>
        <v>10.639999999999997</v>
      </c>
    </row>
    <row r="920" spans="1:11" x14ac:dyDescent="0.25">
      <c r="A920" s="10" t="s">
        <v>6</v>
      </c>
      <c r="B920" s="11">
        <v>1</v>
      </c>
      <c r="C920" s="11">
        <v>2</v>
      </c>
      <c r="D920" s="36">
        <v>3</v>
      </c>
      <c r="E920" s="11">
        <v>4</v>
      </c>
      <c r="F920" s="37">
        <v>5</v>
      </c>
      <c r="G920" s="11">
        <v>6</v>
      </c>
      <c r="H920" s="11">
        <v>7</v>
      </c>
      <c r="I920" s="11">
        <v>8</v>
      </c>
      <c r="J920" s="11">
        <v>9</v>
      </c>
      <c r="K920" s="11">
        <v>10</v>
      </c>
    </row>
    <row r="921" spans="1:11" x14ac:dyDescent="0.25">
      <c r="A921" s="10" t="s">
        <v>7</v>
      </c>
      <c r="B921" s="12">
        <v>0.17</v>
      </c>
      <c r="C921" s="12">
        <v>9.34</v>
      </c>
      <c r="D921" s="188">
        <v>0</v>
      </c>
      <c r="E921" s="12">
        <v>0</v>
      </c>
      <c r="F921" s="189">
        <v>0</v>
      </c>
      <c r="G921" s="12">
        <v>0</v>
      </c>
      <c r="H921" s="12">
        <v>0</v>
      </c>
      <c r="I921" s="12">
        <v>0</v>
      </c>
      <c r="J921" s="12">
        <v>0</v>
      </c>
      <c r="K921" s="12">
        <v>0</v>
      </c>
    </row>
    <row r="922" spans="1:11" x14ac:dyDescent="0.25">
      <c r="A922" s="10" t="s">
        <v>8</v>
      </c>
      <c r="B922" s="12">
        <v>8.34</v>
      </c>
      <c r="C922" s="12">
        <v>-0.32000000000000028</v>
      </c>
      <c r="D922" s="12">
        <v>4.1899999999999995</v>
      </c>
      <c r="E922" s="12">
        <v>9.5</v>
      </c>
      <c r="F922" s="189">
        <f>F919-F921</f>
        <v>1</v>
      </c>
      <c r="G922" s="12">
        <f>G919</f>
        <v>1.5299999999999994</v>
      </c>
      <c r="H922" s="12">
        <f>H919</f>
        <v>2.0599999999999987</v>
      </c>
      <c r="I922" s="12">
        <f>I919-I921</f>
        <v>3.4599999999999982</v>
      </c>
      <c r="J922" s="12">
        <f>J919-J921</f>
        <v>4.4599999999999973</v>
      </c>
      <c r="K922" s="12">
        <f>K919-K921</f>
        <v>10.639999999999997</v>
      </c>
    </row>
    <row r="923" spans="1:11" x14ac:dyDescent="0.25">
      <c r="A923" s="16" t="s">
        <v>9</v>
      </c>
      <c r="B923" s="17">
        <v>2016</v>
      </c>
      <c r="C923" s="17">
        <v>2017</v>
      </c>
      <c r="D923" s="17">
        <v>2018</v>
      </c>
      <c r="E923" s="17">
        <v>2019</v>
      </c>
      <c r="F923" s="17">
        <v>2020</v>
      </c>
      <c r="G923" s="17">
        <v>2021</v>
      </c>
      <c r="H923" s="17">
        <v>2022</v>
      </c>
      <c r="I923" s="17">
        <v>2023</v>
      </c>
      <c r="J923" s="17">
        <v>2024</v>
      </c>
      <c r="K923" s="17">
        <v>2025</v>
      </c>
    </row>
    <row r="924" spans="1:11" x14ac:dyDescent="0.25">
      <c r="A924" s="16" t="s">
        <v>10</v>
      </c>
      <c r="B924" s="46"/>
      <c r="C924" s="46"/>
      <c r="D924" s="46"/>
      <c r="E924" s="46"/>
      <c r="F924" s="46"/>
      <c r="G924" s="46"/>
      <c r="H924" s="46"/>
      <c r="I924" s="46"/>
      <c r="J924" s="47"/>
      <c r="K924" s="47"/>
    </row>
    <row r="925" spans="1:11" x14ac:dyDescent="0.25">
      <c r="A925" s="16" t="s">
        <v>366</v>
      </c>
      <c r="B925" s="46"/>
      <c r="C925" s="46"/>
      <c r="D925" s="46"/>
      <c r="E925" s="46"/>
      <c r="F925" s="46"/>
      <c r="G925" s="46"/>
      <c r="H925" s="46"/>
      <c r="I925" s="46"/>
      <c r="J925" s="46"/>
      <c r="K925" s="47"/>
    </row>
    <row r="926" spans="1:11" x14ac:dyDescent="0.25">
      <c r="A926" s="39" t="s">
        <v>367</v>
      </c>
      <c r="K926" s="64"/>
    </row>
    <row r="927" spans="1:11" x14ac:dyDescent="0.25">
      <c r="A927" s="39" t="s">
        <v>368</v>
      </c>
      <c r="K927" s="64"/>
    </row>
    <row r="928" spans="1:11" x14ac:dyDescent="0.25">
      <c r="A928" s="39" t="s">
        <v>369</v>
      </c>
      <c r="K928" s="64"/>
    </row>
    <row r="929" spans="1:11" x14ac:dyDescent="0.25">
      <c r="A929" s="39" t="s">
        <v>596</v>
      </c>
      <c r="K929" s="64"/>
    </row>
    <row r="930" spans="1:11" x14ac:dyDescent="0.25">
      <c r="A930" s="39" t="s">
        <v>589</v>
      </c>
      <c r="K930" s="64"/>
    </row>
    <row r="931" spans="1:11" x14ac:dyDescent="0.25">
      <c r="A931" s="39" t="s">
        <v>588</v>
      </c>
      <c r="K931" s="64"/>
    </row>
    <row r="932" spans="1:11" x14ac:dyDescent="0.25">
      <c r="A932" s="39" t="s">
        <v>597</v>
      </c>
      <c r="K932" s="64"/>
    </row>
    <row r="933" spans="1:11" x14ac:dyDescent="0.25">
      <c r="A933" s="39" t="s">
        <v>803</v>
      </c>
      <c r="K933" s="64"/>
    </row>
    <row r="934" spans="1:11" x14ac:dyDescent="0.25">
      <c r="A934" s="41" t="s">
        <v>979</v>
      </c>
      <c r="B934" s="34"/>
      <c r="C934" s="34"/>
      <c r="D934" s="34"/>
      <c r="E934" s="34"/>
      <c r="F934" s="34"/>
      <c r="G934" s="34"/>
      <c r="H934" s="34"/>
      <c r="I934" s="34"/>
      <c r="J934" s="34"/>
      <c r="K934" s="48"/>
    </row>
    <row r="937" spans="1:11" x14ac:dyDescent="0.25">
      <c r="A937" s="98" t="s">
        <v>12</v>
      </c>
      <c r="B937" s="66" t="s">
        <v>249</v>
      </c>
      <c r="C937" s="344"/>
      <c r="D937" s="8"/>
      <c r="E937" s="8"/>
      <c r="F937" s="8"/>
    </row>
    <row r="938" spans="1:11" x14ac:dyDescent="0.25">
      <c r="A938" s="98" t="s">
        <v>14</v>
      </c>
      <c r="B938" s="66" t="s">
        <v>66</v>
      </c>
      <c r="C938" s="67" t="s">
        <v>15</v>
      </c>
      <c r="D938" s="8"/>
      <c r="E938" s="8"/>
      <c r="F938" s="8"/>
    </row>
    <row r="939" spans="1:11" x14ac:dyDescent="0.25">
      <c r="A939" s="68" t="s">
        <v>16</v>
      </c>
      <c r="B939" s="264">
        <v>2015</v>
      </c>
      <c r="C939" s="264">
        <v>2016</v>
      </c>
      <c r="D939" s="345">
        <v>2017</v>
      </c>
      <c r="E939" s="264">
        <v>2018</v>
      </c>
      <c r="F939" s="346">
        <v>2019</v>
      </c>
      <c r="G939" s="346">
        <v>2020</v>
      </c>
      <c r="H939" s="346">
        <v>2021</v>
      </c>
      <c r="I939" s="346">
        <v>2022</v>
      </c>
      <c r="J939" s="346">
        <v>2023</v>
      </c>
      <c r="K939" s="347">
        <v>2024</v>
      </c>
    </row>
    <row r="940" spans="1:11" x14ac:dyDescent="0.25">
      <c r="A940" s="68" t="s">
        <v>17</v>
      </c>
      <c r="B940" s="12">
        <v>4722</v>
      </c>
      <c r="C940" s="12">
        <v>4250</v>
      </c>
      <c r="D940" s="12">
        <v>4250</v>
      </c>
      <c r="E940" s="12">
        <v>4250</v>
      </c>
      <c r="F940" s="12">
        <v>4250</v>
      </c>
      <c r="G940" s="12">
        <v>3968.23</v>
      </c>
      <c r="H940" s="12">
        <v>3904.7383199999999</v>
      </c>
      <c r="I940" s="12">
        <v>3936.48416</v>
      </c>
      <c r="J940" s="12">
        <v>3936.48416</v>
      </c>
      <c r="K940" s="131">
        <v>3936.48416</v>
      </c>
    </row>
    <row r="941" spans="1:11" x14ac:dyDescent="0.25">
      <c r="A941" s="68" t="s">
        <v>18</v>
      </c>
      <c r="B941" s="12">
        <v>6614.6</v>
      </c>
      <c r="C941" s="12">
        <f>C940+70+583-337</f>
        <v>4566</v>
      </c>
      <c r="D941" s="12">
        <f>D940-337+70+B944+C944</f>
        <v>4433.3230000000003</v>
      </c>
      <c r="E941" s="12">
        <f>E940-337+70</f>
        <v>3983</v>
      </c>
      <c r="F941" s="12">
        <f>F940+70+D944</f>
        <v>4667.3230000000003</v>
      </c>
      <c r="G941" s="12">
        <f>G940+E944</f>
        <v>4380.2299999999996</v>
      </c>
      <c r="H941" s="12">
        <f>H940+425</f>
        <v>4329.7383200000004</v>
      </c>
      <c r="I941" s="12">
        <f>I940+396.82</f>
        <v>4333.3041599999997</v>
      </c>
      <c r="J941" s="12">
        <v>4326.9541600000002</v>
      </c>
      <c r="K941" s="131">
        <v>4330.1319999999996</v>
      </c>
    </row>
    <row r="942" spans="1:11" x14ac:dyDescent="0.25">
      <c r="A942" s="68" t="s">
        <v>19</v>
      </c>
      <c r="B942" s="13"/>
      <c r="C942" s="13">
        <v>1</v>
      </c>
      <c r="D942" s="13">
        <v>2</v>
      </c>
      <c r="E942" s="13">
        <v>3</v>
      </c>
      <c r="F942" s="13">
        <v>4</v>
      </c>
      <c r="G942" s="13">
        <v>5</v>
      </c>
      <c r="H942" s="13">
        <v>6</v>
      </c>
      <c r="I942" s="13">
        <v>7</v>
      </c>
      <c r="J942" s="13">
        <v>8</v>
      </c>
      <c r="K942" s="348">
        <v>9</v>
      </c>
    </row>
    <row r="943" spans="1:11" x14ac:dyDescent="0.25">
      <c r="A943" s="68" t="s">
        <v>20</v>
      </c>
      <c r="B943" s="12">
        <v>5917.6769999999997</v>
      </c>
      <c r="C943" s="12">
        <v>4812.6000000000004</v>
      </c>
      <c r="D943" s="12">
        <v>4086</v>
      </c>
      <c r="E943" s="12">
        <v>3571</v>
      </c>
      <c r="F943" s="12">
        <v>2864.5</v>
      </c>
      <c r="G943" s="12">
        <v>2932.5</v>
      </c>
      <c r="H943" s="12">
        <v>1925</v>
      </c>
      <c r="I943" s="12">
        <v>3672</v>
      </c>
      <c r="J943" s="12">
        <v>2371</v>
      </c>
      <c r="K943" s="131">
        <v>2345</v>
      </c>
    </row>
    <row r="944" spans="1:11" x14ac:dyDescent="0.25">
      <c r="A944" s="68" t="s">
        <v>21</v>
      </c>
      <c r="B944" s="12">
        <f t="shared" ref="B944:H944" si="44">B941-B943</f>
        <v>696.92300000000068</v>
      </c>
      <c r="C944" s="12">
        <f t="shared" si="44"/>
        <v>-246.60000000000036</v>
      </c>
      <c r="D944" s="12">
        <f t="shared" si="44"/>
        <v>347.32300000000032</v>
      </c>
      <c r="E944" s="12">
        <f t="shared" si="44"/>
        <v>412</v>
      </c>
      <c r="F944" s="12">
        <f t="shared" si="44"/>
        <v>1802.8230000000003</v>
      </c>
      <c r="G944" s="12">
        <f t="shared" si="44"/>
        <v>1447.7299999999996</v>
      </c>
      <c r="H944" s="12">
        <f t="shared" si="44"/>
        <v>2404.7383200000004</v>
      </c>
      <c r="I944" s="12">
        <f>I941-I943</f>
        <v>661.30415999999968</v>
      </c>
      <c r="J944" s="12">
        <f>J941-J943</f>
        <v>1955.9541600000002</v>
      </c>
      <c r="K944" s="131">
        <f>K941-K943</f>
        <v>1985.1319999999996</v>
      </c>
    </row>
    <row r="945" spans="1:12" x14ac:dyDescent="0.25">
      <c r="A945" s="73" t="s">
        <v>22</v>
      </c>
      <c r="B945" s="349">
        <v>2017</v>
      </c>
      <c r="C945" s="349">
        <v>2018</v>
      </c>
      <c r="D945" s="349">
        <v>2019</v>
      </c>
      <c r="E945" s="349">
        <v>2020</v>
      </c>
      <c r="F945" s="349">
        <v>2021</v>
      </c>
      <c r="G945" s="349">
        <v>2022</v>
      </c>
      <c r="H945" s="349">
        <v>2023</v>
      </c>
      <c r="I945" s="349">
        <v>2024</v>
      </c>
      <c r="J945" s="349">
        <v>2025</v>
      </c>
      <c r="K945" s="350">
        <v>2026</v>
      </c>
    </row>
    <row r="946" spans="1:12" x14ac:dyDescent="0.25">
      <c r="A946" s="351"/>
      <c r="B946" s="19"/>
      <c r="C946" s="352"/>
      <c r="D946" s="19"/>
      <c r="E946" s="19"/>
      <c r="F946" s="19"/>
      <c r="G946" s="19"/>
      <c r="H946" s="19"/>
      <c r="I946" s="19"/>
      <c r="J946" s="19"/>
      <c r="K946" s="63"/>
    </row>
    <row r="947" spans="1:12" x14ac:dyDescent="0.25">
      <c r="A947" s="39" t="s">
        <v>598</v>
      </c>
      <c r="K947" s="64"/>
    </row>
    <row r="948" spans="1:12" x14ac:dyDescent="0.25">
      <c r="A948" s="39" t="s">
        <v>599</v>
      </c>
      <c r="K948" s="64"/>
    </row>
    <row r="949" spans="1:12" x14ac:dyDescent="0.25">
      <c r="A949" s="39" t="s">
        <v>600</v>
      </c>
      <c r="C949" s="353"/>
      <c r="K949" s="64"/>
    </row>
    <row r="950" spans="1:12" x14ac:dyDescent="0.25">
      <c r="A950" s="39" t="s">
        <v>601</v>
      </c>
      <c r="C950" s="353"/>
      <c r="K950" s="64"/>
    </row>
    <row r="951" spans="1:12" x14ac:dyDescent="0.25">
      <c r="A951" s="39" t="s">
        <v>602</v>
      </c>
      <c r="C951" s="353"/>
      <c r="K951" s="64"/>
    </row>
    <row r="952" spans="1:12" x14ac:dyDescent="0.25">
      <c r="A952" s="39" t="s">
        <v>501</v>
      </c>
      <c r="K952" s="64"/>
    </row>
    <row r="953" spans="1:12" x14ac:dyDescent="0.25">
      <c r="A953" s="39" t="s">
        <v>737</v>
      </c>
      <c r="K953" s="64"/>
    </row>
    <row r="954" spans="1:12" x14ac:dyDescent="0.25">
      <c r="A954" s="39" t="s">
        <v>736</v>
      </c>
      <c r="K954" s="64"/>
    </row>
    <row r="955" spans="1:12" x14ac:dyDescent="0.25">
      <c r="A955" s="39" t="s">
        <v>982</v>
      </c>
      <c r="K955" s="64"/>
    </row>
    <row r="956" spans="1:12" x14ac:dyDescent="0.25">
      <c r="A956" s="42" t="s">
        <v>1185</v>
      </c>
      <c r="B956" s="34"/>
      <c r="C956" s="34"/>
      <c r="D956" s="34"/>
      <c r="E956" s="34"/>
      <c r="F956" s="34"/>
      <c r="G956" s="34"/>
      <c r="H956" s="34"/>
      <c r="I956" s="34"/>
      <c r="J956" s="34"/>
      <c r="K956" s="48"/>
    </row>
    <row r="958" spans="1:12" ht="13.8" x14ac:dyDescent="0.3">
      <c r="A958" s="1"/>
      <c r="B958" s="2"/>
      <c r="C958" s="2"/>
      <c r="D958" s="2"/>
      <c r="E958" s="2"/>
      <c r="F958" s="1"/>
      <c r="G958" s="2"/>
    </row>
    <row r="959" spans="1:12" x14ac:dyDescent="0.25">
      <c r="A959" s="6" t="s">
        <v>12</v>
      </c>
      <c r="B959" s="7" t="s">
        <v>944</v>
      </c>
      <c r="C959" s="8"/>
    </row>
    <row r="960" spans="1:12" s="50" customFormat="1" ht="14.4" x14ac:dyDescent="0.3">
      <c r="A960" s="9" t="s">
        <v>14</v>
      </c>
      <c r="B960" s="9" t="s">
        <v>623</v>
      </c>
      <c r="C960" s="9" t="s">
        <v>15</v>
      </c>
      <c r="D960" s="49"/>
      <c r="E960" s="49"/>
      <c r="F960" s="49"/>
      <c r="G960" s="49"/>
      <c r="H960" s="49"/>
      <c r="I960" s="49"/>
      <c r="J960" s="49"/>
      <c r="K960" s="354"/>
      <c r="L960" s="354"/>
    </row>
    <row r="961" spans="1:12" s="50" customFormat="1" ht="14.4" x14ac:dyDescent="0.3">
      <c r="A961" s="11" t="s">
        <v>16</v>
      </c>
      <c r="B961" s="9">
        <v>2016</v>
      </c>
      <c r="C961" s="651">
        <v>2017</v>
      </c>
      <c r="D961" s="9">
        <v>2018</v>
      </c>
      <c r="E961" s="651">
        <v>2019</v>
      </c>
      <c r="F961" s="9">
        <v>2020</v>
      </c>
      <c r="G961" s="651">
        <v>2021</v>
      </c>
      <c r="H961" s="651">
        <v>2022</v>
      </c>
      <c r="I961" s="651">
        <v>2023</v>
      </c>
      <c r="J961" s="651">
        <v>2024</v>
      </c>
      <c r="K961" s="652">
        <v>2025</v>
      </c>
    </row>
    <row r="962" spans="1:12" s="50" customFormat="1" ht="14.4" x14ac:dyDescent="0.3">
      <c r="A962" s="11" t="s">
        <v>17</v>
      </c>
      <c r="B962" s="12">
        <v>0</v>
      </c>
      <c r="C962" s="12">
        <v>0</v>
      </c>
      <c r="D962" s="12">
        <v>0</v>
      </c>
      <c r="E962" s="12">
        <v>0</v>
      </c>
      <c r="F962" s="12">
        <v>0</v>
      </c>
      <c r="G962" s="12">
        <v>0</v>
      </c>
      <c r="H962" s="12">
        <v>0</v>
      </c>
      <c r="I962" s="12">
        <v>0</v>
      </c>
      <c r="J962" s="12">
        <v>0</v>
      </c>
      <c r="K962" s="131">
        <v>0</v>
      </c>
    </row>
    <row r="963" spans="1:12" s="50" customFormat="1" ht="14.4" x14ac:dyDescent="0.3">
      <c r="A963" s="11" t="s">
        <v>18</v>
      </c>
      <c r="B963" s="12"/>
      <c r="C963" s="12">
        <f>C962+B966</f>
        <v>-28.55546</v>
      </c>
      <c r="D963" s="12">
        <f>D962+C966</f>
        <v>-64.828410000000005</v>
      </c>
      <c r="E963" s="12">
        <f>E962+D966</f>
        <v>-100.71838</v>
      </c>
      <c r="F963" s="12">
        <f>F962+E966</f>
        <v>-122.58440999999999</v>
      </c>
      <c r="G963" s="12">
        <f>G962+F966</f>
        <v>-137.94472999999999</v>
      </c>
      <c r="H963" s="12">
        <f>H962+(G966)</f>
        <v>-142.25473</v>
      </c>
      <c r="I963" s="12">
        <f>I962+(H966)</f>
        <v>-149.03372999999999</v>
      </c>
      <c r="J963" s="12">
        <f>J962+(I966)</f>
        <v>-165.23183999999998</v>
      </c>
      <c r="K963" s="131">
        <f>K962+(J966)</f>
        <v>-171.79183999999998</v>
      </c>
    </row>
    <row r="964" spans="1:12" s="50" customFormat="1" ht="14.4" x14ac:dyDescent="0.3">
      <c r="A964" s="11" t="s">
        <v>19</v>
      </c>
      <c r="B964" s="11"/>
      <c r="C964" s="11">
        <v>1</v>
      </c>
      <c r="D964" s="11">
        <v>2</v>
      </c>
      <c r="E964" s="11">
        <v>3</v>
      </c>
      <c r="F964" s="11">
        <v>4</v>
      </c>
      <c r="G964" s="11">
        <v>5</v>
      </c>
      <c r="H964" s="11">
        <v>6</v>
      </c>
      <c r="I964" s="11">
        <v>7</v>
      </c>
      <c r="J964" s="11">
        <v>8</v>
      </c>
      <c r="K964" s="367">
        <v>9</v>
      </c>
    </row>
    <row r="965" spans="1:12" s="50" customFormat="1" ht="15" x14ac:dyDescent="0.3">
      <c r="A965" s="11" t="s">
        <v>20</v>
      </c>
      <c r="B965" s="355">
        <v>28.55546</v>
      </c>
      <c r="C965" s="355">
        <v>36.272950000000002</v>
      </c>
      <c r="D965" s="355">
        <v>35.889969999999998</v>
      </c>
      <c r="E965" s="355">
        <v>21.866029999999999</v>
      </c>
      <c r="F965" s="355">
        <v>15.36032</v>
      </c>
      <c r="G965" s="355">
        <v>4.3099999999999996</v>
      </c>
      <c r="H965" s="355">
        <v>6.7789999999999999</v>
      </c>
      <c r="I965" s="356">
        <v>16.19811</v>
      </c>
      <c r="J965" s="356">
        <v>6.56</v>
      </c>
      <c r="K965" s="367"/>
    </row>
    <row r="966" spans="1:12" s="50" customFormat="1" ht="14.4" x14ac:dyDescent="0.3">
      <c r="A966" s="11" t="s">
        <v>21</v>
      </c>
      <c r="B966" s="12">
        <f>B962-B965</f>
        <v>-28.55546</v>
      </c>
      <c r="C966" s="12">
        <f t="shared" ref="C966:J966" si="45">C963-C965</f>
        <v>-64.828410000000005</v>
      </c>
      <c r="D966" s="12">
        <f t="shared" si="45"/>
        <v>-100.71838</v>
      </c>
      <c r="E966" s="12">
        <f t="shared" si="45"/>
        <v>-122.58440999999999</v>
      </c>
      <c r="F966" s="12">
        <f t="shared" si="45"/>
        <v>-137.94472999999999</v>
      </c>
      <c r="G966" s="12">
        <f t="shared" si="45"/>
        <v>-142.25473</v>
      </c>
      <c r="H966" s="12">
        <f t="shared" si="45"/>
        <v>-149.03372999999999</v>
      </c>
      <c r="I966" s="12">
        <f t="shared" si="45"/>
        <v>-165.23183999999998</v>
      </c>
      <c r="J966" s="12">
        <f t="shared" si="45"/>
        <v>-171.79183999999998</v>
      </c>
      <c r="K966" s="367"/>
    </row>
    <row r="967" spans="1:12" s="50" customFormat="1" ht="14.4" x14ac:dyDescent="0.3">
      <c r="A967" s="62" t="s">
        <v>22</v>
      </c>
      <c r="B967" s="62">
        <v>2017</v>
      </c>
      <c r="C967" s="62">
        <v>2018</v>
      </c>
      <c r="D967" s="62">
        <v>2019</v>
      </c>
      <c r="E967" s="62">
        <v>2020</v>
      </c>
      <c r="F967" s="62">
        <v>2021</v>
      </c>
      <c r="G967" s="62">
        <v>2022</v>
      </c>
      <c r="H967" s="62">
        <v>2023</v>
      </c>
      <c r="I967" s="62">
        <v>2024</v>
      </c>
      <c r="J967" s="62">
        <v>2025</v>
      </c>
      <c r="K967" s="623"/>
    </row>
    <row r="968" spans="1:12" s="50" customFormat="1" ht="14.4" x14ac:dyDescent="0.3">
      <c r="A968" s="18">
        <v>1</v>
      </c>
      <c r="B968" s="53" t="s">
        <v>945</v>
      </c>
      <c r="C968" s="19"/>
      <c r="D968" s="19"/>
      <c r="E968" s="19"/>
      <c r="F968" s="19"/>
      <c r="G968" s="19"/>
      <c r="H968" s="19"/>
      <c r="I968" s="19"/>
      <c r="J968" s="19"/>
      <c r="K968" s="55"/>
      <c r="L968" s="3"/>
    </row>
    <row r="969" spans="1:12" s="50" customFormat="1" ht="14.4" x14ac:dyDescent="0.3">
      <c r="A969" s="39">
        <v>2</v>
      </c>
      <c r="B969" s="49" t="s">
        <v>946</v>
      </c>
      <c r="C969" s="3"/>
      <c r="D969" s="3"/>
      <c r="E969" s="3"/>
      <c r="F969" s="3"/>
      <c r="G969" s="3"/>
      <c r="H969" s="3"/>
      <c r="I969" s="3"/>
      <c r="J969" s="3"/>
      <c r="K969" s="57"/>
      <c r="L969" s="3"/>
    </row>
    <row r="970" spans="1:12" s="50" customFormat="1" ht="14.4" x14ac:dyDescent="0.3">
      <c r="A970" s="39">
        <v>3</v>
      </c>
      <c r="B970" s="49" t="s">
        <v>947</v>
      </c>
      <c r="C970" s="3"/>
      <c r="D970" s="3"/>
      <c r="E970" s="3"/>
      <c r="F970" s="3"/>
      <c r="G970" s="3"/>
      <c r="H970" s="3"/>
      <c r="I970" s="3"/>
      <c r="J970" s="3"/>
      <c r="K970" s="57"/>
      <c r="L970" s="3"/>
    </row>
    <row r="971" spans="1:12" s="50" customFormat="1" ht="14.4" x14ac:dyDescent="0.3">
      <c r="A971" s="39">
        <v>4</v>
      </c>
      <c r="B971" s="49" t="s">
        <v>948</v>
      </c>
      <c r="C971" s="3"/>
      <c r="D971" s="3"/>
      <c r="E971" s="3"/>
      <c r="F971" s="3"/>
      <c r="G971" s="3"/>
      <c r="H971" s="3"/>
      <c r="I971" s="3"/>
      <c r="J971" s="3"/>
      <c r="K971" s="57"/>
      <c r="L971" s="3"/>
    </row>
    <row r="972" spans="1:12" s="50" customFormat="1" ht="14.4" x14ac:dyDescent="0.3">
      <c r="A972" s="39">
        <v>5</v>
      </c>
      <c r="B972" s="49" t="s">
        <v>949</v>
      </c>
      <c r="C972" s="3"/>
      <c r="D972" s="3"/>
      <c r="E972" s="3"/>
      <c r="F972" s="3"/>
      <c r="G972" s="3"/>
      <c r="H972" s="3"/>
      <c r="I972" s="3"/>
      <c r="J972" s="3"/>
      <c r="K972" s="57"/>
      <c r="L972" s="3"/>
    </row>
    <row r="973" spans="1:12" s="50" customFormat="1" ht="14.4" x14ac:dyDescent="0.3">
      <c r="A973" s="39">
        <v>6</v>
      </c>
      <c r="B973" s="49" t="s">
        <v>952</v>
      </c>
      <c r="C973" s="3"/>
      <c r="D973" s="3"/>
      <c r="E973" s="3"/>
      <c r="F973" s="3"/>
      <c r="G973" s="3"/>
      <c r="H973" s="3"/>
      <c r="I973" s="3"/>
      <c r="J973" s="3"/>
      <c r="K973" s="57"/>
      <c r="L973" s="3"/>
    </row>
    <row r="974" spans="1:12" s="50" customFormat="1" ht="14.4" x14ac:dyDescent="0.3">
      <c r="A974" s="39">
        <v>7</v>
      </c>
      <c r="B974" s="49" t="s">
        <v>953</v>
      </c>
      <c r="C974" s="3"/>
      <c r="D974" s="3"/>
      <c r="E974" s="3"/>
      <c r="F974" s="3"/>
      <c r="G974" s="3"/>
      <c r="H974" s="3"/>
      <c r="I974" s="3"/>
      <c r="J974" s="3"/>
      <c r="K974" s="57"/>
      <c r="L974" s="3"/>
    </row>
    <row r="975" spans="1:12" s="50" customFormat="1" ht="14.4" x14ac:dyDescent="0.3">
      <c r="A975" s="39">
        <v>8</v>
      </c>
      <c r="B975" s="49" t="s">
        <v>1096</v>
      </c>
      <c r="C975" s="3"/>
      <c r="D975" s="3"/>
      <c r="E975" s="3"/>
      <c r="F975" s="3"/>
      <c r="G975" s="3"/>
      <c r="H975" s="3"/>
      <c r="I975" s="3"/>
      <c r="J975" s="3"/>
      <c r="K975" s="57"/>
      <c r="L975" s="3"/>
    </row>
    <row r="976" spans="1:12" s="594" customFormat="1" ht="14.4" x14ac:dyDescent="0.3">
      <c r="A976" s="42">
        <v>9</v>
      </c>
      <c r="B976" s="141" t="s">
        <v>1137</v>
      </c>
      <c r="C976" s="43"/>
      <c r="D976" s="43"/>
      <c r="E976" s="43"/>
      <c r="F976" s="43"/>
      <c r="G976" s="43"/>
      <c r="H976" s="43"/>
      <c r="I976" s="43"/>
      <c r="J976" s="43"/>
      <c r="K976" s="653"/>
      <c r="L976" s="45"/>
    </row>
    <row r="978" spans="1:12" s="50" customFormat="1" ht="14.4" x14ac:dyDescent="0.3">
      <c r="A978" s="9" t="s">
        <v>14</v>
      </c>
      <c r="B978" s="9" t="s">
        <v>74</v>
      </c>
      <c r="C978" s="9" t="s">
        <v>15</v>
      </c>
      <c r="D978" s="49"/>
      <c r="E978" s="49"/>
      <c r="F978" s="49"/>
      <c r="G978" s="49"/>
      <c r="H978" s="49"/>
      <c r="I978" s="49"/>
      <c r="J978" s="49"/>
      <c r="K978" s="354"/>
      <c r="L978" s="354"/>
    </row>
    <row r="979" spans="1:12" s="50" customFormat="1" ht="14.4" x14ac:dyDescent="0.3">
      <c r="A979" s="11" t="s">
        <v>16</v>
      </c>
      <c r="B979" s="11">
        <v>2016</v>
      </c>
      <c r="C979" s="51">
        <v>2017</v>
      </c>
      <c r="D979" s="11">
        <v>2018</v>
      </c>
      <c r="E979" s="51">
        <v>2019</v>
      </c>
      <c r="F979" s="11">
        <v>2020</v>
      </c>
      <c r="G979" s="51">
        <v>2021</v>
      </c>
      <c r="H979" s="51">
        <v>2022</v>
      </c>
      <c r="I979" s="51">
        <v>2023</v>
      </c>
      <c r="J979" s="51">
        <v>2024</v>
      </c>
      <c r="K979" s="51">
        <v>2025</v>
      </c>
    </row>
    <row r="980" spans="1:12" s="50" customFormat="1" ht="14.4" x14ac:dyDescent="0.3">
      <c r="A980" s="11" t="s">
        <v>17</v>
      </c>
      <c r="B980" s="12">
        <v>10</v>
      </c>
      <c r="C980" s="12">
        <v>10</v>
      </c>
      <c r="D980" s="12">
        <v>10</v>
      </c>
      <c r="E980" s="12">
        <v>10</v>
      </c>
      <c r="F980" s="12">
        <v>10</v>
      </c>
      <c r="G980" s="12">
        <v>10</v>
      </c>
      <c r="H980" s="12">
        <v>10</v>
      </c>
      <c r="I980" s="12">
        <v>10</v>
      </c>
      <c r="J980" s="12">
        <v>10</v>
      </c>
      <c r="K980" s="12">
        <v>10</v>
      </c>
    </row>
    <row r="981" spans="1:12" s="50" customFormat="1" ht="14.4" x14ac:dyDescent="0.3">
      <c r="A981" s="11" t="s">
        <v>18</v>
      </c>
      <c r="B981" s="12"/>
      <c r="C981" s="12">
        <f>C980+B984</f>
        <v>-32.61403</v>
      </c>
      <c r="D981" s="12">
        <f>D980+C984</f>
        <v>-76.433140000000009</v>
      </c>
      <c r="E981" s="12">
        <f>E980+D984</f>
        <v>-128.10641000000001</v>
      </c>
      <c r="F981" s="12">
        <f>F980+E984</f>
        <v>-187.27213</v>
      </c>
      <c r="G981" s="12">
        <f>G980+F984</f>
        <v>-226.22134</v>
      </c>
      <c r="H981" s="12">
        <f>H980+(1.25*G984)</f>
        <v>-295.64792499999999</v>
      </c>
      <c r="I981" s="12">
        <f>I980+(H984)</f>
        <v>-304.77292499999999</v>
      </c>
      <c r="J981" s="12">
        <f>J980+(I984)</f>
        <v>-363.07112499999999</v>
      </c>
      <c r="K981" s="12">
        <f>K980+(J984)</f>
        <v>-379.58112499999999</v>
      </c>
    </row>
    <row r="982" spans="1:12" s="50" customFormat="1" ht="14.4" x14ac:dyDescent="0.3">
      <c r="A982" s="11" t="s">
        <v>19</v>
      </c>
      <c r="B982" s="11"/>
      <c r="C982" s="11">
        <v>1</v>
      </c>
      <c r="D982" s="11">
        <v>2</v>
      </c>
      <c r="E982" s="11">
        <v>3</v>
      </c>
      <c r="F982" s="11">
        <v>4</v>
      </c>
      <c r="G982" s="11">
        <v>5</v>
      </c>
      <c r="H982" s="11">
        <v>6</v>
      </c>
      <c r="I982" s="11">
        <v>7</v>
      </c>
      <c r="J982" s="11">
        <v>8</v>
      </c>
      <c r="K982" s="11">
        <v>9</v>
      </c>
    </row>
    <row r="983" spans="1:12" s="50" customFormat="1" ht="15" x14ac:dyDescent="0.3">
      <c r="A983" s="11" t="s">
        <v>20</v>
      </c>
      <c r="B983" s="355">
        <v>52.61403</v>
      </c>
      <c r="C983" s="355">
        <v>53.819110000000002</v>
      </c>
      <c r="D983" s="355">
        <v>61.673270000000002</v>
      </c>
      <c r="E983" s="355">
        <v>69.165719999999993</v>
      </c>
      <c r="F983" s="355">
        <v>48.949210000000001</v>
      </c>
      <c r="G983" s="355">
        <v>18.297000000000001</v>
      </c>
      <c r="H983" s="355">
        <v>19.125</v>
      </c>
      <c r="I983" s="356">
        <v>68.298199999999994</v>
      </c>
      <c r="J983" s="356">
        <v>26.51</v>
      </c>
      <c r="K983" s="356"/>
    </row>
    <row r="984" spans="1:12" s="50" customFormat="1" ht="14.4" x14ac:dyDescent="0.3">
      <c r="A984" s="11" t="s">
        <v>21</v>
      </c>
      <c r="B984" s="12">
        <f>B980-B983</f>
        <v>-42.61403</v>
      </c>
      <c r="C984" s="12">
        <f>C981-C983</f>
        <v>-86.433140000000009</v>
      </c>
      <c r="D984" s="12">
        <f t="shared" ref="D984:J984" si="46">D981-D983</f>
        <v>-138.10641000000001</v>
      </c>
      <c r="E984" s="12">
        <f t="shared" si="46"/>
        <v>-197.27213</v>
      </c>
      <c r="F984" s="12">
        <f t="shared" si="46"/>
        <v>-236.22134</v>
      </c>
      <c r="G984" s="12">
        <f t="shared" si="46"/>
        <v>-244.51833999999999</v>
      </c>
      <c r="H984" s="12">
        <f t="shared" si="46"/>
        <v>-314.77292499999999</v>
      </c>
      <c r="I984" s="12">
        <f t="shared" si="46"/>
        <v>-373.07112499999999</v>
      </c>
      <c r="J984" s="12">
        <f t="shared" si="46"/>
        <v>-389.58112499999999</v>
      </c>
      <c r="K984" s="12"/>
    </row>
    <row r="985" spans="1:12" s="50" customFormat="1" ht="14.4" x14ac:dyDescent="0.3">
      <c r="A985" s="62" t="s">
        <v>22</v>
      </c>
      <c r="B985" s="62">
        <v>2017</v>
      </c>
      <c r="C985" s="62">
        <v>2018</v>
      </c>
      <c r="D985" s="62">
        <v>2019</v>
      </c>
      <c r="E985" s="62">
        <v>2020</v>
      </c>
      <c r="F985" s="62">
        <v>2021</v>
      </c>
      <c r="G985" s="62">
        <v>2022</v>
      </c>
      <c r="H985" s="62">
        <v>2023</v>
      </c>
      <c r="I985" s="62">
        <v>2024</v>
      </c>
      <c r="J985" s="62">
        <v>2025</v>
      </c>
      <c r="K985" s="62">
        <v>2026</v>
      </c>
    </row>
    <row r="986" spans="1:12" s="50" customFormat="1" ht="14.4" x14ac:dyDescent="0.3">
      <c r="A986" s="18">
        <v>1</v>
      </c>
      <c r="B986" s="53" t="s">
        <v>945</v>
      </c>
      <c r="C986" s="19"/>
      <c r="D986" s="19"/>
      <c r="E986" s="19"/>
      <c r="F986" s="19"/>
      <c r="G986" s="19"/>
      <c r="H986" s="19"/>
      <c r="I986" s="19"/>
      <c r="J986" s="19"/>
      <c r="K986" s="55"/>
      <c r="L986" s="3"/>
    </row>
    <row r="987" spans="1:12" s="50" customFormat="1" ht="14.4" x14ac:dyDescent="0.3">
      <c r="A987" s="39">
        <v>2</v>
      </c>
      <c r="B987" s="49" t="s">
        <v>946</v>
      </c>
      <c r="C987" s="3"/>
      <c r="D987" s="3"/>
      <c r="E987" s="3"/>
      <c r="F987" s="3"/>
      <c r="G987" s="3"/>
      <c r="H987" s="3"/>
      <c r="I987" s="3"/>
      <c r="J987" s="3"/>
      <c r="K987" s="57"/>
      <c r="L987" s="3"/>
    </row>
    <row r="988" spans="1:12" s="50" customFormat="1" ht="14.4" x14ac:dyDescent="0.3">
      <c r="A988" s="39">
        <v>3</v>
      </c>
      <c r="B988" s="49" t="s">
        <v>947</v>
      </c>
      <c r="C988" s="3"/>
      <c r="D988" s="3"/>
      <c r="E988" s="3"/>
      <c r="F988" s="3"/>
      <c r="G988" s="3"/>
      <c r="H988" s="3"/>
      <c r="I988" s="3"/>
      <c r="J988" s="3"/>
      <c r="K988" s="57"/>
      <c r="L988" s="3"/>
    </row>
    <row r="989" spans="1:12" s="50" customFormat="1" ht="14.4" x14ac:dyDescent="0.3">
      <c r="A989" s="39">
        <v>4</v>
      </c>
      <c r="B989" s="49" t="s">
        <v>948</v>
      </c>
      <c r="C989" s="3"/>
      <c r="D989" s="3"/>
      <c r="E989" s="3"/>
      <c r="F989" s="3"/>
      <c r="G989" s="3"/>
      <c r="H989" s="3"/>
      <c r="I989" s="3"/>
      <c r="J989" s="3"/>
      <c r="K989" s="57"/>
      <c r="L989" s="3"/>
    </row>
    <row r="990" spans="1:12" s="50" customFormat="1" ht="14.4" x14ac:dyDescent="0.3">
      <c r="A990" s="39">
        <v>5</v>
      </c>
      <c r="B990" s="49" t="s">
        <v>949</v>
      </c>
      <c r="C990" s="3"/>
      <c r="D990" s="3"/>
      <c r="E990" s="3"/>
      <c r="F990" s="3"/>
      <c r="G990" s="3"/>
      <c r="H990" s="3"/>
      <c r="I990" s="3"/>
      <c r="J990" s="3"/>
      <c r="K990" s="57"/>
      <c r="L990" s="3"/>
    </row>
    <row r="991" spans="1:12" s="50" customFormat="1" ht="14.4" x14ac:dyDescent="0.3">
      <c r="A991" s="39">
        <v>6</v>
      </c>
      <c r="B991" s="49" t="s">
        <v>950</v>
      </c>
      <c r="C991" s="3"/>
      <c r="D991" s="3"/>
      <c r="E991" s="3"/>
      <c r="F991" s="3"/>
      <c r="G991" s="3"/>
      <c r="H991" s="3"/>
      <c r="I991" s="3"/>
      <c r="J991" s="3"/>
      <c r="K991" s="57"/>
      <c r="L991" s="3"/>
    </row>
    <row r="992" spans="1:12" s="50" customFormat="1" ht="14.4" x14ac:dyDescent="0.3">
      <c r="A992" s="39">
        <v>7</v>
      </c>
      <c r="B992" s="49" t="s">
        <v>953</v>
      </c>
      <c r="C992" s="3"/>
      <c r="D992" s="3"/>
      <c r="E992" s="3"/>
      <c r="F992" s="3"/>
      <c r="G992" s="3"/>
      <c r="H992" s="3"/>
      <c r="I992" s="3"/>
      <c r="J992" s="3"/>
      <c r="K992" s="57"/>
      <c r="L992" s="3"/>
    </row>
    <row r="993" spans="1:12" s="50" customFormat="1" ht="14.4" x14ac:dyDescent="0.3">
      <c r="A993" s="39">
        <v>8</v>
      </c>
      <c r="B993" s="49" t="s">
        <v>1096</v>
      </c>
      <c r="C993" s="3"/>
      <c r="D993" s="3"/>
      <c r="E993" s="3"/>
      <c r="F993" s="3"/>
      <c r="G993" s="3"/>
      <c r="H993" s="3"/>
      <c r="I993" s="3"/>
      <c r="J993" s="3"/>
      <c r="K993" s="57"/>
      <c r="L993" s="3"/>
    </row>
    <row r="994" spans="1:12" s="59" customFormat="1" ht="14.4" x14ac:dyDescent="0.3">
      <c r="A994" s="41">
        <v>9</v>
      </c>
      <c r="B994" s="58" t="s">
        <v>1137</v>
      </c>
      <c r="C994" s="34"/>
      <c r="D994" s="34"/>
      <c r="E994" s="34"/>
      <c r="F994" s="34"/>
      <c r="G994" s="34"/>
      <c r="H994" s="34"/>
      <c r="I994" s="34"/>
      <c r="J994" s="34"/>
      <c r="K994" s="60"/>
      <c r="L994" s="34"/>
    </row>
    <row r="996" spans="1:12" s="50" customFormat="1" ht="14.4" x14ac:dyDescent="0.3">
      <c r="A996" s="9" t="s">
        <v>14</v>
      </c>
      <c r="B996" s="9" t="s">
        <v>79</v>
      </c>
      <c r="C996" s="9" t="s">
        <v>15</v>
      </c>
      <c r="D996" s="49"/>
      <c r="E996" s="49"/>
      <c r="F996" s="49"/>
      <c r="G996" s="49"/>
      <c r="H996" s="49"/>
      <c r="I996" s="49"/>
      <c r="J996" s="49"/>
      <c r="K996" s="354"/>
      <c r="L996" s="354"/>
    </row>
    <row r="997" spans="1:12" s="50" customFormat="1" ht="14.4" x14ac:dyDescent="0.3">
      <c r="A997" s="11" t="s">
        <v>16</v>
      </c>
      <c r="B997" s="11">
        <v>2016</v>
      </c>
      <c r="C997" s="51">
        <v>2017</v>
      </c>
      <c r="D997" s="11">
        <v>2018</v>
      </c>
      <c r="E997" s="51">
        <v>2019</v>
      </c>
      <c r="F997" s="11">
        <v>2020</v>
      </c>
      <c r="G997" s="51">
        <v>2021</v>
      </c>
      <c r="H997" s="51">
        <v>2022</v>
      </c>
      <c r="I997" s="51">
        <v>2023</v>
      </c>
      <c r="J997" s="51">
        <v>2024</v>
      </c>
      <c r="K997" s="51">
        <v>2025</v>
      </c>
    </row>
    <row r="998" spans="1:12" s="50" customFormat="1" ht="14.4" x14ac:dyDescent="0.3">
      <c r="A998" s="11" t="s">
        <v>17</v>
      </c>
      <c r="B998" s="12">
        <v>2</v>
      </c>
      <c r="C998" s="12">
        <v>2</v>
      </c>
      <c r="D998" s="12">
        <v>2</v>
      </c>
      <c r="E998" s="12">
        <v>2</v>
      </c>
      <c r="F998" s="12">
        <v>2</v>
      </c>
      <c r="G998" s="12">
        <v>2</v>
      </c>
      <c r="H998" s="12">
        <v>2</v>
      </c>
      <c r="I998" s="12">
        <v>2</v>
      </c>
      <c r="J998" s="12">
        <v>2</v>
      </c>
      <c r="K998" s="12">
        <v>2</v>
      </c>
    </row>
    <row r="999" spans="1:12" s="50" customFormat="1" ht="14.4" x14ac:dyDescent="0.3">
      <c r="A999" s="11" t="s">
        <v>18</v>
      </c>
      <c r="B999" s="12"/>
      <c r="C999" s="12">
        <f>C998+B1002</f>
        <v>-11.25929</v>
      </c>
      <c r="D999" s="12">
        <f>D998+C1002</f>
        <v>-18.250970000000002</v>
      </c>
      <c r="E999" s="12">
        <f>E998+D1002</f>
        <v>-26.929000000000002</v>
      </c>
      <c r="F999" s="12">
        <f>F998+E1002</f>
        <v>-43.615989999999996</v>
      </c>
      <c r="G999" s="12">
        <f>G998+F1002</f>
        <v>-55.136309999999995</v>
      </c>
      <c r="H999" s="12">
        <f>H998+(1.25*G1002)</f>
        <v>-68.606637499999991</v>
      </c>
      <c r="I999" s="12">
        <f>I998+(H1002)</f>
        <v>-71.317637499999989</v>
      </c>
      <c r="J999" s="12">
        <f>J998+(I1002)</f>
        <v>-81.973067499999985</v>
      </c>
      <c r="K999" s="12">
        <f>K998+(J1002)</f>
        <v>-84.527911499999988</v>
      </c>
    </row>
    <row r="1000" spans="1:12" s="50" customFormat="1" ht="14.4" x14ac:dyDescent="0.3">
      <c r="A1000" s="11" t="s">
        <v>19</v>
      </c>
      <c r="B1000" s="11"/>
      <c r="C1000" s="11">
        <v>1</v>
      </c>
      <c r="D1000" s="11">
        <v>2</v>
      </c>
      <c r="E1000" s="11">
        <v>3</v>
      </c>
      <c r="F1000" s="11">
        <v>4</v>
      </c>
      <c r="G1000" s="11">
        <v>5</v>
      </c>
      <c r="H1000" s="11">
        <v>6</v>
      </c>
      <c r="I1000" s="11">
        <v>7</v>
      </c>
      <c r="J1000" s="11">
        <v>8</v>
      </c>
      <c r="K1000" s="11">
        <v>9</v>
      </c>
    </row>
    <row r="1001" spans="1:12" s="50" customFormat="1" ht="15" x14ac:dyDescent="0.3">
      <c r="A1001" s="11" t="s">
        <v>20</v>
      </c>
      <c r="B1001" s="355">
        <v>15.25929</v>
      </c>
      <c r="C1001" s="355">
        <v>8.9916800000000006</v>
      </c>
      <c r="D1001" s="355">
        <v>10.67803</v>
      </c>
      <c r="E1001" s="355">
        <v>18.686989999999998</v>
      </c>
      <c r="F1001" s="355">
        <v>13.52032</v>
      </c>
      <c r="G1001" s="355">
        <v>1.349</v>
      </c>
      <c r="H1001" s="355">
        <v>4.7110000000000003</v>
      </c>
      <c r="I1001" s="356">
        <v>12.655430000000001</v>
      </c>
      <c r="J1001" s="356">
        <v>4.5548440000000001</v>
      </c>
      <c r="K1001" s="356"/>
    </row>
    <row r="1002" spans="1:12" s="50" customFormat="1" ht="14.4" x14ac:dyDescent="0.3">
      <c r="A1002" s="11" t="s">
        <v>21</v>
      </c>
      <c r="B1002" s="12">
        <f>B998-B1001</f>
        <v>-13.25929</v>
      </c>
      <c r="C1002" s="12">
        <f>C999-C1001</f>
        <v>-20.250970000000002</v>
      </c>
      <c r="D1002" s="12">
        <f t="shared" ref="D1002:J1002" si="47">D999-D1001</f>
        <v>-28.929000000000002</v>
      </c>
      <c r="E1002" s="12">
        <f t="shared" si="47"/>
        <v>-45.615989999999996</v>
      </c>
      <c r="F1002" s="12">
        <f t="shared" si="47"/>
        <v>-57.136309999999995</v>
      </c>
      <c r="G1002" s="12">
        <f t="shared" si="47"/>
        <v>-56.485309999999991</v>
      </c>
      <c r="H1002" s="12">
        <f t="shared" si="47"/>
        <v>-73.317637499999989</v>
      </c>
      <c r="I1002" s="12">
        <f t="shared" si="47"/>
        <v>-83.973067499999985</v>
      </c>
      <c r="J1002" s="12">
        <f t="shared" si="47"/>
        <v>-86.527911499999988</v>
      </c>
      <c r="K1002" s="12"/>
    </row>
    <row r="1003" spans="1:12" s="50" customFormat="1" ht="14.4" x14ac:dyDescent="0.3">
      <c r="A1003" s="62" t="s">
        <v>22</v>
      </c>
      <c r="B1003" s="62">
        <v>2017</v>
      </c>
      <c r="C1003" s="62">
        <v>2018</v>
      </c>
      <c r="D1003" s="62">
        <v>2019</v>
      </c>
      <c r="E1003" s="62">
        <v>2020</v>
      </c>
      <c r="F1003" s="62">
        <v>2021</v>
      </c>
      <c r="G1003" s="62">
        <v>2022</v>
      </c>
      <c r="H1003" s="62">
        <v>2023</v>
      </c>
      <c r="I1003" s="62">
        <v>2024</v>
      </c>
      <c r="J1003" s="62">
        <v>2025</v>
      </c>
      <c r="K1003" s="62">
        <v>2026</v>
      </c>
    </row>
    <row r="1004" spans="1:12" s="50" customFormat="1" ht="14.4" x14ac:dyDescent="0.3">
      <c r="A1004" s="18">
        <v>1</v>
      </c>
      <c r="B1004" s="53" t="s">
        <v>945</v>
      </c>
      <c r="C1004" s="19"/>
      <c r="D1004" s="19"/>
      <c r="E1004" s="19"/>
      <c r="F1004" s="19"/>
      <c r="G1004" s="19"/>
      <c r="H1004" s="19"/>
      <c r="I1004" s="19"/>
      <c r="J1004" s="19"/>
      <c r="K1004" s="55"/>
      <c r="L1004" s="3"/>
    </row>
    <row r="1005" spans="1:12" s="50" customFormat="1" ht="14.4" x14ac:dyDescent="0.3">
      <c r="A1005" s="39">
        <v>2</v>
      </c>
      <c r="B1005" s="49" t="s">
        <v>946</v>
      </c>
      <c r="C1005" s="3"/>
      <c r="D1005" s="3"/>
      <c r="E1005" s="3"/>
      <c r="F1005" s="3"/>
      <c r="G1005" s="3"/>
      <c r="H1005" s="3"/>
      <c r="I1005" s="3"/>
      <c r="J1005" s="3"/>
      <c r="K1005" s="57"/>
      <c r="L1005" s="3"/>
    </row>
    <row r="1006" spans="1:12" s="50" customFormat="1" ht="14.4" x14ac:dyDescent="0.3">
      <c r="A1006" s="39">
        <v>3</v>
      </c>
      <c r="B1006" s="49" t="s">
        <v>947</v>
      </c>
      <c r="C1006" s="3"/>
      <c r="D1006" s="3"/>
      <c r="E1006" s="3"/>
      <c r="F1006" s="3"/>
      <c r="G1006" s="3"/>
      <c r="H1006" s="3"/>
      <c r="I1006" s="3"/>
      <c r="J1006" s="3"/>
      <c r="K1006" s="57"/>
      <c r="L1006" s="3"/>
    </row>
    <row r="1007" spans="1:12" s="50" customFormat="1" ht="14.4" x14ac:dyDescent="0.3">
      <c r="A1007" s="39">
        <v>4</v>
      </c>
      <c r="B1007" s="49" t="s">
        <v>948</v>
      </c>
      <c r="C1007" s="3"/>
      <c r="D1007" s="3"/>
      <c r="E1007" s="3"/>
      <c r="F1007" s="3"/>
      <c r="G1007" s="3"/>
      <c r="H1007" s="3"/>
      <c r="I1007" s="3"/>
      <c r="J1007" s="3"/>
      <c r="K1007" s="57"/>
      <c r="L1007" s="3"/>
    </row>
    <row r="1008" spans="1:12" s="50" customFormat="1" ht="14.4" x14ac:dyDescent="0.3">
      <c r="A1008" s="39">
        <v>5</v>
      </c>
      <c r="B1008" s="49" t="s">
        <v>949</v>
      </c>
      <c r="C1008" s="3"/>
      <c r="D1008" s="3"/>
      <c r="E1008" s="3"/>
      <c r="F1008" s="3"/>
      <c r="G1008" s="3"/>
      <c r="H1008" s="3"/>
      <c r="I1008" s="3"/>
      <c r="J1008" s="3"/>
      <c r="K1008" s="57"/>
      <c r="L1008" s="3"/>
    </row>
    <row r="1009" spans="1:19" s="50" customFormat="1" ht="14.4" x14ac:dyDescent="0.3">
      <c r="A1009" s="39">
        <v>6</v>
      </c>
      <c r="B1009" s="49" t="s">
        <v>950</v>
      </c>
      <c r="C1009" s="3"/>
      <c r="D1009" s="3"/>
      <c r="E1009" s="3"/>
      <c r="F1009" s="3"/>
      <c r="G1009" s="3"/>
      <c r="H1009" s="3"/>
      <c r="I1009" s="3"/>
      <c r="J1009" s="3"/>
      <c r="K1009" s="57"/>
      <c r="L1009" s="3"/>
    </row>
    <row r="1010" spans="1:19" s="50" customFormat="1" ht="14.4" x14ac:dyDescent="0.3">
      <c r="A1010" s="39">
        <v>7</v>
      </c>
      <c r="B1010" s="49" t="s">
        <v>951</v>
      </c>
      <c r="C1010" s="3"/>
      <c r="D1010" s="3"/>
      <c r="E1010" s="3"/>
      <c r="F1010" s="3"/>
      <c r="G1010" s="3"/>
      <c r="H1010" s="3"/>
      <c r="I1010" s="3"/>
      <c r="J1010" s="3"/>
      <c r="K1010" s="57"/>
      <c r="L1010" s="3"/>
    </row>
    <row r="1011" spans="1:19" s="50" customFormat="1" ht="14.4" x14ac:dyDescent="0.3">
      <c r="A1011" s="39">
        <v>8</v>
      </c>
      <c r="B1011" s="49" t="s">
        <v>1096</v>
      </c>
      <c r="C1011" s="3"/>
      <c r="D1011" s="3"/>
      <c r="E1011" s="3"/>
      <c r="F1011" s="3"/>
      <c r="G1011" s="3"/>
      <c r="H1011" s="3"/>
      <c r="I1011" s="3"/>
      <c r="J1011" s="3"/>
      <c r="K1011" s="57"/>
      <c r="L1011" s="3"/>
    </row>
    <row r="1012" spans="1:19" s="59" customFormat="1" ht="14.4" x14ac:dyDescent="0.3">
      <c r="A1012" s="41">
        <v>9</v>
      </c>
      <c r="B1012" s="58" t="s">
        <v>1096</v>
      </c>
      <c r="C1012" s="34"/>
      <c r="D1012" s="34"/>
      <c r="E1012" s="34"/>
      <c r="F1012" s="34"/>
      <c r="G1012" s="34"/>
      <c r="H1012" s="34"/>
      <c r="I1012" s="34"/>
      <c r="J1012" s="34"/>
      <c r="K1012" s="60"/>
      <c r="L1012" s="34"/>
    </row>
    <row r="1014" spans="1:19" x14ac:dyDescent="0.25">
      <c r="A1014" s="317"/>
      <c r="C1014" s="353"/>
    </row>
    <row r="1015" spans="1:19" x14ac:dyDescent="0.25">
      <c r="A1015" s="357" t="s">
        <v>12</v>
      </c>
      <c r="B1015" s="358" t="s">
        <v>173</v>
      </c>
      <c r="C1015" s="359" t="s">
        <v>1045</v>
      </c>
      <c r="D1015" s="344"/>
      <c r="E1015" s="344"/>
      <c r="F1015" s="344"/>
      <c r="G1015" s="344"/>
      <c r="H1015" s="344"/>
      <c r="I1015" s="344"/>
      <c r="J1015" s="344"/>
      <c r="K1015" s="344"/>
      <c r="L1015" s="344"/>
    </row>
    <row r="1016" spans="1:19" x14ac:dyDescent="0.25">
      <c r="A1016" s="360" t="s">
        <v>14</v>
      </c>
      <c r="B1016" s="361" t="s">
        <v>624</v>
      </c>
      <c r="C1016" s="358" t="s">
        <v>15</v>
      </c>
      <c r="D1016" s="344"/>
      <c r="E1016" s="344"/>
      <c r="F1016" s="344"/>
      <c r="G1016" s="344"/>
      <c r="H1016" s="344"/>
      <c r="I1016" s="344"/>
      <c r="J1016" s="344"/>
      <c r="K1016" s="344"/>
      <c r="L1016" s="344"/>
    </row>
    <row r="1017" spans="1:19" s="50" customFormat="1" ht="14.4" x14ac:dyDescent="0.3">
      <c r="A1017" s="362" t="s">
        <v>16</v>
      </c>
      <c r="B1017" s="363">
        <v>2009</v>
      </c>
      <c r="C1017" s="364">
        <v>2010</v>
      </c>
      <c r="D1017" s="364">
        <v>2011</v>
      </c>
      <c r="E1017" s="364">
        <v>2012</v>
      </c>
      <c r="F1017" s="364">
        <v>2013</v>
      </c>
      <c r="G1017" s="364">
        <v>2014</v>
      </c>
      <c r="H1017" s="364">
        <v>2015</v>
      </c>
      <c r="I1017" s="364">
        <v>2016</v>
      </c>
      <c r="J1017" s="364">
        <v>2017</v>
      </c>
      <c r="K1017" s="364">
        <v>2018</v>
      </c>
      <c r="L1017" s="364">
        <v>2019</v>
      </c>
      <c r="M1017" s="364">
        <v>2020</v>
      </c>
      <c r="N1017" s="364">
        <v>2021</v>
      </c>
      <c r="O1017" s="364">
        <v>2022</v>
      </c>
      <c r="P1017" s="364">
        <v>2023</v>
      </c>
      <c r="Q1017" s="364">
        <v>2024</v>
      </c>
      <c r="R1017" s="364">
        <v>2025</v>
      </c>
      <c r="S1017" s="364">
        <v>2026</v>
      </c>
    </row>
    <row r="1018" spans="1:19" s="50" customFormat="1" ht="14.4" x14ac:dyDescent="0.3">
      <c r="A1018" s="365" t="s">
        <v>17</v>
      </c>
      <c r="B1018" s="366"/>
      <c r="C1018" s="366"/>
      <c r="D1018" s="366"/>
      <c r="E1018" s="366"/>
      <c r="F1018" s="366"/>
      <c r="G1018" s="366"/>
      <c r="H1018" s="366"/>
      <c r="I1018" s="366"/>
      <c r="J1018" s="366"/>
      <c r="K1018" s="366"/>
      <c r="L1018" s="366"/>
      <c r="M1018" s="366"/>
      <c r="N1018" s="366"/>
      <c r="O1018" s="366"/>
      <c r="P1018" s="366"/>
      <c r="Q1018" s="367"/>
      <c r="R1018" s="367"/>
      <c r="S1018" s="367"/>
    </row>
    <row r="1019" spans="1:19" s="50" customFormat="1" ht="14.4" x14ac:dyDescent="0.3">
      <c r="A1019" s="365" t="s">
        <v>18</v>
      </c>
      <c r="B1019" s="366">
        <v>525.11158760000001</v>
      </c>
      <c r="C1019" s="366">
        <v>516.79334119999999</v>
      </c>
      <c r="D1019" s="366">
        <v>478.68400000000003</v>
      </c>
      <c r="E1019" s="366">
        <v>638.87599999999998</v>
      </c>
      <c r="F1019" s="366">
        <v>573.67999999999995</v>
      </c>
      <c r="G1019" s="366">
        <v>503.80800000000005</v>
      </c>
      <c r="H1019" s="366">
        <v>407.19200000000001</v>
      </c>
      <c r="I1019" s="366">
        <v>449.52</v>
      </c>
      <c r="J1019" s="366">
        <v>394.88799999999998</v>
      </c>
      <c r="K1019" s="366">
        <v>393.98364000000004</v>
      </c>
      <c r="L1019" s="366">
        <v>397.32737956000005</v>
      </c>
      <c r="M1019" s="366">
        <v>371.77199999999999</v>
      </c>
      <c r="N1019" s="366">
        <v>505.18</v>
      </c>
      <c r="O1019" s="366">
        <v>556.85249999999996</v>
      </c>
      <c r="P1019" s="366">
        <v>601.17999999999995</v>
      </c>
      <c r="Q1019" s="368">
        <v>496.62</v>
      </c>
      <c r="R1019" s="367" t="s">
        <v>1142</v>
      </c>
      <c r="S1019" s="367" t="s">
        <v>1142</v>
      </c>
    </row>
    <row r="1020" spans="1:19" s="50" customFormat="1" ht="14.4" x14ac:dyDescent="0.3">
      <c r="A1020" s="365" t="s">
        <v>19</v>
      </c>
      <c r="B1020" s="366"/>
      <c r="C1020" s="366"/>
      <c r="D1020" s="366"/>
      <c r="E1020" s="366"/>
      <c r="F1020" s="366"/>
      <c r="G1020" s="366"/>
      <c r="H1020" s="366"/>
      <c r="I1020" s="366"/>
      <c r="J1020" s="366"/>
      <c r="K1020" s="366"/>
      <c r="L1020" s="366"/>
      <c r="M1020" s="366"/>
      <c r="N1020" s="366"/>
      <c r="O1020" s="366"/>
      <c r="P1020" s="366"/>
      <c r="Q1020" s="368"/>
      <c r="R1020" s="367"/>
      <c r="S1020" s="367"/>
    </row>
    <row r="1021" spans="1:19" s="50" customFormat="1" ht="14.4" x14ac:dyDescent="0.3">
      <c r="A1021" s="365" t="s">
        <v>20</v>
      </c>
      <c r="B1021" s="366">
        <v>419.55900000000003</v>
      </c>
      <c r="C1021" s="366">
        <v>483.41500000000002</v>
      </c>
      <c r="D1021" s="366">
        <v>285.3</v>
      </c>
      <c r="E1021" s="366">
        <v>1822.1</v>
      </c>
      <c r="F1021" s="366">
        <v>266.39999999999998</v>
      </c>
      <c r="G1021" s="366">
        <v>305.2</v>
      </c>
      <c r="H1021" s="366">
        <v>329.8</v>
      </c>
      <c r="I1021" s="366">
        <v>254.9</v>
      </c>
      <c r="J1021" s="366">
        <v>335</v>
      </c>
      <c r="K1021" s="366">
        <v>210.6</v>
      </c>
      <c r="L1021" s="366">
        <v>319.27300000000002</v>
      </c>
      <c r="M1021" s="366">
        <v>282.8</v>
      </c>
      <c r="N1021" s="366">
        <v>223.4</v>
      </c>
      <c r="O1021" s="366">
        <v>241.6</v>
      </c>
      <c r="P1021" s="366">
        <v>219.1</v>
      </c>
      <c r="Q1021" s="368">
        <v>194</v>
      </c>
      <c r="R1021" s="367" t="s">
        <v>1142</v>
      </c>
      <c r="S1021" s="367" t="s">
        <v>1142</v>
      </c>
    </row>
    <row r="1022" spans="1:19" s="50" customFormat="1" ht="14.4" x14ac:dyDescent="0.3">
      <c r="A1022" s="371" t="s">
        <v>21</v>
      </c>
      <c r="B1022" s="620">
        <v>105.55258759999998</v>
      </c>
      <c r="C1022" s="620">
        <v>33.378341199999966</v>
      </c>
      <c r="D1022" s="620">
        <v>193.38400000000001</v>
      </c>
      <c r="E1022" s="621">
        <v>-1183.2239999999999</v>
      </c>
      <c r="F1022" s="620">
        <v>307.28000000000009</v>
      </c>
      <c r="G1022" s="620">
        <v>198.60800000000006</v>
      </c>
      <c r="H1022" s="620">
        <v>77.391999999999996</v>
      </c>
      <c r="I1022" s="620">
        <v>194.61999999999998</v>
      </c>
      <c r="J1022" s="620">
        <v>59.888000000000034</v>
      </c>
      <c r="K1022" s="620">
        <v>183.38364000000004</v>
      </c>
      <c r="L1022" s="620">
        <v>78.054379560000029</v>
      </c>
      <c r="M1022" s="620">
        <v>88.971999999999994</v>
      </c>
      <c r="N1022" s="620">
        <f>N1019-N1021</f>
        <v>281.77999999999997</v>
      </c>
      <c r="O1022" s="620">
        <f>O1019-O1021</f>
        <v>315.25249999999994</v>
      </c>
      <c r="P1022" s="620">
        <v>382.07999999999993</v>
      </c>
      <c r="Q1022" s="622">
        <v>302.62</v>
      </c>
      <c r="R1022" s="623" t="s">
        <v>1142</v>
      </c>
      <c r="S1022" s="623" t="s">
        <v>1142</v>
      </c>
    </row>
    <row r="1023" spans="1:19" s="50" customFormat="1" ht="14.4" x14ac:dyDescent="0.3">
      <c r="A1023" s="371" t="s">
        <v>22</v>
      </c>
      <c r="B1023" s="372"/>
      <c r="C1023" s="372"/>
      <c r="D1023" s="372"/>
      <c r="E1023" s="372"/>
      <c r="F1023" s="372"/>
      <c r="G1023" s="372"/>
      <c r="H1023" s="372"/>
      <c r="I1023" s="372"/>
      <c r="J1023" s="372"/>
      <c r="K1023" s="372"/>
      <c r="L1023" s="372"/>
      <c r="M1023" s="372"/>
      <c r="N1023" s="372"/>
      <c r="O1023" s="372"/>
      <c r="P1023" s="372"/>
      <c r="Q1023" s="54"/>
      <c r="R1023" s="54"/>
      <c r="S1023" s="55"/>
    </row>
    <row r="1024" spans="1:19" s="50" customFormat="1" ht="14.4" x14ac:dyDescent="0.3">
      <c r="A1024" s="371" t="s">
        <v>23</v>
      </c>
      <c r="B1024" s="373"/>
      <c r="C1024" s="373"/>
      <c r="D1024" s="373"/>
      <c r="E1024" s="373"/>
      <c r="F1024" s="373"/>
      <c r="G1024" s="373"/>
      <c r="H1024" s="373"/>
      <c r="I1024" s="373"/>
      <c r="J1024" s="373"/>
      <c r="K1024" s="373"/>
      <c r="L1024" s="373"/>
      <c r="M1024" s="373"/>
      <c r="N1024" s="373"/>
      <c r="O1024" s="373"/>
      <c r="P1024" s="618"/>
      <c r="Q1024" s="54"/>
      <c r="R1024" s="54"/>
      <c r="S1024" s="55"/>
    </row>
    <row r="1025" spans="1:19" s="50" customFormat="1" ht="14.4" x14ac:dyDescent="0.3">
      <c r="A1025" s="374" t="s">
        <v>174</v>
      </c>
      <c r="B1025" s="344"/>
      <c r="C1025" s="344"/>
      <c r="D1025" s="344"/>
      <c r="E1025" s="344"/>
      <c r="F1025" s="344"/>
      <c r="G1025" s="344"/>
      <c r="H1025" s="344"/>
      <c r="I1025" s="344"/>
      <c r="J1025" s="344"/>
      <c r="K1025" s="344"/>
      <c r="L1025" s="344"/>
      <c r="M1025" s="344"/>
      <c r="N1025" s="344"/>
      <c r="O1025" s="344"/>
      <c r="P1025" s="619"/>
      <c r="S1025" s="57"/>
    </row>
    <row r="1026" spans="1:19" s="50" customFormat="1" ht="14.4" x14ac:dyDescent="0.3">
      <c r="A1026" s="39" t="s">
        <v>220</v>
      </c>
      <c r="B1026" s="344"/>
      <c r="C1026" s="344"/>
      <c r="D1026" s="344"/>
      <c r="E1026" s="344"/>
      <c r="F1026" s="344"/>
      <c r="G1026" s="344"/>
      <c r="H1026" s="344"/>
      <c r="I1026" s="344"/>
      <c r="J1026" s="344"/>
      <c r="K1026" s="344"/>
      <c r="L1026" s="344"/>
      <c r="M1026" s="344"/>
      <c r="N1026" s="344"/>
      <c r="O1026" s="344"/>
      <c r="P1026" s="619"/>
      <c r="S1026" s="57"/>
    </row>
    <row r="1027" spans="1:19" s="50" customFormat="1" ht="14.4" x14ac:dyDescent="0.3">
      <c r="A1027" s="374" t="s">
        <v>270</v>
      </c>
      <c r="B1027" s="344"/>
      <c r="C1027" s="344"/>
      <c r="D1027" s="344"/>
      <c r="E1027" s="344"/>
      <c r="F1027" s="344"/>
      <c r="G1027" s="344"/>
      <c r="H1027" s="344"/>
      <c r="I1027" s="344"/>
      <c r="J1027" s="344"/>
      <c r="K1027" s="344"/>
      <c r="L1027" s="344"/>
      <c r="M1027" s="344"/>
      <c r="N1027" s="344"/>
      <c r="O1027" s="344"/>
      <c r="P1027" s="619"/>
      <c r="S1027" s="57"/>
    </row>
    <row r="1028" spans="1:19" s="50" customFormat="1" ht="14.4" x14ac:dyDescent="0.3">
      <c r="A1028" s="374" t="s">
        <v>460</v>
      </c>
      <c r="B1028" s="344"/>
      <c r="C1028" s="344"/>
      <c r="D1028" s="344"/>
      <c r="E1028" s="344"/>
      <c r="F1028" s="344"/>
      <c r="G1028" s="344"/>
      <c r="H1028" s="344"/>
      <c r="I1028" s="344"/>
      <c r="J1028" s="344"/>
      <c r="K1028" s="344"/>
      <c r="L1028" s="344"/>
      <c r="M1028" s="344"/>
      <c r="N1028" s="344"/>
      <c r="O1028" s="344"/>
      <c r="P1028" s="619"/>
      <c r="S1028" s="57"/>
    </row>
    <row r="1029" spans="1:19" s="50" customFormat="1" ht="14.4" x14ac:dyDescent="0.3">
      <c r="A1029" s="374" t="s">
        <v>708</v>
      </c>
      <c r="B1029" s="344"/>
      <c r="C1029" s="344"/>
      <c r="D1029" s="344"/>
      <c r="E1029" s="344"/>
      <c r="F1029" s="344"/>
      <c r="G1029" s="344"/>
      <c r="H1029" s="344"/>
      <c r="I1029" s="344"/>
      <c r="J1029" s="344"/>
      <c r="K1029" s="344"/>
      <c r="L1029" s="344"/>
      <c r="M1029" s="344"/>
      <c r="N1029" s="344"/>
      <c r="O1029" s="344"/>
      <c r="P1029" s="619"/>
      <c r="S1029" s="57"/>
    </row>
    <row r="1030" spans="1:19" s="50" customFormat="1" ht="14.4" x14ac:dyDescent="0.3">
      <c r="A1030" s="374" t="s">
        <v>806</v>
      </c>
      <c r="B1030" s="344"/>
      <c r="C1030" s="344"/>
      <c r="D1030" s="344"/>
      <c r="E1030" s="344"/>
      <c r="F1030" s="344"/>
      <c r="G1030" s="344"/>
      <c r="H1030" s="344"/>
      <c r="I1030" s="344"/>
      <c r="J1030" s="344"/>
      <c r="K1030" s="344"/>
      <c r="L1030" s="344"/>
      <c r="M1030" s="344"/>
      <c r="N1030" s="344"/>
      <c r="O1030" s="344"/>
      <c r="P1030" s="619"/>
      <c r="S1030" s="57"/>
    </row>
    <row r="1031" spans="1:19" s="50" customFormat="1" ht="14.4" x14ac:dyDescent="0.3">
      <c r="A1031" s="374" t="s">
        <v>1038</v>
      </c>
      <c r="B1031" s="344"/>
      <c r="C1031" s="344"/>
      <c r="D1031" s="344"/>
      <c r="E1031" s="344"/>
      <c r="F1031" s="344"/>
      <c r="G1031" s="344"/>
      <c r="H1031" s="344"/>
      <c r="I1031" s="344"/>
      <c r="J1031" s="344"/>
      <c r="K1031" s="344"/>
      <c r="L1031" s="344"/>
      <c r="M1031" s="344"/>
      <c r="N1031" s="344"/>
      <c r="O1031" s="344"/>
      <c r="P1031" s="619"/>
      <c r="S1031" s="57"/>
    </row>
    <row r="1032" spans="1:19" s="50" customFormat="1" ht="14.4" x14ac:dyDescent="0.3">
      <c r="A1032" s="374" t="s">
        <v>1186</v>
      </c>
      <c r="B1032" s="344"/>
      <c r="C1032" s="344"/>
      <c r="D1032" s="344"/>
      <c r="E1032" s="344"/>
      <c r="F1032" s="344"/>
      <c r="G1032" s="344"/>
      <c r="H1032" s="344"/>
      <c r="I1032" s="344"/>
      <c r="J1032" s="344"/>
      <c r="K1032" s="344"/>
      <c r="L1032" s="344"/>
      <c r="M1032" s="344"/>
      <c r="N1032" s="344"/>
      <c r="O1032" s="344"/>
      <c r="P1032" s="619"/>
      <c r="S1032" s="57"/>
    </row>
    <row r="1033" spans="1:19" s="50" customFormat="1" ht="14.4" x14ac:dyDescent="0.3">
      <c r="A1033" s="374" t="s">
        <v>1187</v>
      </c>
      <c r="B1033" s="344"/>
      <c r="C1033" s="344"/>
      <c r="D1033" s="344"/>
      <c r="E1033" s="344"/>
      <c r="F1033" s="344"/>
      <c r="G1033" s="344"/>
      <c r="H1033" s="344"/>
      <c r="I1033" s="344"/>
      <c r="J1033" s="344"/>
      <c r="K1033" s="344"/>
      <c r="L1033" s="344"/>
      <c r="M1033" s="344"/>
      <c r="N1033" s="344"/>
      <c r="O1033" s="344"/>
      <c r="P1033" s="619"/>
      <c r="S1033" s="57"/>
    </row>
    <row r="1034" spans="1:19" s="417" customFormat="1" ht="13.8" x14ac:dyDescent="0.3">
      <c r="A1034" s="434" t="s">
        <v>1240</v>
      </c>
      <c r="B1034" s="344"/>
      <c r="C1034" s="344"/>
      <c r="D1034" s="344"/>
      <c r="E1034" s="344"/>
      <c r="F1034" s="344"/>
      <c r="G1034" s="344"/>
      <c r="H1034" s="344"/>
      <c r="I1034" s="344"/>
      <c r="J1034" s="344"/>
      <c r="K1034" s="344"/>
      <c r="L1034" s="3"/>
      <c r="M1034" s="3"/>
      <c r="N1034" s="344"/>
      <c r="O1034" s="344"/>
      <c r="S1034" s="617"/>
    </row>
    <row r="1035" spans="1:19" s="50" customFormat="1" ht="14.4" x14ac:dyDescent="0.3">
      <c r="A1035" s="374"/>
      <c r="B1035" s="344"/>
      <c r="C1035" s="344"/>
      <c r="D1035" s="344"/>
      <c r="E1035" s="344"/>
      <c r="F1035" s="344" t="s">
        <v>175</v>
      </c>
      <c r="G1035" s="344"/>
      <c r="H1035" s="344"/>
      <c r="I1035" s="344"/>
      <c r="J1035" s="344"/>
      <c r="K1035" s="344"/>
      <c r="L1035" s="344"/>
      <c r="M1035" s="344"/>
      <c r="N1035" s="344"/>
      <c r="O1035" s="344"/>
      <c r="P1035" s="619"/>
      <c r="S1035" s="57"/>
    </row>
    <row r="1036" spans="1:19" s="50" customFormat="1" ht="14.4" x14ac:dyDescent="0.3">
      <c r="A1036" s="374"/>
      <c r="B1036" s="375" t="s">
        <v>176</v>
      </c>
      <c r="C1036" s="376">
        <v>1.6354139265717185E-2</v>
      </c>
      <c r="D1036" s="3"/>
      <c r="E1036" s="344"/>
      <c r="F1036" s="344" t="s">
        <v>177</v>
      </c>
      <c r="G1036" s="377">
        <v>2019</v>
      </c>
      <c r="H1036" s="377">
        <v>2020</v>
      </c>
      <c r="I1036" s="377">
        <v>2021</v>
      </c>
      <c r="J1036" s="377">
        <v>2022</v>
      </c>
      <c r="K1036" s="377">
        <v>2023</v>
      </c>
      <c r="L1036" s="377">
        <v>2024</v>
      </c>
      <c r="M1036" s="377">
        <v>2025</v>
      </c>
      <c r="N1036" s="344">
        <v>2026</v>
      </c>
      <c r="O1036" s="344"/>
      <c r="P1036" s="619"/>
      <c r="S1036" s="57"/>
    </row>
    <row r="1037" spans="1:19" s="50" customFormat="1" ht="14.4" x14ac:dyDescent="0.3">
      <c r="A1037" s="374"/>
      <c r="B1037" s="344"/>
      <c r="C1037" s="344"/>
      <c r="D1037" s="344"/>
      <c r="E1037" s="344"/>
      <c r="F1037" s="344" t="s">
        <v>14</v>
      </c>
      <c r="G1037" s="377" t="s">
        <v>66</v>
      </c>
      <c r="H1037" s="377" t="s">
        <v>66</v>
      </c>
      <c r="I1037" s="377" t="s">
        <v>66</v>
      </c>
      <c r="J1037" s="377" t="s">
        <v>66</v>
      </c>
      <c r="K1037" s="377" t="s">
        <v>66</v>
      </c>
      <c r="L1037" s="377" t="s">
        <v>66</v>
      </c>
      <c r="M1037" s="377" t="s">
        <v>66</v>
      </c>
      <c r="N1037" s="344" t="s">
        <v>66</v>
      </c>
      <c r="O1037" s="344"/>
      <c r="P1037" s="619"/>
      <c r="S1037" s="57"/>
    </row>
    <row r="1038" spans="1:19" s="50" customFormat="1" ht="14.4" x14ac:dyDescent="0.3">
      <c r="A1038" s="374"/>
      <c r="B1038" s="344"/>
      <c r="C1038" s="344"/>
      <c r="D1038" s="344"/>
      <c r="E1038" s="344"/>
      <c r="F1038" s="344" t="s">
        <v>178</v>
      </c>
      <c r="G1038" s="625">
        <v>9933.1844890000011</v>
      </c>
      <c r="H1038" s="625">
        <v>9294.2999999999993</v>
      </c>
      <c r="I1038" s="625">
        <v>11226.4</v>
      </c>
      <c r="J1038" s="625">
        <v>12374.5</v>
      </c>
      <c r="K1038" s="625">
        <v>13359.6</v>
      </c>
      <c r="L1038" s="377">
        <v>11036</v>
      </c>
      <c r="M1038" s="377" t="s">
        <v>1142</v>
      </c>
      <c r="N1038" s="344" t="s">
        <v>1142</v>
      </c>
      <c r="O1038" s="344"/>
      <c r="P1038" s="619"/>
      <c r="S1038" s="57"/>
    </row>
    <row r="1039" spans="1:19" s="50" customFormat="1" ht="14.4" x14ac:dyDescent="0.3">
      <c r="A1039" s="362"/>
      <c r="B1039" s="378"/>
      <c r="C1039" s="378"/>
      <c r="D1039" s="378"/>
      <c r="E1039" s="378"/>
      <c r="F1039" s="378"/>
      <c r="G1039" s="378"/>
      <c r="H1039" s="378"/>
      <c r="I1039" s="378"/>
      <c r="J1039" s="378"/>
      <c r="K1039" s="378"/>
      <c r="L1039" s="378"/>
      <c r="M1039" s="378"/>
      <c r="N1039" s="378"/>
      <c r="O1039" s="378"/>
      <c r="P1039" s="379"/>
      <c r="Q1039" s="59"/>
      <c r="R1039" s="59"/>
      <c r="S1039" s="60"/>
    </row>
    <row r="1040" spans="1:19" x14ac:dyDescent="0.25">
      <c r="A1040" s="317"/>
      <c r="C1040" s="353"/>
    </row>
    <row r="1041" spans="1:19" x14ac:dyDescent="0.25">
      <c r="A1041" s="357" t="s">
        <v>14</v>
      </c>
      <c r="B1041" s="358" t="s">
        <v>638</v>
      </c>
      <c r="C1041" s="358" t="s">
        <v>15</v>
      </c>
      <c r="D1041" s="344"/>
      <c r="E1041" s="344"/>
      <c r="F1041" s="344"/>
      <c r="G1041" s="344"/>
      <c r="H1041" s="344"/>
      <c r="I1041" s="344"/>
      <c r="J1041" s="344"/>
      <c r="K1041" s="344"/>
      <c r="L1041" s="344"/>
      <c r="M1041" s="344"/>
      <c r="N1041" s="344"/>
      <c r="O1041" s="344"/>
      <c r="P1041" s="344"/>
      <c r="Q1041" s="344"/>
      <c r="R1041" s="344"/>
    </row>
    <row r="1042" spans="1:19" s="380" customFormat="1" ht="13.8" x14ac:dyDescent="0.25">
      <c r="A1042" s="362" t="s">
        <v>16</v>
      </c>
      <c r="B1042" s="363">
        <v>2009</v>
      </c>
      <c r="C1042" s="364">
        <v>2010</v>
      </c>
      <c r="D1042" s="364">
        <v>2011</v>
      </c>
      <c r="E1042" s="364">
        <v>2012</v>
      </c>
      <c r="F1042" s="364">
        <v>2013</v>
      </c>
      <c r="G1042" s="364">
        <v>2014</v>
      </c>
      <c r="H1042" s="364">
        <v>2015</v>
      </c>
      <c r="I1042" s="364">
        <v>2016</v>
      </c>
      <c r="J1042" s="364">
        <v>2017</v>
      </c>
      <c r="K1042" s="364">
        <v>2018</v>
      </c>
      <c r="L1042" s="364">
        <v>2019</v>
      </c>
      <c r="M1042" s="364">
        <v>2020</v>
      </c>
      <c r="N1042" s="364">
        <v>2021</v>
      </c>
      <c r="O1042" s="364">
        <v>2022</v>
      </c>
      <c r="P1042" s="364">
        <v>2023</v>
      </c>
      <c r="Q1042" s="364">
        <v>2024</v>
      </c>
      <c r="R1042" s="364">
        <v>2025</v>
      </c>
      <c r="S1042" s="364">
        <v>2026</v>
      </c>
    </row>
    <row r="1043" spans="1:19" s="380" customFormat="1" ht="13.8" x14ac:dyDescent="0.25">
      <c r="A1043" s="365" t="s">
        <v>17</v>
      </c>
      <c r="B1043" s="381"/>
      <c r="C1043" s="381"/>
      <c r="D1043" s="381"/>
      <c r="E1043" s="381"/>
      <c r="F1043" s="381"/>
      <c r="G1043" s="381">
        <v>1355</v>
      </c>
      <c r="H1043" s="381">
        <v>1355</v>
      </c>
      <c r="I1043" s="381">
        <v>1355</v>
      </c>
      <c r="J1043" s="381">
        <v>1355</v>
      </c>
      <c r="K1043" s="381">
        <v>1355</v>
      </c>
      <c r="L1043" s="381">
        <v>1355</v>
      </c>
      <c r="M1043" s="381">
        <v>1355</v>
      </c>
      <c r="N1043" s="381">
        <v>1355</v>
      </c>
      <c r="O1043" s="381">
        <v>1355</v>
      </c>
      <c r="P1043" s="381">
        <v>1630</v>
      </c>
      <c r="Q1043" s="381">
        <v>1630</v>
      </c>
      <c r="R1043" s="381">
        <v>1630</v>
      </c>
      <c r="S1043" s="381">
        <v>1630</v>
      </c>
    </row>
    <row r="1044" spans="1:19" s="380" customFormat="1" ht="13.8" x14ac:dyDescent="0.25">
      <c r="A1044" s="365" t="s">
        <v>18</v>
      </c>
      <c r="B1044" s="381">
        <v>237.31834029985683</v>
      </c>
      <c r="C1044" s="381">
        <v>315.5295404143024</v>
      </c>
      <c r="D1044" s="381">
        <v>275.05599999999998</v>
      </c>
      <c r="E1044" s="381">
        <v>415.68</v>
      </c>
      <c r="F1044" s="381">
        <v>341.67599999999999</v>
      </c>
      <c r="G1044" s="381">
        <v>1725</v>
      </c>
      <c r="H1044" s="381">
        <v>1555</v>
      </c>
      <c r="I1044" s="381">
        <v>1693.75</v>
      </c>
      <c r="J1044" s="381">
        <v>1717.1</v>
      </c>
      <c r="K1044" s="381">
        <v>1893.75</v>
      </c>
      <c r="L1044" s="381">
        <v>1936.3</v>
      </c>
      <c r="M1044" s="381">
        <v>2693.75</v>
      </c>
      <c r="N1044" s="381">
        <f>N1043+0.25*L1043</f>
        <v>1693.75</v>
      </c>
      <c r="O1044" s="381">
        <v>1693.75</v>
      </c>
      <c r="P1044" s="381">
        <f>P1043+N1047+300</f>
        <v>2136.15</v>
      </c>
      <c r="Q1044" s="381">
        <f>Q1043+O1047+100+100+100</f>
        <v>1882.55</v>
      </c>
      <c r="R1044" s="381">
        <f>R1043+P1047+100+100+100+148.15</f>
        <v>2337.5000000000005</v>
      </c>
      <c r="S1044" s="381">
        <v>2337.5</v>
      </c>
    </row>
    <row r="1045" spans="1:19" s="380" customFormat="1" ht="13.8" x14ac:dyDescent="0.25">
      <c r="A1045" s="365" t="s">
        <v>19</v>
      </c>
      <c r="B1045" s="381"/>
      <c r="C1045" s="381"/>
      <c r="D1045" s="381"/>
      <c r="E1045" s="381"/>
      <c r="F1045" s="381"/>
      <c r="G1045" s="381"/>
      <c r="H1045" s="381"/>
      <c r="I1045" s="381"/>
      <c r="J1045" s="381"/>
      <c r="K1045" s="381"/>
      <c r="L1045" s="381"/>
      <c r="M1045" s="381"/>
      <c r="N1045" s="381"/>
      <c r="O1045" s="381"/>
      <c r="P1045" s="381"/>
      <c r="Q1045" s="381"/>
      <c r="R1045" s="381"/>
      <c r="S1045" s="381"/>
    </row>
    <row r="1046" spans="1:19" s="380" customFormat="1" ht="13.8" x14ac:dyDescent="0.25">
      <c r="A1046" s="365" t="s">
        <v>20</v>
      </c>
      <c r="B1046" s="381">
        <v>958.10900000000004</v>
      </c>
      <c r="C1046" s="381">
        <v>1217.827</v>
      </c>
      <c r="D1046" s="381">
        <v>1776.4</v>
      </c>
      <c r="E1046" s="381">
        <v>3550.6</v>
      </c>
      <c r="F1046" s="381">
        <v>1713.8</v>
      </c>
      <c r="G1046" s="381">
        <v>1198.9000000000001</v>
      </c>
      <c r="H1046" s="381">
        <v>1392.9</v>
      </c>
      <c r="I1046" s="381">
        <v>1212.8</v>
      </c>
      <c r="J1046" s="381">
        <v>2135.8000000000002</v>
      </c>
      <c r="K1046" s="381">
        <v>1654.5</v>
      </c>
      <c r="L1046" s="381">
        <v>1465.57</v>
      </c>
      <c r="M1046" s="381">
        <v>1621.8</v>
      </c>
      <c r="N1046" s="381">
        <v>1487.6</v>
      </c>
      <c r="O1046" s="381">
        <v>1741.2</v>
      </c>
      <c r="P1046" s="381">
        <v>1876.8</v>
      </c>
      <c r="Q1046" s="381">
        <v>1861.5</v>
      </c>
      <c r="R1046" s="381" t="s">
        <v>1142</v>
      </c>
      <c r="S1046" s="381"/>
    </row>
    <row r="1047" spans="1:19" s="380" customFormat="1" ht="13.8" x14ac:dyDescent="0.25">
      <c r="A1047" s="365" t="s">
        <v>21</v>
      </c>
      <c r="B1047" s="381">
        <v>-720.79065970014324</v>
      </c>
      <c r="C1047" s="381">
        <v>-902.29745958569765</v>
      </c>
      <c r="D1047" s="381">
        <v>-1501.3440000000001</v>
      </c>
      <c r="E1047" s="381">
        <v>-3134.92</v>
      </c>
      <c r="F1047" s="381">
        <v>-1372.124</v>
      </c>
      <c r="G1047" s="381">
        <v>526.09999999999991</v>
      </c>
      <c r="H1047" s="381">
        <v>162.09999999999991</v>
      </c>
      <c r="I1047" s="381">
        <v>480.95000000000005</v>
      </c>
      <c r="J1047" s="381">
        <v>-418.70000000000027</v>
      </c>
      <c r="K1047" s="381">
        <v>239.25</v>
      </c>
      <c r="L1047" s="381">
        <v>470.73</v>
      </c>
      <c r="M1047" s="381">
        <v>1071.95</v>
      </c>
      <c r="N1047" s="381">
        <f>N1044-N1046</f>
        <v>206.15000000000009</v>
      </c>
      <c r="O1047" s="381">
        <f>O1044-O1046</f>
        <v>-47.450000000000045</v>
      </c>
      <c r="P1047" s="381">
        <f>P1044-P1046</f>
        <v>259.35000000000014</v>
      </c>
      <c r="Q1047" s="381">
        <v>21.049999999999955</v>
      </c>
      <c r="R1047" s="381" t="s">
        <v>1142</v>
      </c>
      <c r="S1047" s="381"/>
    </row>
    <row r="1048" spans="1:19" s="380" customFormat="1" ht="13.8" x14ac:dyDescent="0.25">
      <c r="A1048" s="369" t="s">
        <v>22</v>
      </c>
      <c r="B1048" s="382"/>
      <c r="C1048" s="382"/>
      <c r="D1048" s="382"/>
      <c r="E1048" s="382"/>
      <c r="F1048" s="382"/>
      <c r="G1048" s="383">
        <v>2016</v>
      </c>
      <c r="H1048" s="383">
        <v>2017</v>
      </c>
      <c r="I1048" s="383">
        <v>2018</v>
      </c>
      <c r="J1048" s="383">
        <v>2019</v>
      </c>
      <c r="K1048" s="383">
        <v>2020</v>
      </c>
      <c r="L1048" s="383">
        <v>2021</v>
      </c>
      <c r="M1048" s="383">
        <v>2022</v>
      </c>
      <c r="N1048" s="383">
        <v>2023</v>
      </c>
      <c r="O1048" s="383">
        <v>2024</v>
      </c>
      <c r="P1048" s="383">
        <v>2025</v>
      </c>
      <c r="Q1048" s="383">
        <v>2026</v>
      </c>
      <c r="R1048" s="383">
        <v>2027</v>
      </c>
      <c r="S1048" s="383">
        <v>2028</v>
      </c>
    </row>
    <row r="1049" spans="1:19" s="380" customFormat="1" ht="13.8" x14ac:dyDescent="0.25">
      <c r="A1049" s="384" t="s">
        <v>179</v>
      </c>
      <c r="B1049" s="385"/>
      <c r="C1049" s="385"/>
      <c r="D1049" s="385"/>
      <c r="E1049" s="385"/>
      <c r="F1049" s="385"/>
      <c r="G1049" s="385"/>
      <c r="H1049" s="385"/>
      <c r="I1049" s="385"/>
      <c r="J1049" s="385"/>
      <c r="K1049" s="385"/>
      <c r="L1049" s="385"/>
      <c r="M1049" s="385"/>
      <c r="N1049" s="385"/>
      <c r="O1049" s="385"/>
      <c r="P1049" s="385"/>
      <c r="Q1049" s="385"/>
      <c r="R1049" s="385"/>
      <c r="S1049" s="386"/>
    </row>
    <row r="1050" spans="1:19" s="380" customFormat="1" ht="13.8" x14ac:dyDescent="0.25">
      <c r="A1050" s="371" t="s">
        <v>180</v>
      </c>
      <c r="B1050" s="373"/>
      <c r="C1050" s="373"/>
      <c r="D1050" s="373"/>
      <c r="E1050" s="373"/>
      <c r="F1050" s="373"/>
      <c r="G1050" s="373"/>
      <c r="H1050" s="373"/>
      <c r="I1050" s="373"/>
      <c r="J1050" s="373"/>
      <c r="K1050" s="373"/>
      <c r="L1050" s="373"/>
      <c r="M1050" s="373"/>
      <c r="N1050" s="373"/>
      <c r="O1050" s="373"/>
      <c r="P1050" s="373"/>
      <c r="Q1050" s="373"/>
      <c r="R1050" s="373"/>
      <c r="S1050" s="387"/>
    </row>
    <row r="1051" spans="1:19" s="380" customFormat="1" ht="13.8" x14ac:dyDescent="0.25">
      <c r="A1051" s="374" t="s">
        <v>181</v>
      </c>
      <c r="B1051" s="344"/>
      <c r="C1051" s="344"/>
      <c r="D1051" s="344"/>
      <c r="E1051" s="344"/>
      <c r="F1051" s="344"/>
      <c r="G1051" s="344"/>
      <c r="H1051" s="344"/>
      <c r="I1051" s="344"/>
      <c r="J1051" s="344"/>
      <c r="K1051" s="344"/>
      <c r="L1051" s="344"/>
      <c r="M1051" s="344"/>
      <c r="N1051" s="344"/>
      <c r="O1051" s="344"/>
      <c r="P1051" s="344"/>
      <c r="Q1051" s="344"/>
      <c r="R1051" s="344"/>
      <c r="S1051" s="388"/>
    </row>
    <row r="1052" spans="1:19" s="380" customFormat="1" ht="13.8" x14ac:dyDescent="0.25">
      <c r="A1052" s="374" t="s">
        <v>182</v>
      </c>
      <c r="B1052" s="344"/>
      <c r="C1052" s="344"/>
      <c r="D1052" s="344"/>
      <c r="E1052" s="344"/>
      <c r="F1052" s="344"/>
      <c r="G1052" s="344"/>
      <c r="H1052" s="344"/>
      <c r="I1052" s="344"/>
      <c r="J1052" s="344"/>
      <c r="K1052" s="344"/>
      <c r="L1052" s="344"/>
      <c r="M1052" s="344"/>
      <c r="N1052" s="344"/>
      <c r="O1052" s="344"/>
      <c r="P1052" s="344"/>
      <c r="Q1052" s="344"/>
      <c r="R1052" s="344"/>
      <c r="S1052" s="388"/>
    </row>
    <row r="1053" spans="1:19" s="380" customFormat="1" ht="13.8" x14ac:dyDescent="0.25">
      <c r="A1053" s="374" t="s">
        <v>183</v>
      </c>
      <c r="B1053" s="375"/>
      <c r="C1053" s="377"/>
      <c r="D1053" s="376"/>
      <c r="E1053" s="344"/>
      <c r="F1053" s="344"/>
      <c r="G1053" s="377"/>
      <c r="H1053" s="344"/>
      <c r="I1053" s="344"/>
      <c r="J1053" s="344"/>
      <c r="K1053" s="344"/>
      <c r="L1053" s="344"/>
      <c r="M1053" s="344"/>
      <c r="N1053" s="344"/>
      <c r="O1053" s="344"/>
      <c r="P1053" s="344"/>
      <c r="Q1053" s="344"/>
      <c r="R1053" s="344"/>
      <c r="S1053" s="388"/>
    </row>
    <row r="1054" spans="1:19" s="380" customFormat="1" ht="13.8" x14ac:dyDescent="0.25">
      <c r="A1054" s="374" t="s">
        <v>184</v>
      </c>
      <c r="B1054" s="344"/>
      <c r="C1054" s="344"/>
      <c r="D1054" s="344"/>
      <c r="E1054" s="344"/>
      <c r="F1054" s="344"/>
      <c r="G1054" s="344"/>
      <c r="H1054" s="344"/>
      <c r="I1054" s="344"/>
      <c r="J1054" s="344"/>
      <c r="K1054" s="344"/>
      <c r="L1054" s="344"/>
      <c r="M1054" s="344"/>
      <c r="N1054" s="344"/>
      <c r="O1054" s="344"/>
      <c r="P1054" s="344"/>
      <c r="Q1054" s="344"/>
      <c r="R1054" s="344"/>
      <c r="S1054" s="388"/>
    </row>
    <row r="1055" spans="1:19" s="380" customFormat="1" ht="13.8" x14ac:dyDescent="0.25">
      <c r="A1055" s="374" t="s">
        <v>185</v>
      </c>
      <c r="B1055" s="344"/>
      <c r="C1055" s="344"/>
      <c r="D1055" s="344"/>
      <c r="E1055" s="344"/>
      <c r="F1055" s="344"/>
      <c r="G1055" s="344"/>
      <c r="H1055" s="344"/>
      <c r="I1055" s="344"/>
      <c r="J1055" s="344"/>
      <c r="K1055" s="344"/>
      <c r="L1055" s="344"/>
      <c r="M1055" s="344"/>
      <c r="N1055" s="344"/>
      <c r="O1055" s="344"/>
      <c r="P1055" s="344"/>
      <c r="Q1055" s="344"/>
      <c r="R1055" s="344"/>
      <c r="S1055" s="388"/>
    </row>
    <row r="1056" spans="1:19" s="380" customFormat="1" ht="13.8" x14ac:dyDescent="0.25">
      <c r="A1056" s="389" t="s">
        <v>221</v>
      </c>
      <c r="B1056" s="344"/>
      <c r="C1056" s="344"/>
      <c r="D1056" s="344"/>
      <c r="E1056" s="344"/>
      <c r="F1056" s="344"/>
      <c r="G1056" s="344"/>
      <c r="H1056" s="344"/>
      <c r="I1056" s="344"/>
      <c r="J1056" s="344"/>
      <c r="K1056" s="344"/>
      <c r="L1056" s="344"/>
      <c r="M1056" s="344"/>
      <c r="N1056" s="344"/>
      <c r="O1056" s="344"/>
      <c r="P1056" s="344"/>
      <c r="Q1056" s="344"/>
      <c r="R1056" s="344"/>
      <c r="S1056" s="388"/>
    </row>
    <row r="1057" spans="1:19" s="380" customFormat="1" ht="13.8" x14ac:dyDescent="0.25">
      <c r="A1057" s="374" t="s">
        <v>222</v>
      </c>
      <c r="B1057" s="344"/>
      <c r="C1057" s="344"/>
      <c r="D1057" s="344"/>
      <c r="E1057" s="344"/>
      <c r="F1057" s="344"/>
      <c r="G1057" s="377"/>
      <c r="H1057" s="344"/>
      <c r="I1057" s="344"/>
      <c r="J1057" s="344"/>
      <c r="K1057" s="344"/>
      <c r="L1057" s="344"/>
      <c r="M1057" s="344"/>
      <c r="N1057" s="344"/>
      <c r="O1057" s="344"/>
      <c r="P1057" s="344"/>
      <c r="Q1057" s="344"/>
      <c r="R1057" s="344"/>
      <c r="S1057" s="388"/>
    </row>
    <row r="1058" spans="1:19" s="392" customFormat="1" x14ac:dyDescent="0.25">
      <c r="A1058" s="374" t="s">
        <v>223</v>
      </c>
      <c r="B1058" s="359"/>
      <c r="C1058" s="359"/>
      <c r="D1058" s="359"/>
      <c r="E1058" s="359"/>
      <c r="F1058" s="359"/>
      <c r="G1058" s="390"/>
      <c r="H1058" s="359"/>
      <c r="I1058" s="359"/>
      <c r="J1058" s="359"/>
      <c r="K1058" s="359"/>
      <c r="L1058" s="359"/>
      <c r="M1058" s="359"/>
      <c r="N1058" s="359"/>
      <c r="O1058" s="359"/>
      <c r="P1058" s="359"/>
      <c r="Q1058" s="359"/>
      <c r="R1058" s="359"/>
      <c r="S1058" s="391"/>
    </row>
    <row r="1059" spans="1:19" s="392" customFormat="1" x14ac:dyDescent="0.25">
      <c r="A1059" s="374" t="s">
        <v>224</v>
      </c>
      <c r="B1059" s="359"/>
      <c r="C1059" s="359"/>
      <c r="D1059" s="359"/>
      <c r="E1059" s="359"/>
      <c r="F1059" s="359"/>
      <c r="G1059" s="393"/>
      <c r="H1059" s="359"/>
      <c r="I1059" s="359"/>
      <c r="J1059" s="359"/>
      <c r="K1059" s="359"/>
      <c r="L1059" s="359"/>
      <c r="M1059" s="359"/>
      <c r="N1059" s="359"/>
      <c r="O1059" s="359"/>
      <c r="P1059" s="359"/>
      <c r="Q1059" s="359"/>
      <c r="R1059" s="359"/>
      <c r="S1059" s="391"/>
    </row>
    <row r="1060" spans="1:19" s="392" customFormat="1" x14ac:dyDescent="0.25">
      <c r="A1060" s="374" t="s">
        <v>271</v>
      </c>
      <c r="B1060" s="359"/>
      <c r="C1060" s="359"/>
      <c r="D1060" s="359"/>
      <c r="E1060" s="359"/>
      <c r="F1060" s="359"/>
      <c r="G1060" s="393"/>
      <c r="H1060" s="359"/>
      <c r="I1060" s="359"/>
      <c r="J1060" s="359"/>
      <c r="K1060" s="359"/>
      <c r="L1060" s="359"/>
      <c r="M1060" s="359"/>
      <c r="N1060" s="359"/>
      <c r="O1060" s="359"/>
      <c r="P1060" s="359"/>
      <c r="Q1060" s="359"/>
      <c r="R1060" s="359"/>
      <c r="S1060" s="391"/>
    </row>
    <row r="1061" spans="1:19" s="380" customFormat="1" ht="13.8" x14ac:dyDescent="0.25">
      <c r="A1061" s="394" t="s">
        <v>225</v>
      </c>
      <c r="B1061" s="395"/>
      <c r="C1061" s="395"/>
      <c r="D1061" s="395"/>
      <c r="E1061" s="395"/>
      <c r="F1061" s="395"/>
      <c r="G1061" s="395"/>
      <c r="H1061" s="395"/>
      <c r="I1061" s="395"/>
      <c r="J1061" s="395"/>
      <c r="K1061" s="395"/>
      <c r="L1061" s="395"/>
      <c r="M1061" s="395"/>
      <c r="N1061" s="395"/>
      <c r="O1061" s="395"/>
      <c r="P1061" s="344"/>
      <c r="Q1061" s="344"/>
      <c r="R1061" s="344"/>
      <c r="S1061" s="388"/>
    </row>
    <row r="1062" spans="1:19" s="380" customFormat="1" ht="27" customHeight="1" x14ac:dyDescent="0.25">
      <c r="A1062" s="670" t="s">
        <v>347</v>
      </c>
      <c r="B1062" s="671"/>
      <c r="C1062" s="671"/>
      <c r="D1062" s="671"/>
      <c r="E1062" s="671"/>
      <c r="F1062" s="671"/>
      <c r="G1062" s="671"/>
      <c r="H1062" s="671"/>
      <c r="I1062" s="671"/>
      <c r="J1062" s="671"/>
      <c r="K1062" s="671"/>
      <c r="L1062" s="671"/>
      <c r="M1062" s="671"/>
      <c r="N1062" s="671"/>
      <c r="O1062" s="395"/>
      <c r="P1062" s="344"/>
      <c r="Q1062" s="344"/>
      <c r="R1062" s="344"/>
      <c r="S1062" s="388"/>
    </row>
    <row r="1063" spans="1:19" s="380" customFormat="1" ht="13.95" customHeight="1" x14ac:dyDescent="0.25">
      <c r="A1063" s="394" t="s">
        <v>406</v>
      </c>
      <c r="B1063" s="395"/>
      <c r="C1063" s="395"/>
      <c r="D1063" s="395"/>
      <c r="E1063" s="395"/>
      <c r="F1063" s="395"/>
      <c r="G1063" s="395"/>
      <c r="H1063" s="395"/>
      <c r="I1063" s="395"/>
      <c r="J1063" s="395"/>
      <c r="K1063" s="395"/>
      <c r="L1063" s="395"/>
      <c r="M1063" s="395"/>
      <c r="N1063" s="395"/>
      <c r="O1063" s="395"/>
      <c r="P1063" s="344"/>
      <c r="Q1063" s="344"/>
      <c r="R1063" s="344"/>
      <c r="S1063" s="388"/>
    </row>
    <row r="1064" spans="1:19" s="380" customFormat="1" ht="13.95" customHeight="1" x14ac:dyDescent="0.25">
      <c r="A1064" s="394" t="s">
        <v>639</v>
      </c>
      <c r="B1064" s="395"/>
      <c r="C1064" s="395"/>
      <c r="D1064" s="395"/>
      <c r="E1064" s="395"/>
      <c r="F1064" s="395"/>
      <c r="G1064" s="395"/>
      <c r="H1064" s="395"/>
      <c r="I1064" s="395"/>
      <c r="J1064" s="395"/>
      <c r="K1064" s="395"/>
      <c r="L1064" s="395"/>
      <c r="M1064" s="395"/>
      <c r="N1064" s="395"/>
      <c r="O1064" s="395"/>
      <c r="P1064" s="344"/>
      <c r="Q1064" s="344"/>
      <c r="R1064" s="344"/>
      <c r="S1064" s="388"/>
    </row>
    <row r="1065" spans="1:19" s="380" customFormat="1" ht="13.95" customHeight="1" x14ac:dyDescent="0.25">
      <c r="A1065" s="394" t="s">
        <v>807</v>
      </c>
      <c r="B1065" s="395"/>
      <c r="C1065" s="395"/>
      <c r="D1065" s="395"/>
      <c r="E1065" s="395"/>
      <c r="F1065" s="395"/>
      <c r="G1065" s="395"/>
      <c r="H1065" s="395"/>
      <c r="I1065" s="395"/>
      <c r="J1065" s="395"/>
      <c r="K1065" s="395"/>
      <c r="L1065" s="395"/>
      <c r="M1065" s="395"/>
      <c r="N1065" s="395"/>
      <c r="O1065" s="395"/>
      <c r="P1065" s="344"/>
      <c r="Q1065" s="344"/>
      <c r="R1065" s="344"/>
      <c r="S1065" s="388"/>
    </row>
    <row r="1066" spans="1:19" s="380" customFormat="1" ht="13.95" customHeight="1" x14ac:dyDescent="0.25">
      <c r="A1066" s="394" t="s">
        <v>1039</v>
      </c>
      <c r="B1066" s="395"/>
      <c r="C1066" s="395"/>
      <c r="D1066" s="395"/>
      <c r="E1066" s="395"/>
      <c r="F1066" s="395"/>
      <c r="G1066" s="395"/>
      <c r="H1066" s="395"/>
      <c r="I1066" s="395"/>
      <c r="J1066" s="395"/>
      <c r="K1066" s="395"/>
      <c r="L1066" s="395"/>
      <c r="M1066" s="395"/>
      <c r="N1066" s="395"/>
      <c r="O1066" s="395"/>
      <c r="P1066" s="344"/>
      <c r="Q1066" s="344"/>
      <c r="R1066" s="344"/>
      <c r="S1066" s="388"/>
    </row>
    <row r="1067" spans="1:19" s="380" customFormat="1" ht="13.95" customHeight="1" x14ac:dyDescent="0.25">
      <c r="A1067" s="396" t="s">
        <v>1188</v>
      </c>
      <c r="B1067" s="395"/>
      <c r="C1067" s="395"/>
      <c r="D1067" s="395"/>
      <c r="E1067" s="395"/>
      <c r="F1067" s="395"/>
      <c r="G1067" s="395"/>
      <c r="H1067" s="395"/>
      <c r="I1067" s="395"/>
      <c r="J1067" s="395"/>
      <c r="K1067" s="395"/>
      <c r="L1067" s="395"/>
      <c r="M1067" s="395"/>
      <c r="N1067" s="395"/>
      <c r="O1067" s="395"/>
      <c r="P1067" s="344"/>
      <c r="Q1067" s="344"/>
      <c r="R1067" s="344"/>
      <c r="S1067" s="388"/>
    </row>
    <row r="1068" spans="1:19" s="629" customFormat="1" ht="13.95" customHeight="1" x14ac:dyDescent="0.25">
      <c r="A1068" s="406" t="s">
        <v>1241</v>
      </c>
      <c r="B1068" s="626"/>
      <c r="C1068" s="626"/>
      <c r="D1068" s="626"/>
      <c r="E1068" s="626"/>
      <c r="F1068" s="626"/>
      <c r="G1068" s="626"/>
      <c r="H1068" s="626"/>
      <c r="I1068" s="626"/>
      <c r="J1068" s="626"/>
      <c r="K1068" s="626"/>
      <c r="L1068" s="626"/>
      <c r="M1068" s="626"/>
      <c r="N1068" s="626"/>
      <c r="O1068" s="626"/>
      <c r="P1068" s="627"/>
      <c r="Q1068" s="627"/>
      <c r="R1068" s="627"/>
      <c r="S1068" s="628"/>
    </row>
    <row r="1069" spans="1:19" x14ac:dyDescent="0.25">
      <c r="A1069" s="317"/>
      <c r="C1069" s="353"/>
    </row>
    <row r="1070" spans="1:19" x14ac:dyDescent="0.25">
      <c r="A1070" s="357" t="s">
        <v>14</v>
      </c>
      <c r="B1070" s="358" t="s">
        <v>623</v>
      </c>
      <c r="C1070" s="358" t="s">
        <v>15</v>
      </c>
      <c r="D1070" s="344"/>
      <c r="E1070" s="344"/>
      <c r="F1070" s="344"/>
      <c r="G1070" s="344"/>
      <c r="H1070" s="344"/>
      <c r="I1070" s="344"/>
      <c r="J1070" s="344"/>
      <c r="K1070" s="344"/>
      <c r="L1070" s="344"/>
      <c r="M1070" s="344"/>
      <c r="N1070" s="344"/>
      <c r="O1070" s="344"/>
      <c r="P1070" s="344"/>
      <c r="Q1070" s="344"/>
      <c r="R1070" s="344"/>
    </row>
    <row r="1071" spans="1:19" x14ac:dyDescent="0.25">
      <c r="A1071" s="362" t="s">
        <v>16</v>
      </c>
      <c r="B1071" s="397">
        <v>2009</v>
      </c>
      <c r="C1071" s="398">
        <v>2010</v>
      </c>
      <c r="D1071" s="398">
        <v>2011</v>
      </c>
      <c r="E1071" s="398">
        <v>2012</v>
      </c>
      <c r="F1071" s="398">
        <v>2013</v>
      </c>
      <c r="G1071" s="398">
        <v>2014</v>
      </c>
      <c r="H1071" s="398">
        <v>2015</v>
      </c>
      <c r="I1071" s="398">
        <v>2016</v>
      </c>
      <c r="J1071" s="398">
        <v>2017</v>
      </c>
      <c r="K1071" s="398">
        <v>2018</v>
      </c>
      <c r="L1071" s="398">
        <v>2019</v>
      </c>
      <c r="M1071" s="398">
        <v>2020</v>
      </c>
      <c r="N1071" s="364">
        <v>2021</v>
      </c>
      <c r="O1071" s="364">
        <v>2022</v>
      </c>
      <c r="P1071" s="364">
        <v>2023</v>
      </c>
      <c r="Q1071" s="364">
        <v>2024</v>
      </c>
      <c r="R1071" s="632">
        <v>2025</v>
      </c>
      <c r="S1071" s="632">
        <v>2026</v>
      </c>
    </row>
    <row r="1072" spans="1:19" x14ac:dyDescent="0.25">
      <c r="A1072" s="365" t="s">
        <v>17</v>
      </c>
      <c r="B1072" s="381">
        <v>842</v>
      </c>
      <c r="C1072" s="381">
        <v>842</v>
      </c>
      <c r="D1072" s="381">
        <v>842</v>
      </c>
      <c r="E1072" s="381">
        <v>842</v>
      </c>
      <c r="F1072" s="381">
        <v>842</v>
      </c>
      <c r="G1072" s="381">
        <v>842</v>
      </c>
      <c r="H1072" s="381">
        <v>842</v>
      </c>
      <c r="I1072" s="381">
        <v>842</v>
      </c>
      <c r="J1072" s="381">
        <v>842</v>
      </c>
      <c r="K1072" s="381">
        <v>842</v>
      </c>
      <c r="L1072" s="381">
        <v>842</v>
      </c>
      <c r="M1072" s="381">
        <v>842</v>
      </c>
      <c r="N1072" s="381">
        <v>842</v>
      </c>
      <c r="O1072" s="381">
        <v>842</v>
      </c>
      <c r="P1072" s="381">
        <v>842</v>
      </c>
      <c r="Q1072" s="381">
        <v>842</v>
      </c>
      <c r="R1072" s="399">
        <v>842</v>
      </c>
      <c r="S1072" s="399">
        <v>842</v>
      </c>
    </row>
    <row r="1073" spans="1:19" x14ac:dyDescent="0.25">
      <c r="A1073" s="365" t="s">
        <v>18</v>
      </c>
      <c r="B1073" s="381">
        <v>2717.74</v>
      </c>
      <c r="C1073" s="381">
        <v>2596.7442299999998</v>
      </c>
      <c r="D1073" s="381">
        <v>2707.4306399999996</v>
      </c>
      <c r="E1073" s="381">
        <v>2795.2306399999998</v>
      </c>
      <c r="F1073" s="381">
        <v>3114.7264100000002</v>
      </c>
      <c r="G1073" s="381">
        <v>3408.0264100000004</v>
      </c>
      <c r="H1073" s="381">
        <f>1.15*H1072-(50+35+25)</f>
        <v>858.3</v>
      </c>
      <c r="I1073" s="381">
        <f>I1072+H1076-50-35-25</f>
        <v>1138.1999999999998</v>
      </c>
      <c r="J1073" s="381">
        <f>J1072+I1076-100-35-25</f>
        <v>1422.4999999999998</v>
      </c>
      <c r="K1073" s="381">
        <f>K1072*1.15-100-35</f>
        <v>833.3</v>
      </c>
      <c r="L1073" s="381">
        <f>L1072+K1076-100-35-25</f>
        <v>1226</v>
      </c>
      <c r="M1073" s="381">
        <f>M1072+L1076-150-35-25</f>
        <v>1463.0075420000001</v>
      </c>
      <c r="N1073" s="381">
        <f>N1072+M1076-150-35-25</f>
        <v>1688.2075420000001</v>
      </c>
      <c r="O1073" s="381">
        <f>O1072+N1076-150-35-25</f>
        <v>2032.807542</v>
      </c>
      <c r="P1073" s="381">
        <f>P1072+O1076-150-35-25</f>
        <v>2219.807542</v>
      </c>
      <c r="Q1073" s="381">
        <f>Q1072+P1076-150-35-25</f>
        <v>2355.5075420000003</v>
      </c>
      <c r="R1073" s="399">
        <f>R1072+Q1076-150-25</f>
        <v>2649.5075420000003</v>
      </c>
      <c r="S1073" s="399">
        <f>S1072-150-25</f>
        <v>667</v>
      </c>
    </row>
    <row r="1074" spans="1:19" x14ac:dyDescent="0.25">
      <c r="A1074" s="365" t="s">
        <v>19</v>
      </c>
      <c r="B1074" s="381"/>
      <c r="C1074" s="381"/>
      <c r="D1074" s="381"/>
      <c r="E1074" s="381"/>
      <c r="F1074" s="381"/>
      <c r="G1074" s="381"/>
      <c r="H1074" s="400"/>
      <c r="I1074" s="400"/>
      <c r="J1074" s="400"/>
      <c r="K1074" s="400"/>
      <c r="L1074" s="400"/>
      <c r="M1074" s="400"/>
      <c r="N1074" s="400"/>
      <c r="O1074" s="400"/>
      <c r="P1074" s="400"/>
      <c r="Q1074" s="400"/>
      <c r="R1074" s="399"/>
      <c r="S1074" s="90"/>
    </row>
    <row r="1075" spans="1:19" x14ac:dyDescent="0.25">
      <c r="A1075" s="365" t="s">
        <v>20</v>
      </c>
      <c r="B1075" s="381">
        <v>962.99576999999999</v>
      </c>
      <c r="C1075" s="381">
        <v>681.31358999999998</v>
      </c>
      <c r="D1075" s="381">
        <v>669.2</v>
      </c>
      <c r="E1075" s="381">
        <v>437.5</v>
      </c>
      <c r="F1075" s="381">
        <v>438.7</v>
      </c>
      <c r="G1075" s="381">
        <v>392.9</v>
      </c>
      <c r="H1075" s="381">
        <v>452.1</v>
      </c>
      <c r="I1075" s="381">
        <v>397.7</v>
      </c>
      <c r="J1075" s="381">
        <v>406</v>
      </c>
      <c r="K1075" s="381">
        <v>289.3</v>
      </c>
      <c r="L1075" s="381">
        <v>394.992458</v>
      </c>
      <c r="M1075" s="381">
        <v>406.79999999999995</v>
      </c>
      <c r="N1075" s="381">
        <v>287.39999999999998</v>
      </c>
      <c r="O1075" s="381">
        <v>445</v>
      </c>
      <c r="P1075" s="381">
        <v>496.3</v>
      </c>
      <c r="Q1075" s="381">
        <v>373</v>
      </c>
      <c r="R1075" s="401" t="s">
        <v>1142</v>
      </c>
      <c r="S1075" s="90"/>
    </row>
    <row r="1076" spans="1:19" x14ac:dyDescent="0.25">
      <c r="A1076" s="365" t="s">
        <v>21</v>
      </c>
      <c r="B1076" s="381">
        <v>1754.7442299999998</v>
      </c>
      <c r="C1076" s="381">
        <v>1915.4306399999998</v>
      </c>
      <c r="D1076" s="381">
        <v>2038.2306399999995</v>
      </c>
      <c r="E1076" s="381">
        <v>2357.7264100000002</v>
      </c>
      <c r="F1076" s="381">
        <v>2676.0264100000004</v>
      </c>
      <c r="G1076" s="381">
        <v>3015.1264100000003</v>
      </c>
      <c r="H1076" s="381">
        <f t="shared" ref="H1076:Q1076" si="48">H1073-H1075</f>
        <v>406.19999999999993</v>
      </c>
      <c r="I1076" s="381">
        <f t="shared" si="48"/>
        <v>740.49999999999977</v>
      </c>
      <c r="J1076" s="381">
        <f t="shared" si="48"/>
        <v>1016.4999999999998</v>
      </c>
      <c r="K1076" s="381">
        <f t="shared" si="48"/>
        <v>544</v>
      </c>
      <c r="L1076" s="381">
        <f t="shared" si="48"/>
        <v>831.00754200000006</v>
      </c>
      <c r="M1076" s="381">
        <f t="shared" si="48"/>
        <v>1056.2075420000001</v>
      </c>
      <c r="N1076" s="381">
        <f t="shared" si="48"/>
        <v>1400.807542</v>
      </c>
      <c r="O1076" s="381">
        <f t="shared" si="48"/>
        <v>1587.807542</v>
      </c>
      <c r="P1076" s="381">
        <f t="shared" si="48"/>
        <v>1723.5075420000001</v>
      </c>
      <c r="Q1076" s="381">
        <f t="shared" si="48"/>
        <v>1982.5075420000003</v>
      </c>
      <c r="R1076" s="401" t="s">
        <v>1142</v>
      </c>
      <c r="S1076" s="90"/>
    </row>
    <row r="1077" spans="1:19" x14ac:dyDescent="0.25">
      <c r="A1077" s="371" t="s">
        <v>22</v>
      </c>
      <c r="B1077" s="633"/>
      <c r="C1077" s="633"/>
      <c r="D1077" s="633"/>
      <c r="E1077" s="633"/>
      <c r="F1077" s="633"/>
      <c r="G1077" s="633"/>
      <c r="H1077" s="634">
        <v>2016</v>
      </c>
      <c r="I1077" s="634">
        <v>2017</v>
      </c>
      <c r="J1077" s="634">
        <v>2018</v>
      </c>
      <c r="K1077" s="634">
        <v>2019</v>
      </c>
      <c r="L1077" s="634">
        <v>2020</v>
      </c>
      <c r="M1077" s="634">
        <v>2021</v>
      </c>
      <c r="N1077" s="634">
        <v>2022</v>
      </c>
      <c r="O1077" s="634">
        <v>2023</v>
      </c>
      <c r="P1077" s="634">
        <v>2024</v>
      </c>
      <c r="Q1077" s="634">
        <v>2025</v>
      </c>
      <c r="R1077" s="635">
        <v>2026</v>
      </c>
      <c r="S1077" s="62"/>
    </row>
    <row r="1078" spans="1:19" x14ac:dyDescent="0.25">
      <c r="A1078" s="371" t="s">
        <v>179</v>
      </c>
      <c r="B1078" s="373"/>
      <c r="C1078" s="373"/>
      <c r="D1078" s="373"/>
      <c r="E1078" s="373"/>
      <c r="F1078" s="373"/>
      <c r="G1078" s="373"/>
      <c r="H1078" s="373"/>
      <c r="I1078" s="373"/>
      <c r="J1078" s="373"/>
      <c r="K1078" s="373"/>
      <c r="L1078" s="373"/>
      <c r="M1078" s="373"/>
      <c r="N1078" s="373"/>
      <c r="O1078" s="373"/>
      <c r="P1078" s="373"/>
      <c r="Q1078" s="373"/>
      <c r="R1078" s="373"/>
      <c r="S1078" s="63"/>
    </row>
    <row r="1079" spans="1:19" x14ac:dyDescent="0.25">
      <c r="A1079" s="371" t="s">
        <v>186</v>
      </c>
      <c r="B1079" s="373"/>
      <c r="C1079" s="373"/>
      <c r="D1079" s="373"/>
      <c r="E1079" s="373"/>
      <c r="F1079" s="373"/>
      <c r="G1079" s="373"/>
      <c r="H1079" s="373"/>
      <c r="I1079" s="373"/>
      <c r="J1079" s="373"/>
      <c r="K1079" s="373"/>
      <c r="L1079" s="373"/>
      <c r="M1079" s="373"/>
      <c r="N1079" s="373"/>
      <c r="O1079" s="373"/>
      <c r="P1079" s="373"/>
      <c r="Q1079" s="373"/>
      <c r="R1079" s="373"/>
      <c r="S1079" s="63"/>
    </row>
    <row r="1080" spans="1:19" x14ac:dyDescent="0.25">
      <c r="A1080" s="374" t="s">
        <v>187</v>
      </c>
      <c r="B1080" s="344"/>
      <c r="C1080" s="344"/>
      <c r="D1080" s="344"/>
      <c r="E1080" s="344"/>
      <c r="F1080" s="344"/>
      <c r="G1080" s="344"/>
      <c r="H1080" s="344"/>
      <c r="I1080" s="344"/>
      <c r="J1080" s="344"/>
      <c r="K1080" s="344"/>
      <c r="L1080" s="344"/>
      <c r="M1080" s="344"/>
      <c r="N1080" s="344"/>
      <c r="O1080" s="344"/>
      <c r="P1080" s="344"/>
      <c r="Q1080" s="344"/>
      <c r="R1080" s="344"/>
      <c r="S1080" s="64"/>
    </row>
    <row r="1081" spans="1:19" x14ac:dyDescent="0.25">
      <c r="A1081" s="404" t="s">
        <v>188</v>
      </c>
      <c r="B1081" s="344"/>
      <c r="C1081" s="344"/>
      <c r="D1081" s="344"/>
      <c r="E1081" s="344"/>
      <c r="F1081" s="344"/>
      <c r="G1081" s="344"/>
      <c r="H1081" s="344"/>
      <c r="I1081" s="344"/>
      <c r="J1081" s="344"/>
      <c r="K1081" s="344"/>
      <c r="L1081" s="344"/>
      <c r="M1081" s="344"/>
      <c r="N1081" s="344"/>
      <c r="O1081" s="344"/>
      <c r="P1081" s="344"/>
      <c r="Q1081" s="344"/>
      <c r="R1081" s="344"/>
      <c r="S1081" s="64"/>
    </row>
    <row r="1082" spans="1:19" x14ac:dyDescent="0.25">
      <c r="A1082" s="404" t="s">
        <v>189</v>
      </c>
      <c r="B1082" s="344"/>
      <c r="C1082" s="344"/>
      <c r="D1082" s="344"/>
      <c r="E1082" s="344"/>
      <c r="F1082" s="344"/>
      <c r="G1082" s="344"/>
      <c r="H1082" s="344"/>
      <c r="I1082" s="344"/>
      <c r="J1082" s="344"/>
      <c r="K1082" s="344"/>
      <c r="L1082" s="344"/>
      <c r="M1082" s="344"/>
      <c r="N1082" s="344"/>
      <c r="O1082" s="344"/>
      <c r="P1082" s="344"/>
      <c r="Q1082" s="344"/>
      <c r="R1082" s="344"/>
      <c r="S1082" s="64"/>
    </row>
    <row r="1083" spans="1:19" x14ac:dyDescent="0.25">
      <c r="A1083" s="404" t="s">
        <v>1041</v>
      </c>
      <c r="B1083" s="344"/>
      <c r="C1083" s="344"/>
      <c r="D1083" s="344"/>
      <c r="E1083" s="344"/>
      <c r="F1083" s="344"/>
      <c r="G1083" s="344"/>
      <c r="H1083" s="344"/>
      <c r="I1083" s="344"/>
      <c r="J1083" s="344"/>
      <c r="K1083" s="344"/>
      <c r="L1083" s="344"/>
      <c r="M1083" s="344"/>
      <c r="N1083" s="344"/>
      <c r="O1083" s="344"/>
      <c r="P1083" s="344"/>
      <c r="Q1083" s="344"/>
      <c r="R1083" s="344"/>
      <c r="S1083" s="64"/>
    </row>
    <row r="1084" spans="1:19" x14ac:dyDescent="0.25">
      <c r="A1084" s="389" t="s">
        <v>226</v>
      </c>
      <c r="B1084" s="344"/>
      <c r="C1084" s="344"/>
      <c r="D1084" s="344"/>
      <c r="E1084" s="344"/>
      <c r="F1084" s="344"/>
      <c r="G1084" s="377"/>
      <c r="H1084" s="344"/>
      <c r="I1084" s="344"/>
      <c r="J1084" s="344"/>
      <c r="K1084" s="344"/>
      <c r="L1084" s="344"/>
      <c r="M1084" s="344"/>
      <c r="N1084" s="344"/>
      <c r="O1084" s="344"/>
      <c r="P1084" s="344"/>
      <c r="Q1084" s="344"/>
      <c r="R1084" s="344"/>
      <c r="S1084" s="64"/>
    </row>
    <row r="1085" spans="1:19" x14ac:dyDescent="0.25">
      <c r="A1085" s="389" t="s">
        <v>227</v>
      </c>
      <c r="B1085" s="344"/>
      <c r="C1085" s="344"/>
      <c r="D1085" s="344"/>
      <c r="E1085" s="344"/>
      <c r="F1085" s="344"/>
      <c r="G1085" s="377"/>
      <c r="H1085" s="344"/>
      <c r="I1085" s="344"/>
      <c r="J1085" s="344"/>
      <c r="K1085" s="344"/>
      <c r="L1085" s="344"/>
      <c r="M1085" s="344"/>
      <c r="N1085" s="344"/>
      <c r="O1085" s="344"/>
      <c r="P1085" s="344"/>
      <c r="Q1085" s="344"/>
      <c r="R1085" s="344"/>
      <c r="S1085" s="64"/>
    </row>
    <row r="1086" spans="1:19" x14ac:dyDescent="0.25">
      <c r="A1086" s="374" t="s">
        <v>190</v>
      </c>
      <c r="B1086" s="375"/>
      <c r="C1086" s="377"/>
      <c r="D1086" s="376"/>
      <c r="E1086" s="344"/>
      <c r="F1086" s="344"/>
      <c r="G1086" s="377"/>
      <c r="H1086" s="344"/>
      <c r="I1086" s="344"/>
      <c r="J1086" s="344"/>
      <c r="K1086" s="344"/>
      <c r="L1086" s="344"/>
      <c r="M1086" s="344"/>
      <c r="N1086" s="344"/>
      <c r="O1086" s="344"/>
      <c r="P1086" s="344"/>
      <c r="Q1086" s="344"/>
      <c r="R1086" s="344"/>
      <c r="S1086" s="64"/>
    </row>
    <row r="1087" spans="1:19" x14ac:dyDescent="0.25">
      <c r="A1087" s="374" t="s">
        <v>191</v>
      </c>
      <c r="B1087" s="344"/>
      <c r="C1087" s="344"/>
      <c r="D1087" s="344"/>
      <c r="E1087" s="344"/>
      <c r="F1087" s="344"/>
      <c r="G1087" s="377"/>
      <c r="H1087" s="344"/>
      <c r="I1087" s="344"/>
      <c r="J1087" s="344"/>
      <c r="K1087" s="344"/>
      <c r="L1087" s="344"/>
      <c r="M1087" s="344"/>
      <c r="N1087" s="344"/>
      <c r="O1087" s="344"/>
      <c r="P1087" s="344"/>
      <c r="Q1087" s="344"/>
      <c r="R1087" s="344"/>
      <c r="S1087" s="64"/>
    </row>
    <row r="1088" spans="1:19" x14ac:dyDescent="0.25">
      <c r="A1088" s="389" t="s">
        <v>384</v>
      </c>
      <c r="B1088" s="344"/>
      <c r="C1088" s="344"/>
      <c r="D1088" s="344"/>
      <c r="E1088" s="344"/>
      <c r="F1088" s="344"/>
      <c r="G1088" s="377"/>
      <c r="H1088" s="344"/>
      <c r="I1088" s="344"/>
      <c r="J1088" s="344"/>
      <c r="K1088" s="344"/>
      <c r="L1088" s="344"/>
      <c r="M1088" s="344"/>
      <c r="N1088" s="344"/>
      <c r="O1088" s="344"/>
      <c r="P1088" s="344"/>
      <c r="Q1088" s="344"/>
      <c r="R1088" s="344"/>
      <c r="S1088" s="64"/>
    </row>
    <row r="1089" spans="1:19" x14ac:dyDescent="0.25">
      <c r="A1089" s="389" t="s">
        <v>385</v>
      </c>
      <c r="B1089" s="344"/>
      <c r="C1089" s="344"/>
      <c r="D1089" s="344"/>
      <c r="E1089" s="344"/>
      <c r="F1089" s="344"/>
      <c r="G1089" s="377"/>
      <c r="H1089" s="344"/>
      <c r="I1089" s="344"/>
      <c r="J1089" s="344"/>
      <c r="K1089" s="344"/>
      <c r="L1089" s="344"/>
      <c r="M1089" s="344"/>
      <c r="N1089" s="344"/>
      <c r="O1089" s="344"/>
      <c r="P1089" s="344"/>
      <c r="Q1089" s="344"/>
      <c r="R1089" s="344"/>
      <c r="S1089" s="64"/>
    </row>
    <row r="1090" spans="1:19" x14ac:dyDescent="0.25">
      <c r="A1090" s="389" t="s">
        <v>386</v>
      </c>
      <c r="B1090" s="344"/>
      <c r="C1090" s="344"/>
      <c r="D1090" s="344"/>
      <c r="E1090" s="344"/>
      <c r="F1090" s="344"/>
      <c r="G1090" s="377"/>
      <c r="H1090" s="344"/>
      <c r="I1090" s="344"/>
      <c r="J1090" s="344"/>
      <c r="K1090" s="344"/>
      <c r="L1090" s="344"/>
      <c r="M1090" s="344"/>
      <c r="N1090" s="344"/>
      <c r="O1090" s="344"/>
      <c r="P1090" s="344"/>
      <c r="Q1090" s="344"/>
      <c r="R1090" s="344"/>
      <c r="S1090" s="64"/>
    </row>
    <row r="1091" spans="1:19" x14ac:dyDescent="0.25">
      <c r="A1091" s="389" t="s">
        <v>387</v>
      </c>
      <c r="B1091" s="344"/>
      <c r="C1091" s="344"/>
      <c r="D1091" s="344"/>
      <c r="E1091" s="344"/>
      <c r="F1091" s="344"/>
      <c r="G1091" s="405"/>
      <c r="H1091" s="344"/>
      <c r="I1091" s="344"/>
      <c r="J1091" s="344"/>
      <c r="K1091" s="344"/>
      <c r="L1091" s="344"/>
      <c r="M1091" s="344"/>
      <c r="N1091" s="344"/>
      <c r="O1091" s="344"/>
      <c r="P1091" s="344"/>
      <c r="Q1091" s="344"/>
      <c r="R1091" s="344"/>
      <c r="S1091" s="64"/>
    </row>
    <row r="1092" spans="1:19" ht="13.2" customHeight="1" x14ac:dyDescent="0.25">
      <c r="A1092" s="394" t="s">
        <v>388</v>
      </c>
      <c r="B1092" s="630"/>
      <c r="C1092" s="630"/>
      <c r="D1092" s="630"/>
      <c r="E1092" s="630"/>
      <c r="F1092" s="630"/>
      <c r="G1092" s="630"/>
      <c r="H1092" s="630"/>
      <c r="I1092" s="630"/>
      <c r="J1092" s="630"/>
      <c r="K1092" s="630"/>
      <c r="L1092" s="630"/>
      <c r="M1092" s="630"/>
      <c r="N1092" s="630"/>
      <c r="O1092" s="630"/>
      <c r="P1092" s="344"/>
      <c r="Q1092" s="344"/>
      <c r="R1092" s="344"/>
      <c r="S1092" s="64"/>
    </row>
    <row r="1093" spans="1:19" ht="13.2" customHeight="1" x14ac:dyDescent="0.25">
      <c r="A1093" s="394" t="s">
        <v>389</v>
      </c>
      <c r="B1093" s="630"/>
      <c r="C1093" s="630"/>
      <c r="D1093" s="630"/>
      <c r="E1093" s="630"/>
      <c r="F1093" s="630"/>
      <c r="G1093" s="630"/>
      <c r="H1093" s="630"/>
      <c r="I1093" s="630"/>
      <c r="J1093" s="630"/>
      <c r="K1093" s="630"/>
      <c r="L1093" s="630"/>
      <c r="M1093" s="630"/>
      <c r="N1093" s="630"/>
      <c r="O1093" s="630"/>
      <c r="P1093" s="344"/>
      <c r="Q1093" s="344"/>
      <c r="R1093" s="344"/>
      <c r="S1093" s="64"/>
    </row>
    <row r="1094" spans="1:19" ht="13.2" customHeight="1" x14ac:dyDescent="0.25">
      <c r="A1094" s="394" t="s">
        <v>569</v>
      </c>
      <c r="B1094" s="630"/>
      <c r="C1094" s="630"/>
      <c r="D1094" s="630"/>
      <c r="E1094" s="630"/>
      <c r="F1094" s="630"/>
      <c r="G1094" s="630"/>
      <c r="H1094" s="630"/>
      <c r="I1094" s="630"/>
      <c r="J1094" s="630"/>
      <c r="K1094" s="630"/>
      <c r="L1094" s="630"/>
      <c r="M1094" s="630"/>
      <c r="N1094" s="630"/>
      <c r="O1094" s="630"/>
      <c r="P1094" s="344"/>
      <c r="Q1094" s="344"/>
      <c r="R1094" s="344"/>
      <c r="S1094" s="64"/>
    </row>
    <row r="1095" spans="1:19" ht="13.2" customHeight="1" x14ac:dyDescent="0.25">
      <c r="A1095" s="394" t="s">
        <v>709</v>
      </c>
      <c r="B1095" s="630"/>
      <c r="C1095" s="630"/>
      <c r="D1095" s="630"/>
      <c r="E1095" s="630"/>
      <c r="F1095" s="630"/>
      <c r="G1095" s="630"/>
      <c r="H1095" s="630"/>
      <c r="I1095" s="630"/>
      <c r="J1095" s="630"/>
      <c r="K1095" s="630"/>
      <c r="L1095" s="630"/>
      <c r="M1095" s="630"/>
      <c r="N1095" s="630"/>
      <c r="O1095" s="630"/>
      <c r="P1095" s="344"/>
      <c r="Q1095" s="344"/>
      <c r="R1095" s="344"/>
      <c r="S1095" s="64"/>
    </row>
    <row r="1096" spans="1:19" ht="13.2" customHeight="1" x14ac:dyDescent="0.25">
      <c r="A1096" s="394" t="s">
        <v>1040</v>
      </c>
      <c r="B1096" s="630"/>
      <c r="C1096" s="630"/>
      <c r="D1096" s="630"/>
      <c r="E1096" s="630"/>
      <c r="F1096" s="630"/>
      <c r="G1096" s="630"/>
      <c r="H1096" s="630"/>
      <c r="I1096" s="630"/>
      <c r="J1096" s="630"/>
      <c r="K1096" s="630"/>
      <c r="L1096" s="630"/>
      <c r="M1096" s="630"/>
      <c r="N1096" s="630"/>
      <c r="O1096" s="630"/>
      <c r="P1096" s="344"/>
      <c r="Q1096" s="344"/>
      <c r="R1096" s="344"/>
      <c r="S1096" s="64"/>
    </row>
    <row r="1097" spans="1:19" ht="13.2" customHeight="1" x14ac:dyDescent="0.25">
      <c r="A1097" s="394" t="s">
        <v>1090</v>
      </c>
      <c r="B1097" s="630"/>
      <c r="C1097" s="630"/>
      <c r="D1097" s="630"/>
      <c r="E1097" s="630"/>
      <c r="F1097" s="630"/>
      <c r="G1097" s="630"/>
      <c r="H1097" s="630"/>
      <c r="I1097" s="630"/>
      <c r="J1097" s="630"/>
      <c r="K1097" s="630"/>
      <c r="L1097" s="630"/>
      <c r="M1097" s="630"/>
      <c r="N1097" s="630"/>
      <c r="O1097" s="630"/>
      <c r="P1097" s="344"/>
      <c r="Q1097" s="344"/>
      <c r="R1097" s="344"/>
      <c r="S1097" s="64"/>
    </row>
    <row r="1098" spans="1:19" ht="13.2" customHeight="1" x14ac:dyDescent="0.25">
      <c r="A1098" s="396" t="s">
        <v>1189</v>
      </c>
      <c r="B1098" s="630"/>
      <c r="C1098" s="630"/>
      <c r="D1098" s="630"/>
      <c r="E1098" s="630"/>
      <c r="F1098" s="630"/>
      <c r="G1098" s="630"/>
      <c r="H1098" s="630"/>
      <c r="I1098" s="630"/>
      <c r="J1098" s="630"/>
      <c r="K1098" s="630"/>
      <c r="L1098" s="630"/>
      <c r="M1098" s="630"/>
      <c r="N1098" s="630"/>
      <c r="O1098" s="630"/>
      <c r="P1098" s="344"/>
      <c r="Q1098" s="344"/>
      <c r="R1098" s="344"/>
      <c r="S1098" s="64"/>
    </row>
    <row r="1099" spans="1:19" s="417" customFormat="1" ht="13.8" x14ac:dyDescent="0.3">
      <c r="A1099" s="406" t="s">
        <v>1242</v>
      </c>
      <c r="B1099" s="631"/>
      <c r="C1099" s="631"/>
      <c r="D1099" s="631"/>
      <c r="E1099" s="631"/>
      <c r="F1099" s="631"/>
      <c r="G1099" s="631"/>
      <c r="H1099" s="631"/>
      <c r="I1099" s="631"/>
      <c r="J1099" s="631"/>
      <c r="K1099" s="631"/>
      <c r="L1099" s="631"/>
      <c r="M1099" s="631"/>
      <c r="N1099" s="631"/>
      <c r="O1099" s="631"/>
      <c r="P1099" s="631"/>
      <c r="Q1099" s="415"/>
      <c r="R1099" s="415"/>
      <c r="S1099" s="416"/>
    </row>
    <row r="1100" spans="1:19" x14ac:dyDescent="0.25">
      <c r="A1100" s="317"/>
      <c r="C1100" s="353"/>
    </row>
    <row r="1101" spans="1:19" x14ac:dyDescent="0.25">
      <c r="A1101" s="357" t="s">
        <v>14</v>
      </c>
      <c r="B1101" s="358" t="s">
        <v>641</v>
      </c>
      <c r="C1101" s="358" t="s">
        <v>15</v>
      </c>
      <c r="D1101" s="344"/>
      <c r="E1101" s="344"/>
      <c r="F1101" s="344"/>
      <c r="G1101" s="344"/>
      <c r="H1101" s="344"/>
      <c r="I1101" s="344"/>
      <c r="J1101" s="344"/>
      <c r="K1101" s="344"/>
      <c r="L1101" s="344"/>
      <c r="M1101" s="344"/>
      <c r="N1101" s="344"/>
      <c r="O1101" s="344"/>
      <c r="P1101" s="344"/>
    </row>
    <row r="1102" spans="1:19" x14ac:dyDescent="0.25">
      <c r="A1102" s="362" t="s">
        <v>16</v>
      </c>
      <c r="B1102" s="363">
        <v>2009</v>
      </c>
      <c r="C1102" s="364">
        <v>2010</v>
      </c>
      <c r="D1102" s="364">
        <v>2011</v>
      </c>
      <c r="E1102" s="364">
        <v>2012</v>
      </c>
      <c r="F1102" s="364">
        <v>2013</v>
      </c>
      <c r="G1102" s="364">
        <v>2014</v>
      </c>
      <c r="H1102" s="364">
        <v>2015</v>
      </c>
      <c r="I1102" s="364">
        <v>2016</v>
      </c>
      <c r="J1102" s="398">
        <v>2017</v>
      </c>
      <c r="K1102" s="398">
        <v>2018</v>
      </c>
      <c r="L1102" s="398">
        <v>2019</v>
      </c>
      <c r="M1102" s="398">
        <v>2020</v>
      </c>
      <c r="N1102" s="364">
        <v>2021</v>
      </c>
      <c r="O1102" s="364">
        <v>2022</v>
      </c>
      <c r="P1102" s="364">
        <v>2023</v>
      </c>
      <c r="Q1102" s="364">
        <v>2024</v>
      </c>
      <c r="R1102" s="364">
        <v>2025</v>
      </c>
    </row>
    <row r="1103" spans="1:19" x14ac:dyDescent="0.25">
      <c r="A1103" s="365" t="s">
        <v>17</v>
      </c>
      <c r="B1103" s="381">
        <v>1080</v>
      </c>
      <c r="C1103" s="381">
        <v>901</v>
      </c>
      <c r="D1103" s="381">
        <v>901</v>
      </c>
      <c r="E1103" s="381">
        <v>901</v>
      </c>
      <c r="F1103" s="381">
        <v>901</v>
      </c>
      <c r="G1103" s="381">
        <v>901</v>
      </c>
      <c r="H1103" s="381">
        <v>901</v>
      </c>
      <c r="I1103" s="381">
        <v>901</v>
      </c>
      <c r="J1103" s="381">
        <v>901</v>
      </c>
      <c r="K1103" s="381">
        <v>901</v>
      </c>
      <c r="L1103" s="381">
        <v>901</v>
      </c>
      <c r="M1103" s="381">
        <v>901</v>
      </c>
      <c r="N1103" s="366">
        <v>901</v>
      </c>
      <c r="O1103" s="366">
        <v>901</v>
      </c>
      <c r="P1103" s="366">
        <v>901</v>
      </c>
      <c r="Q1103" s="366">
        <v>901</v>
      </c>
      <c r="R1103" s="366">
        <v>901</v>
      </c>
    </row>
    <row r="1104" spans="1:19" x14ac:dyDescent="0.25">
      <c r="A1104" s="365" t="s">
        <v>18</v>
      </c>
      <c r="B1104" s="381">
        <v>1775.91</v>
      </c>
      <c r="C1104" s="381">
        <v>1651</v>
      </c>
      <c r="D1104" s="381">
        <v>851</v>
      </c>
      <c r="E1104" s="381">
        <v>1288.26477</v>
      </c>
      <c r="F1104" s="381">
        <v>425.70000000000005</v>
      </c>
      <c r="G1104" s="381">
        <v>1298.56477</v>
      </c>
      <c r="H1104" s="381">
        <v>318.5</v>
      </c>
      <c r="I1104" s="381">
        <v>1359.46477</v>
      </c>
      <c r="J1104" s="381">
        <v>999.7</v>
      </c>
      <c r="K1104" s="381">
        <v>1339.56477</v>
      </c>
      <c r="L1104" s="381">
        <v>1191.2</v>
      </c>
      <c r="M1104" s="381">
        <v>1451</v>
      </c>
      <c r="N1104" s="381">
        <v>1380.1631280000001</v>
      </c>
      <c r="O1104" s="381">
        <f>O1103+600-50</f>
        <v>1451</v>
      </c>
      <c r="P1104" s="381">
        <f>P1103+600-50</f>
        <v>1451</v>
      </c>
      <c r="Q1104" s="381">
        <f>Q1103+600-50</f>
        <v>1451</v>
      </c>
      <c r="R1104" s="381">
        <f>R1103+600-50</f>
        <v>1451</v>
      </c>
    </row>
    <row r="1105" spans="1:18" x14ac:dyDescent="0.25">
      <c r="A1105" s="365" t="s">
        <v>19</v>
      </c>
      <c r="B1105" s="381"/>
      <c r="C1105" s="381"/>
      <c r="D1105" s="381"/>
      <c r="E1105" s="381"/>
      <c r="F1105" s="381"/>
      <c r="G1105" s="381"/>
      <c r="H1105" s="381"/>
      <c r="I1105" s="381"/>
      <c r="J1105" s="381"/>
      <c r="K1105" s="381"/>
      <c r="L1105" s="381"/>
      <c r="M1105" s="381"/>
      <c r="N1105" s="366"/>
      <c r="O1105" s="366"/>
      <c r="P1105" s="366"/>
      <c r="Q1105" s="366"/>
      <c r="R1105" s="366"/>
    </row>
    <row r="1106" spans="1:18" x14ac:dyDescent="0.25">
      <c r="A1106" s="365" t="s">
        <v>20</v>
      </c>
      <c r="B1106" s="381">
        <v>900.11276999999995</v>
      </c>
      <c r="C1106" s="381">
        <v>1213.73523</v>
      </c>
      <c r="D1106" s="381">
        <v>1276.3</v>
      </c>
      <c r="E1106" s="381">
        <v>840.7</v>
      </c>
      <c r="F1106" s="381">
        <v>958.2</v>
      </c>
      <c r="G1106" s="381">
        <v>790.1</v>
      </c>
      <c r="H1106" s="381">
        <v>569.79999999999995</v>
      </c>
      <c r="I1106" s="381">
        <v>870.9</v>
      </c>
      <c r="J1106" s="381">
        <v>659.5</v>
      </c>
      <c r="K1106" s="381">
        <v>698</v>
      </c>
      <c r="L1106" s="381">
        <v>662.0368719999999</v>
      </c>
      <c r="M1106" s="381">
        <v>444</v>
      </c>
      <c r="N1106" s="366">
        <v>659</v>
      </c>
      <c r="O1106" s="366">
        <v>516.5</v>
      </c>
      <c r="P1106" s="366">
        <v>332.1</v>
      </c>
      <c r="Q1106" s="366">
        <v>385.7</v>
      </c>
      <c r="R1106" s="366" t="s">
        <v>1142</v>
      </c>
    </row>
    <row r="1107" spans="1:18" x14ac:dyDescent="0.25">
      <c r="A1107" s="365" t="s">
        <v>21</v>
      </c>
      <c r="B1107" s="381">
        <v>875.79723000000013</v>
      </c>
      <c r="C1107" s="381">
        <v>437.26477</v>
      </c>
      <c r="D1107" s="381">
        <v>425.3</v>
      </c>
      <c r="E1107" s="381">
        <v>447.56476999999995</v>
      </c>
      <c r="F1107" s="381">
        <v>532.5</v>
      </c>
      <c r="G1107" s="381">
        <v>508.46476999999993</v>
      </c>
      <c r="H1107" s="381">
        <v>148.70000000000005</v>
      </c>
      <c r="I1107" s="381">
        <v>488.56477000000007</v>
      </c>
      <c r="J1107" s="381">
        <v>340.20000000000005</v>
      </c>
      <c r="K1107" s="381">
        <v>641.56476999999995</v>
      </c>
      <c r="L1107" s="381">
        <v>529.16312800000014</v>
      </c>
      <c r="M1107" s="381">
        <f>M1104-M1106</f>
        <v>1007</v>
      </c>
      <c r="N1107" s="366">
        <f>N1104-N1106</f>
        <v>721.16312800000014</v>
      </c>
      <c r="O1107" s="366">
        <f>O1104-O1106</f>
        <v>934.5</v>
      </c>
      <c r="P1107" s="366">
        <f>P1104-P1106</f>
        <v>1118.9000000000001</v>
      </c>
      <c r="Q1107" s="366">
        <f>Q1104-Q1106</f>
        <v>1065.3</v>
      </c>
      <c r="R1107" s="366" t="s">
        <v>1142</v>
      </c>
    </row>
    <row r="1108" spans="1:18" x14ac:dyDescent="0.25">
      <c r="A1108" s="369" t="s">
        <v>22</v>
      </c>
      <c r="B1108" s="382">
        <v>2011</v>
      </c>
      <c r="C1108" s="382">
        <v>2012</v>
      </c>
      <c r="D1108" s="382">
        <v>2013</v>
      </c>
      <c r="E1108" s="382">
        <v>2014</v>
      </c>
      <c r="F1108" s="382">
        <v>2015</v>
      </c>
      <c r="G1108" s="382">
        <v>2016</v>
      </c>
      <c r="H1108" s="382">
        <v>2017</v>
      </c>
      <c r="I1108" s="382">
        <v>2018</v>
      </c>
      <c r="J1108" s="382">
        <v>2019</v>
      </c>
      <c r="K1108" s="382">
        <v>2020</v>
      </c>
      <c r="L1108" s="382">
        <v>2021</v>
      </c>
      <c r="M1108" s="382">
        <v>2022</v>
      </c>
      <c r="N1108" s="382">
        <v>2023</v>
      </c>
      <c r="O1108" s="382">
        <v>2024</v>
      </c>
      <c r="P1108" s="382">
        <v>2025</v>
      </c>
      <c r="Q1108" s="382">
        <v>2026</v>
      </c>
      <c r="R1108" s="382">
        <v>2027</v>
      </c>
    </row>
    <row r="1109" spans="1:18" x14ac:dyDescent="0.25">
      <c r="A1109" s="369" t="s">
        <v>179</v>
      </c>
      <c r="B1109" s="408"/>
      <c r="C1109" s="408"/>
      <c r="D1109" s="408"/>
      <c r="E1109" s="408"/>
      <c r="F1109" s="408"/>
      <c r="G1109" s="408"/>
      <c r="H1109" s="408"/>
      <c r="I1109" s="408"/>
      <c r="J1109" s="408"/>
      <c r="K1109" s="408"/>
      <c r="L1109" s="408"/>
      <c r="M1109" s="408"/>
      <c r="N1109" s="408"/>
      <c r="O1109" s="408"/>
      <c r="P1109" s="408"/>
      <c r="Q1109" s="408"/>
      <c r="R1109" s="409"/>
    </row>
    <row r="1110" spans="1:18" x14ac:dyDescent="0.25">
      <c r="A1110" s="369" t="s">
        <v>416</v>
      </c>
      <c r="B1110" s="408"/>
      <c r="C1110" s="408"/>
      <c r="D1110" s="408"/>
      <c r="E1110" s="408"/>
      <c r="F1110" s="408"/>
      <c r="G1110" s="408"/>
      <c r="H1110" s="408"/>
      <c r="I1110" s="408"/>
      <c r="J1110" s="408"/>
      <c r="K1110" s="408"/>
      <c r="L1110" s="408"/>
      <c r="M1110" s="408"/>
      <c r="N1110" s="408"/>
      <c r="O1110" s="408"/>
      <c r="P1110" s="408"/>
      <c r="Q1110" s="408"/>
      <c r="R1110" s="409"/>
    </row>
    <row r="1111" spans="1:18" x14ac:dyDescent="0.25">
      <c r="A1111" s="374" t="s">
        <v>417</v>
      </c>
      <c r="B1111" s="344"/>
      <c r="C1111" s="344"/>
      <c r="D1111" s="344"/>
      <c r="E1111" s="344"/>
      <c r="F1111" s="344"/>
      <c r="G1111" s="344"/>
      <c r="H1111" s="344"/>
      <c r="I1111" s="344"/>
      <c r="J1111" s="344"/>
      <c r="K1111" s="344"/>
      <c r="L1111" s="344"/>
      <c r="M1111" s="344"/>
      <c r="N1111" s="344"/>
      <c r="O1111" s="344"/>
      <c r="P1111" s="344"/>
      <c r="Q1111" s="344"/>
      <c r="R1111" s="403"/>
    </row>
    <row r="1112" spans="1:18" x14ac:dyDescent="0.25">
      <c r="A1112" s="374" t="s">
        <v>418</v>
      </c>
      <c r="B1112" s="344"/>
      <c r="C1112" s="344"/>
      <c r="D1112" s="344"/>
      <c r="E1112" s="344"/>
      <c r="F1112" s="344"/>
      <c r="G1112" s="344"/>
      <c r="H1112" s="344"/>
      <c r="I1112" s="344"/>
      <c r="J1112" s="344"/>
      <c r="K1112" s="344"/>
      <c r="L1112" s="344"/>
      <c r="M1112" s="344"/>
      <c r="N1112" s="344"/>
      <c r="O1112" s="344"/>
      <c r="P1112" s="344"/>
      <c r="Q1112" s="344"/>
      <c r="R1112" s="403"/>
    </row>
    <row r="1113" spans="1:18" x14ac:dyDescent="0.25">
      <c r="A1113" s="374" t="s">
        <v>419</v>
      </c>
      <c r="B1113" s="344"/>
      <c r="C1113" s="344"/>
      <c r="D1113" s="344"/>
      <c r="E1113" s="344"/>
      <c r="F1113" s="344"/>
      <c r="G1113" s="344"/>
      <c r="H1113" s="344"/>
      <c r="I1113" s="344"/>
      <c r="J1113" s="344"/>
      <c r="K1113" s="344"/>
      <c r="L1113" s="344"/>
      <c r="M1113" s="344"/>
      <c r="N1113" s="344"/>
      <c r="O1113" s="344"/>
      <c r="P1113" s="344"/>
      <c r="Q1113" s="344"/>
      <c r="R1113" s="403"/>
    </row>
    <row r="1114" spans="1:18" x14ac:dyDescent="0.25">
      <c r="A1114" s="374" t="s">
        <v>420</v>
      </c>
      <c r="B1114" s="375"/>
      <c r="C1114" s="377"/>
      <c r="D1114" s="376"/>
      <c r="E1114" s="344"/>
      <c r="F1114" s="344"/>
      <c r="G1114" s="377"/>
      <c r="H1114" s="344"/>
      <c r="I1114" s="344"/>
      <c r="J1114" s="344"/>
      <c r="K1114" s="344"/>
      <c r="L1114" s="344"/>
      <c r="M1114" s="344"/>
      <c r="N1114" s="344"/>
      <c r="O1114" s="344"/>
      <c r="P1114" s="344"/>
      <c r="Q1114" s="344"/>
      <c r="R1114" s="403"/>
    </row>
    <row r="1115" spans="1:18" x14ac:dyDescent="0.25">
      <c r="A1115" s="374" t="s">
        <v>421</v>
      </c>
      <c r="B1115" s="344"/>
      <c r="C1115" s="344"/>
      <c r="D1115" s="344"/>
      <c r="E1115" s="344"/>
      <c r="F1115" s="344"/>
      <c r="G1115" s="377"/>
      <c r="H1115" s="344"/>
      <c r="I1115" s="344"/>
      <c r="J1115" s="344"/>
      <c r="K1115" s="344"/>
      <c r="L1115" s="344"/>
      <c r="M1115" s="344"/>
      <c r="N1115" s="344"/>
      <c r="O1115" s="344"/>
      <c r="P1115" s="344"/>
      <c r="Q1115" s="344"/>
      <c r="R1115" s="403"/>
    </row>
    <row r="1116" spans="1:18" x14ac:dyDescent="0.25">
      <c r="A1116" s="374" t="s">
        <v>422</v>
      </c>
      <c r="B1116" s="344"/>
      <c r="C1116" s="344"/>
      <c r="D1116" s="344"/>
      <c r="E1116" s="344"/>
      <c r="F1116" s="344"/>
      <c r="G1116" s="377"/>
      <c r="H1116" s="344"/>
      <c r="I1116" s="344"/>
      <c r="J1116" s="344"/>
      <c r="K1116" s="344"/>
      <c r="L1116" s="344"/>
      <c r="M1116" s="344"/>
      <c r="N1116" s="344"/>
      <c r="O1116" s="344"/>
      <c r="P1116" s="344"/>
      <c r="Q1116" s="344"/>
      <c r="R1116" s="403"/>
    </row>
    <row r="1117" spans="1:18" x14ac:dyDescent="0.25">
      <c r="A1117" s="374" t="s">
        <v>423</v>
      </c>
      <c r="B1117" s="344"/>
      <c r="C1117" s="344"/>
      <c r="D1117" s="344"/>
      <c r="E1117" s="344"/>
      <c r="F1117" s="344"/>
      <c r="G1117" s="377"/>
      <c r="H1117" s="344"/>
      <c r="I1117" s="344"/>
      <c r="J1117" s="344"/>
      <c r="K1117" s="344"/>
      <c r="L1117" s="344"/>
      <c r="M1117" s="344"/>
      <c r="N1117" s="344"/>
      <c r="O1117" s="344"/>
      <c r="P1117" s="344"/>
      <c r="Q1117" s="344"/>
      <c r="R1117" s="403"/>
    </row>
    <row r="1118" spans="1:18" x14ac:dyDescent="0.25">
      <c r="A1118" s="404" t="s">
        <v>424</v>
      </c>
      <c r="B1118" s="344"/>
      <c r="C1118" s="344"/>
      <c r="D1118" s="344"/>
      <c r="E1118" s="344"/>
      <c r="F1118" s="344"/>
      <c r="G1118" s="405"/>
      <c r="H1118" s="344"/>
      <c r="I1118" s="344"/>
      <c r="J1118" s="344"/>
      <c r="K1118" s="344"/>
      <c r="L1118" s="344"/>
      <c r="M1118" s="344"/>
      <c r="N1118" s="344"/>
      <c r="O1118" s="344"/>
      <c r="P1118" s="344"/>
      <c r="Q1118" s="344"/>
      <c r="R1118" s="403"/>
    </row>
    <row r="1119" spans="1:18" x14ac:dyDescent="0.25">
      <c r="A1119" s="389" t="s">
        <v>228</v>
      </c>
      <c r="B1119" s="344"/>
      <c r="C1119" s="344"/>
      <c r="D1119" s="344"/>
      <c r="E1119" s="344"/>
      <c r="F1119" s="344"/>
      <c r="G1119" s="344"/>
      <c r="H1119" s="344"/>
      <c r="I1119" s="344"/>
      <c r="J1119" s="344"/>
      <c r="K1119" s="344"/>
      <c r="L1119" s="344"/>
      <c r="M1119" s="344"/>
      <c r="N1119" s="344"/>
      <c r="O1119" s="344"/>
      <c r="P1119" s="344"/>
      <c r="Q1119" s="344"/>
      <c r="R1119" s="403"/>
    </row>
    <row r="1120" spans="1:18" x14ac:dyDescent="0.25">
      <c r="A1120" s="389" t="s">
        <v>229</v>
      </c>
      <c r="B1120" s="344"/>
      <c r="C1120" s="344"/>
      <c r="D1120" s="344"/>
      <c r="E1120" s="344"/>
      <c r="F1120" s="344"/>
      <c r="G1120" s="344"/>
      <c r="H1120" s="344"/>
      <c r="I1120" s="344"/>
      <c r="J1120" s="344"/>
      <c r="K1120" s="344"/>
      <c r="L1120" s="344"/>
      <c r="M1120" s="344"/>
      <c r="N1120" s="344"/>
      <c r="O1120" s="344"/>
      <c r="P1120" s="344"/>
      <c r="Q1120" s="344"/>
      <c r="R1120" s="403"/>
    </row>
    <row r="1121" spans="1:18" x14ac:dyDescent="0.25">
      <c r="A1121" s="389" t="s">
        <v>425</v>
      </c>
      <c r="B1121" s="344"/>
      <c r="C1121" s="344"/>
      <c r="D1121" s="344"/>
      <c r="E1121" s="344"/>
      <c r="F1121" s="344"/>
      <c r="G1121" s="344"/>
      <c r="H1121" s="344"/>
      <c r="I1121" s="344"/>
      <c r="J1121" s="344"/>
      <c r="K1121" s="344"/>
      <c r="L1121" s="344"/>
      <c r="M1121" s="344"/>
      <c r="N1121" s="344"/>
      <c r="O1121" s="344"/>
      <c r="P1121" s="344"/>
      <c r="Q1121" s="344"/>
      <c r="R1121" s="403"/>
    </row>
    <row r="1122" spans="1:18" x14ac:dyDescent="0.25">
      <c r="A1122" s="389" t="s">
        <v>640</v>
      </c>
      <c r="B1122" s="344"/>
      <c r="C1122" s="344"/>
      <c r="D1122" s="344"/>
      <c r="E1122" s="344"/>
      <c r="F1122" s="344"/>
      <c r="G1122" s="344"/>
      <c r="H1122" s="344"/>
      <c r="I1122" s="344"/>
      <c r="J1122" s="344"/>
      <c r="K1122" s="344"/>
      <c r="L1122" s="344"/>
      <c r="M1122" s="344"/>
      <c r="N1122" s="344"/>
      <c r="O1122" s="344"/>
      <c r="P1122" s="344"/>
      <c r="Q1122" s="344"/>
      <c r="R1122" s="403"/>
    </row>
    <row r="1123" spans="1:18" x14ac:dyDescent="0.25">
      <c r="A1123" s="389" t="s">
        <v>808</v>
      </c>
      <c r="B1123" s="344"/>
      <c r="C1123" s="344"/>
      <c r="D1123" s="344"/>
      <c r="E1123" s="344"/>
      <c r="F1123" s="344"/>
      <c r="G1123" s="344"/>
      <c r="H1123" s="344"/>
      <c r="I1123" s="344"/>
      <c r="J1123" s="344"/>
      <c r="K1123" s="344"/>
      <c r="L1123" s="344"/>
      <c r="M1123" s="344"/>
      <c r="N1123" s="344"/>
      <c r="O1123" s="344"/>
      <c r="P1123" s="344"/>
      <c r="Q1123" s="344"/>
      <c r="R1123" s="403"/>
    </row>
    <row r="1124" spans="1:18" x14ac:dyDescent="0.25">
      <c r="A1124" s="389" t="s">
        <v>1042</v>
      </c>
      <c r="B1124" s="344"/>
      <c r="C1124" s="344"/>
      <c r="D1124" s="344"/>
      <c r="E1124" s="344"/>
      <c r="F1124" s="344"/>
      <c r="G1124" s="344"/>
      <c r="H1124" s="344"/>
      <c r="I1124" s="344"/>
      <c r="J1124" s="344"/>
      <c r="K1124" s="344"/>
      <c r="L1124" s="344"/>
      <c r="M1124" s="344"/>
      <c r="N1124" s="344"/>
      <c r="O1124" s="344"/>
      <c r="P1124" s="344"/>
      <c r="Q1124" s="344"/>
      <c r="R1124" s="403"/>
    </row>
    <row r="1125" spans="1:18" x14ac:dyDescent="0.25">
      <c r="A1125" s="410" t="s">
        <v>1091</v>
      </c>
      <c r="B1125" s="378"/>
      <c r="C1125" s="378"/>
      <c r="D1125" s="378"/>
      <c r="E1125" s="378"/>
      <c r="F1125" s="378"/>
      <c r="G1125" s="378"/>
      <c r="H1125" s="378"/>
      <c r="I1125" s="378"/>
      <c r="J1125" s="378"/>
      <c r="K1125" s="378"/>
      <c r="L1125" s="378"/>
      <c r="M1125" s="378"/>
      <c r="N1125" s="378"/>
      <c r="O1125" s="378"/>
      <c r="P1125" s="378"/>
      <c r="Q1125" s="378"/>
      <c r="R1125" s="407"/>
    </row>
    <row r="1126" spans="1:18" x14ac:dyDescent="0.25">
      <c r="A1126" s="317"/>
      <c r="C1126" s="353"/>
    </row>
    <row r="1127" spans="1:18" x14ac:dyDescent="0.25">
      <c r="A1127" s="357" t="s">
        <v>14</v>
      </c>
      <c r="B1127" s="358" t="s">
        <v>642</v>
      </c>
      <c r="C1127" s="411" t="s">
        <v>15</v>
      </c>
      <c r="D1127" s="344"/>
      <c r="E1127" s="344"/>
      <c r="F1127" s="344"/>
      <c r="G1127" s="344"/>
      <c r="H1127" s="344"/>
      <c r="I1127" s="344"/>
      <c r="J1127" s="344"/>
      <c r="K1127" s="344"/>
      <c r="L1127" s="344"/>
      <c r="M1127" s="344"/>
    </row>
    <row r="1128" spans="1:18" s="50" customFormat="1" ht="14.4" x14ac:dyDescent="0.3">
      <c r="A1128" s="365" t="s">
        <v>16</v>
      </c>
      <c r="B1128" s="364">
        <v>2009</v>
      </c>
      <c r="C1128" s="364">
        <v>2010</v>
      </c>
      <c r="D1128" s="364">
        <v>2011</v>
      </c>
      <c r="E1128" s="364">
        <v>2012</v>
      </c>
      <c r="F1128" s="364">
        <v>2013</v>
      </c>
      <c r="G1128" s="364">
        <v>2014</v>
      </c>
      <c r="H1128" s="364">
        <v>2015</v>
      </c>
      <c r="I1128" s="364">
        <v>2016</v>
      </c>
      <c r="J1128" s="364">
        <v>2017</v>
      </c>
      <c r="K1128" s="364">
        <v>2018</v>
      </c>
      <c r="L1128" s="364">
        <v>2019</v>
      </c>
      <c r="M1128" s="364">
        <v>2020</v>
      </c>
      <c r="N1128" s="364">
        <v>2021</v>
      </c>
      <c r="O1128" s="364">
        <v>2022</v>
      </c>
      <c r="P1128" s="364">
        <v>2023</v>
      </c>
      <c r="Q1128" s="364">
        <v>2024</v>
      </c>
      <c r="R1128" s="364">
        <v>2025</v>
      </c>
    </row>
    <row r="1129" spans="1:18" s="50" customFormat="1" ht="14.4" x14ac:dyDescent="0.3">
      <c r="A1129" s="365" t="s">
        <v>17</v>
      </c>
      <c r="B1129" s="412">
        <v>1871.44</v>
      </c>
      <c r="C1129" s="412">
        <v>1148.05</v>
      </c>
      <c r="D1129" s="412">
        <v>1097.03</v>
      </c>
      <c r="E1129" s="412">
        <v>1097.03</v>
      </c>
      <c r="F1129" s="412">
        <v>1139.55</v>
      </c>
      <c r="G1129" s="412">
        <v>1139.55</v>
      </c>
      <c r="H1129" s="412">
        <v>1345.44</v>
      </c>
      <c r="I1129" s="412">
        <v>1608.21</v>
      </c>
      <c r="J1129" s="412">
        <v>1930.88</v>
      </c>
      <c r="K1129" s="412">
        <v>2279</v>
      </c>
      <c r="L1129" s="412">
        <v>2544</v>
      </c>
      <c r="M1129" s="412">
        <v>2819</v>
      </c>
      <c r="N1129" s="381">
        <v>2819</v>
      </c>
      <c r="O1129" s="381">
        <v>2819</v>
      </c>
      <c r="P1129" s="381">
        <v>3114</v>
      </c>
      <c r="Q1129" s="381">
        <v>3114</v>
      </c>
      <c r="R1129" s="381">
        <v>3114</v>
      </c>
    </row>
    <row r="1130" spans="1:18" s="50" customFormat="1" ht="14.4" x14ac:dyDescent="0.3">
      <c r="A1130" s="365" t="s">
        <v>18</v>
      </c>
      <c r="B1130" s="412">
        <v>1871.44</v>
      </c>
      <c r="C1130" s="412">
        <v>1148.05</v>
      </c>
      <c r="D1130" s="412">
        <v>1097.03</v>
      </c>
      <c r="E1130" s="412">
        <v>1097.03</v>
      </c>
      <c r="F1130" s="412">
        <v>1139.55</v>
      </c>
      <c r="G1130" s="412">
        <v>1139.55</v>
      </c>
      <c r="H1130" s="412">
        <v>1390.44</v>
      </c>
      <c r="I1130" s="412">
        <v>1583.21</v>
      </c>
      <c r="J1130" s="412">
        <v>1910.88</v>
      </c>
      <c r="K1130" s="412">
        <v>2279</v>
      </c>
      <c r="L1130" s="412">
        <v>2544</v>
      </c>
      <c r="M1130" s="412">
        <v>2839.27</v>
      </c>
      <c r="N1130" s="381">
        <f>N1129+M1133</f>
        <v>2876.6439600000003</v>
      </c>
      <c r="O1130" s="381">
        <f>O1129+N1133</f>
        <v>2915.6539600000006</v>
      </c>
      <c r="P1130" s="381">
        <f>P1129+O1133</f>
        <v>3158.3939600000003</v>
      </c>
      <c r="Q1130" s="381">
        <v>3184.4</v>
      </c>
      <c r="R1130" s="381">
        <v>3269.7</v>
      </c>
    </row>
    <row r="1131" spans="1:18" s="50" customFormat="1" ht="14.4" x14ac:dyDescent="0.3">
      <c r="A1131" s="365" t="s">
        <v>19</v>
      </c>
      <c r="B1131" s="381"/>
      <c r="C1131" s="381"/>
      <c r="D1131" s="381"/>
      <c r="E1131" s="381"/>
      <c r="F1131" s="381"/>
      <c r="G1131" s="381"/>
      <c r="H1131" s="381"/>
      <c r="I1131" s="381"/>
      <c r="J1131" s="381"/>
      <c r="K1131" s="381"/>
      <c r="L1131" s="381"/>
      <c r="M1131" s="381"/>
      <c r="N1131" s="381"/>
      <c r="O1131" s="381"/>
      <c r="P1131" s="381"/>
      <c r="Q1131" s="381"/>
      <c r="R1131" s="381"/>
    </row>
    <row r="1132" spans="1:18" s="50" customFormat="1" ht="14.4" x14ac:dyDescent="0.3">
      <c r="A1132" s="365" t="s">
        <v>20</v>
      </c>
      <c r="B1132" s="412">
        <v>1858.2</v>
      </c>
      <c r="C1132" s="381">
        <v>1139.2777599999999</v>
      </c>
      <c r="D1132" s="381">
        <v>1088.8235599999998</v>
      </c>
      <c r="E1132" s="381">
        <v>1092.5993599999999</v>
      </c>
      <c r="F1132" s="381">
        <v>1128.97</v>
      </c>
      <c r="G1132" s="381">
        <v>1134.47</v>
      </c>
      <c r="H1132" s="381">
        <v>1385.92</v>
      </c>
      <c r="I1132" s="381">
        <v>1578.37</v>
      </c>
      <c r="J1132" s="381">
        <v>1910.65104</v>
      </c>
      <c r="K1132" s="381">
        <v>2269.7609000000002</v>
      </c>
      <c r="L1132" s="381">
        <v>2523.73</v>
      </c>
      <c r="M1132" s="381">
        <v>2781.6260399999996</v>
      </c>
      <c r="N1132" s="381">
        <v>2779.99</v>
      </c>
      <c r="O1132" s="381">
        <v>2871.26</v>
      </c>
      <c r="P1132" s="381">
        <v>3087.99</v>
      </c>
      <c r="Q1132" s="381">
        <v>2988.88</v>
      </c>
      <c r="R1132" s="381" t="s">
        <v>1142</v>
      </c>
    </row>
    <row r="1133" spans="1:18" s="50" customFormat="1" ht="14.4" x14ac:dyDescent="0.3">
      <c r="A1133" s="365" t="s">
        <v>21</v>
      </c>
      <c r="B1133" s="381">
        <v>13.240000000000009</v>
      </c>
      <c r="C1133" s="381">
        <v>8.7722400000000107</v>
      </c>
      <c r="D1133" s="381">
        <v>8.2064400000001569</v>
      </c>
      <c r="E1133" s="381">
        <v>4.4306400000000394</v>
      </c>
      <c r="F1133" s="381">
        <v>10.579999999999927</v>
      </c>
      <c r="G1133" s="381">
        <v>5.0799999999999272</v>
      </c>
      <c r="H1133" s="381">
        <v>4.5199999999999818</v>
      </c>
      <c r="I1133" s="381">
        <v>4.8400000000001455</v>
      </c>
      <c r="J1133" s="381">
        <v>0.22896000000014283</v>
      </c>
      <c r="K1133" s="381">
        <v>9.2390999999997803</v>
      </c>
      <c r="L1133" s="381">
        <v>20.269999999999982</v>
      </c>
      <c r="M1133" s="381">
        <v>57.643960000000334</v>
      </c>
      <c r="N1133" s="381">
        <f>N1130-N1132</f>
        <v>96.653960000000552</v>
      </c>
      <c r="O1133" s="381">
        <f>O1130-O1132</f>
        <v>44.393960000000334</v>
      </c>
      <c r="P1133" s="381">
        <f>P1130-P1132</f>
        <v>70.403960000000552</v>
      </c>
      <c r="Q1133" s="381">
        <v>195.51999999999998</v>
      </c>
      <c r="R1133" s="381" t="s">
        <v>1142</v>
      </c>
    </row>
    <row r="1134" spans="1:18" s="50" customFormat="1" ht="14.4" x14ac:dyDescent="0.3">
      <c r="A1134" s="369" t="s">
        <v>22</v>
      </c>
      <c r="B1134" s="382"/>
      <c r="C1134" s="382"/>
      <c r="D1134" s="382"/>
      <c r="E1134" s="382"/>
      <c r="F1134" s="382"/>
      <c r="G1134" s="382"/>
      <c r="H1134" s="382"/>
      <c r="I1134" s="382"/>
      <c r="J1134" s="382"/>
      <c r="K1134" s="382"/>
      <c r="L1134" s="382">
        <v>2020</v>
      </c>
      <c r="M1134" s="382">
        <v>2021</v>
      </c>
      <c r="N1134" s="382">
        <v>2022</v>
      </c>
      <c r="O1134" s="382">
        <v>2023</v>
      </c>
      <c r="P1134" s="382">
        <v>2024</v>
      </c>
      <c r="Q1134" s="382">
        <v>2025</v>
      </c>
      <c r="R1134" s="381"/>
    </row>
    <row r="1135" spans="1:18" s="50" customFormat="1" ht="14.4" x14ac:dyDescent="0.3">
      <c r="A1135" s="384" t="s">
        <v>179</v>
      </c>
      <c r="B1135" s="385"/>
      <c r="C1135" s="385"/>
      <c r="D1135" s="385"/>
      <c r="E1135" s="385"/>
      <c r="F1135" s="385"/>
      <c r="G1135" s="385"/>
      <c r="H1135" s="385"/>
      <c r="I1135" s="385"/>
      <c r="J1135" s="385"/>
      <c r="K1135" s="385"/>
      <c r="L1135" s="385"/>
      <c r="M1135" s="385"/>
      <c r="N1135" s="385"/>
      <c r="O1135" s="385"/>
      <c r="P1135" s="385"/>
      <c r="Q1135" s="385"/>
      <c r="R1135" s="413"/>
    </row>
    <row r="1136" spans="1:18" s="50" customFormat="1" ht="14.4" x14ac:dyDescent="0.3">
      <c r="A1136" s="371" t="s">
        <v>192</v>
      </c>
      <c r="B1136" s="373"/>
      <c r="C1136" s="373"/>
      <c r="D1136" s="373"/>
      <c r="E1136" s="373"/>
      <c r="F1136" s="373"/>
      <c r="G1136" s="373"/>
      <c r="H1136" s="373"/>
      <c r="I1136" s="373"/>
      <c r="J1136" s="373"/>
      <c r="K1136" s="373"/>
      <c r="L1136" s="373"/>
      <c r="M1136" s="373"/>
      <c r="N1136" s="373"/>
      <c r="O1136" s="373"/>
      <c r="P1136" s="373"/>
      <c r="Q1136" s="373"/>
      <c r="R1136" s="55"/>
    </row>
    <row r="1137" spans="1:18" s="50" customFormat="1" ht="14.4" x14ac:dyDescent="0.3">
      <c r="A1137" s="374" t="s">
        <v>193</v>
      </c>
      <c r="B1137" s="344"/>
      <c r="C1137" s="344"/>
      <c r="D1137" s="344"/>
      <c r="E1137" s="344"/>
      <c r="F1137" s="344"/>
      <c r="G1137" s="344"/>
      <c r="H1137" s="344"/>
      <c r="I1137" s="344"/>
      <c r="J1137" s="344"/>
      <c r="K1137" s="344"/>
      <c r="L1137" s="344"/>
      <c r="M1137" s="344"/>
      <c r="N1137" s="344"/>
      <c r="O1137" s="344"/>
      <c r="P1137" s="344"/>
      <c r="Q1137" s="344"/>
      <c r="R1137" s="57"/>
    </row>
    <row r="1138" spans="1:18" s="50" customFormat="1" ht="14.4" x14ac:dyDescent="0.3">
      <c r="A1138" s="374" t="s">
        <v>194</v>
      </c>
      <c r="B1138" s="344"/>
      <c r="C1138" s="344"/>
      <c r="D1138" s="344"/>
      <c r="E1138" s="344"/>
      <c r="F1138" s="344"/>
      <c r="G1138" s="344"/>
      <c r="H1138" s="344"/>
      <c r="I1138" s="344"/>
      <c r="J1138" s="344"/>
      <c r="K1138" s="344"/>
      <c r="L1138" s="344"/>
      <c r="M1138" s="344"/>
      <c r="N1138" s="344"/>
      <c r="O1138" s="344"/>
      <c r="P1138" s="344"/>
      <c r="Q1138" s="344"/>
      <c r="R1138" s="57"/>
    </row>
    <row r="1139" spans="1:18" s="50" customFormat="1" ht="14.4" x14ac:dyDescent="0.3">
      <c r="A1139" s="374" t="s">
        <v>195</v>
      </c>
      <c r="B1139" s="344"/>
      <c r="C1139" s="344"/>
      <c r="D1139" s="344"/>
      <c r="E1139" s="344"/>
      <c r="F1139" s="344"/>
      <c r="G1139" s="344"/>
      <c r="H1139" s="344"/>
      <c r="I1139" s="344"/>
      <c r="J1139" s="344"/>
      <c r="K1139" s="344"/>
      <c r="L1139" s="344"/>
      <c r="M1139" s="344"/>
      <c r="N1139" s="344"/>
      <c r="O1139" s="344"/>
      <c r="P1139" s="344"/>
      <c r="Q1139" s="344"/>
      <c r="R1139" s="57"/>
    </row>
    <row r="1140" spans="1:18" s="50" customFormat="1" ht="14.4" x14ac:dyDescent="0.3">
      <c r="A1140" s="389" t="s">
        <v>230</v>
      </c>
      <c r="B1140" s="375"/>
      <c r="C1140" s="377"/>
      <c r="D1140" s="376"/>
      <c r="E1140" s="344"/>
      <c r="F1140" s="344"/>
      <c r="G1140" s="377"/>
      <c r="H1140" s="344"/>
      <c r="I1140" s="344"/>
      <c r="J1140" s="344"/>
      <c r="K1140" s="344"/>
      <c r="L1140" s="344"/>
      <c r="M1140" s="344"/>
      <c r="N1140" s="344"/>
      <c r="O1140" s="344"/>
      <c r="P1140" s="344"/>
      <c r="Q1140" s="344"/>
      <c r="R1140" s="57"/>
    </row>
    <row r="1141" spans="1:18" s="50" customFormat="1" ht="14.4" x14ac:dyDescent="0.3">
      <c r="A1141" s="389" t="s">
        <v>272</v>
      </c>
      <c r="B1141" s="375"/>
      <c r="C1141" s="377"/>
      <c r="D1141" s="376"/>
      <c r="E1141" s="344"/>
      <c r="F1141" s="344"/>
      <c r="G1141" s="377"/>
      <c r="H1141" s="344"/>
      <c r="I1141" s="344"/>
      <c r="J1141" s="344"/>
      <c r="K1141" s="344"/>
      <c r="L1141" s="344"/>
      <c r="M1141" s="344"/>
      <c r="N1141" s="344"/>
      <c r="O1141" s="344"/>
      <c r="P1141" s="344"/>
      <c r="Q1141" s="344"/>
      <c r="R1141" s="57"/>
    </row>
    <row r="1142" spans="1:18" s="50" customFormat="1" ht="14.4" x14ac:dyDescent="0.3">
      <c r="A1142" s="389" t="s">
        <v>461</v>
      </c>
      <c r="B1142" s="375"/>
      <c r="C1142" s="377"/>
      <c r="D1142" s="376"/>
      <c r="E1142" s="344"/>
      <c r="F1142" s="344"/>
      <c r="G1142" s="377"/>
      <c r="H1142" s="344"/>
      <c r="I1142" s="344"/>
      <c r="J1142" s="344"/>
      <c r="K1142" s="344"/>
      <c r="L1142" s="344"/>
      <c r="M1142" s="344"/>
      <c r="N1142" s="344"/>
      <c r="O1142" s="344"/>
      <c r="P1142" s="344"/>
      <c r="Q1142" s="344"/>
      <c r="R1142" s="57"/>
    </row>
    <row r="1143" spans="1:18" s="50" customFormat="1" ht="14.4" x14ac:dyDescent="0.3">
      <c r="A1143" s="389" t="s">
        <v>643</v>
      </c>
      <c r="B1143" s="375"/>
      <c r="C1143" s="377"/>
      <c r="D1143" s="376"/>
      <c r="E1143" s="344"/>
      <c r="F1143" s="344"/>
      <c r="G1143" s="377"/>
      <c r="H1143" s="344"/>
      <c r="I1143" s="344"/>
      <c r="J1143" s="344"/>
      <c r="K1143" s="344"/>
      <c r="L1143" s="344"/>
      <c r="M1143" s="344"/>
      <c r="N1143" s="344"/>
      <c r="O1143" s="344"/>
      <c r="P1143" s="344"/>
      <c r="Q1143" s="344"/>
      <c r="R1143" s="57"/>
    </row>
    <row r="1144" spans="1:18" s="50" customFormat="1" ht="14.4" x14ac:dyDescent="0.3">
      <c r="A1144" s="389" t="s">
        <v>231</v>
      </c>
      <c r="B1144" s="375"/>
      <c r="C1144" s="377"/>
      <c r="D1144" s="376"/>
      <c r="E1144" s="344"/>
      <c r="F1144" s="344"/>
      <c r="G1144" s="377"/>
      <c r="H1144" s="344"/>
      <c r="I1144" s="344"/>
      <c r="J1144" s="344"/>
      <c r="K1144" s="344"/>
      <c r="L1144" s="344"/>
      <c r="M1144" s="344"/>
      <c r="N1144" s="344"/>
      <c r="O1144" s="344"/>
      <c r="P1144" s="344"/>
      <c r="Q1144" s="344"/>
      <c r="R1144" s="57"/>
    </row>
    <row r="1145" spans="1:18" s="50" customFormat="1" ht="14.4" x14ac:dyDescent="0.3">
      <c r="A1145" s="389" t="s">
        <v>273</v>
      </c>
      <c r="B1145" s="375"/>
      <c r="C1145" s="377"/>
      <c r="D1145" s="376"/>
      <c r="E1145" s="344"/>
      <c r="F1145" s="344"/>
      <c r="G1145" s="377"/>
      <c r="H1145" s="344"/>
      <c r="I1145" s="344"/>
      <c r="J1145" s="344"/>
      <c r="K1145" s="344"/>
      <c r="L1145" s="344"/>
      <c r="M1145" s="344"/>
      <c r="N1145" s="344"/>
      <c r="O1145" s="344"/>
      <c r="P1145" s="344"/>
      <c r="Q1145" s="344"/>
      <c r="R1145" s="57"/>
    </row>
    <row r="1146" spans="1:18" s="50" customFormat="1" ht="14.4" x14ac:dyDescent="0.3">
      <c r="A1146" s="389" t="s">
        <v>462</v>
      </c>
      <c r="B1146" s="375"/>
      <c r="C1146" s="377"/>
      <c r="D1146" s="376"/>
      <c r="E1146" s="344"/>
      <c r="F1146" s="344"/>
      <c r="G1146" s="377"/>
      <c r="H1146" s="344"/>
      <c r="I1146" s="344"/>
      <c r="J1146" s="344"/>
      <c r="K1146" s="344"/>
      <c r="L1146" s="344"/>
      <c r="M1146" s="344"/>
      <c r="N1146" s="344"/>
      <c r="O1146" s="344"/>
      <c r="P1146" s="344"/>
      <c r="Q1146" s="344"/>
      <c r="R1146" s="57"/>
    </row>
    <row r="1147" spans="1:18" s="50" customFormat="1" ht="14.4" x14ac:dyDescent="0.3">
      <c r="A1147" s="389" t="s">
        <v>644</v>
      </c>
      <c r="B1147" s="375"/>
      <c r="C1147" s="377"/>
      <c r="D1147" s="376"/>
      <c r="E1147" s="344"/>
      <c r="F1147" s="344"/>
      <c r="G1147" s="377"/>
      <c r="H1147" s="344"/>
      <c r="I1147" s="344"/>
      <c r="J1147" s="344"/>
      <c r="K1147" s="344"/>
      <c r="L1147" s="344"/>
      <c r="M1147" s="344"/>
      <c r="N1147" s="344"/>
      <c r="O1147" s="344"/>
      <c r="P1147" s="344"/>
      <c r="Q1147" s="344"/>
      <c r="R1147" s="57"/>
    </row>
    <row r="1148" spans="1:18" s="50" customFormat="1" ht="14.4" x14ac:dyDescent="0.3">
      <c r="A1148" s="389" t="s">
        <v>809</v>
      </c>
      <c r="B1148" s="375"/>
      <c r="C1148" s="377"/>
      <c r="D1148" s="376"/>
      <c r="E1148" s="344"/>
      <c r="F1148" s="344"/>
      <c r="G1148" s="377"/>
      <c r="H1148" s="344"/>
      <c r="I1148" s="344"/>
      <c r="J1148" s="344"/>
      <c r="K1148" s="344"/>
      <c r="L1148" s="344"/>
      <c r="M1148" s="344"/>
      <c r="N1148" s="344"/>
      <c r="O1148" s="344"/>
      <c r="P1148" s="344"/>
      <c r="Q1148" s="344"/>
      <c r="R1148" s="57"/>
    </row>
    <row r="1149" spans="1:18" s="50" customFormat="1" ht="14.4" x14ac:dyDescent="0.3">
      <c r="A1149" s="389" t="s">
        <v>1092</v>
      </c>
      <c r="B1149" s="344"/>
      <c r="C1149" s="344"/>
      <c r="D1149" s="344"/>
      <c r="E1149" s="344"/>
      <c r="F1149" s="344"/>
      <c r="G1149" s="377"/>
      <c r="H1149" s="344"/>
      <c r="I1149" s="344"/>
      <c r="J1149" s="344"/>
      <c r="K1149" s="344"/>
      <c r="L1149" s="344"/>
      <c r="M1149" s="344"/>
      <c r="N1149" s="344"/>
      <c r="O1149" s="344"/>
      <c r="P1149" s="344"/>
      <c r="Q1149" s="344"/>
      <c r="R1149" s="57"/>
    </row>
    <row r="1150" spans="1:18" s="417" customFormat="1" ht="13.8" x14ac:dyDescent="0.3">
      <c r="A1150" s="410" t="s">
        <v>1143</v>
      </c>
      <c r="B1150" s="378"/>
      <c r="C1150" s="378"/>
      <c r="D1150" s="378"/>
      <c r="E1150" s="378"/>
      <c r="F1150" s="378"/>
      <c r="G1150" s="414"/>
      <c r="H1150" s="378"/>
      <c r="I1150" s="378"/>
      <c r="J1150" s="378"/>
      <c r="K1150" s="378"/>
      <c r="L1150" s="378"/>
      <c r="M1150" s="378"/>
      <c r="N1150" s="378"/>
      <c r="O1150" s="378"/>
      <c r="P1150" s="378"/>
      <c r="Q1150" s="415"/>
      <c r="R1150" s="416"/>
    </row>
    <row r="1151" spans="1:18" x14ac:dyDescent="0.25">
      <c r="A1151" s="317"/>
      <c r="C1151" s="353"/>
    </row>
    <row r="1152" spans="1:18" x14ac:dyDescent="0.25">
      <c r="A1152" s="418" t="s">
        <v>14</v>
      </c>
      <c r="B1152" s="358" t="s">
        <v>645</v>
      </c>
      <c r="C1152" s="411" t="s">
        <v>15</v>
      </c>
      <c r="D1152" s="344"/>
      <c r="E1152" s="344"/>
      <c r="F1152" s="344"/>
      <c r="G1152" s="344"/>
      <c r="H1152" s="344"/>
      <c r="I1152" s="344"/>
      <c r="J1152" s="344"/>
      <c r="K1152" s="344"/>
      <c r="L1152" s="344"/>
      <c r="M1152" s="344"/>
    </row>
    <row r="1153" spans="1:18" x14ac:dyDescent="0.25">
      <c r="A1153" s="419" t="s">
        <v>16</v>
      </c>
      <c r="B1153" s="420">
        <v>2009</v>
      </c>
      <c r="C1153" s="421">
        <v>2010</v>
      </c>
      <c r="D1153" s="421">
        <v>2011</v>
      </c>
      <c r="E1153" s="421">
        <v>2012</v>
      </c>
      <c r="F1153" s="421">
        <v>2013</v>
      </c>
      <c r="G1153" s="421">
        <v>2014</v>
      </c>
      <c r="H1153" s="420">
        <v>2015</v>
      </c>
      <c r="I1153" s="420">
        <v>2016</v>
      </c>
      <c r="J1153" s="420">
        <v>2017</v>
      </c>
      <c r="K1153" s="420">
        <v>2018</v>
      </c>
      <c r="L1153" s="420">
        <v>2019</v>
      </c>
      <c r="M1153" s="420">
        <v>2020</v>
      </c>
      <c r="N1153" s="420">
        <v>2021</v>
      </c>
      <c r="O1153" s="420">
        <v>2022</v>
      </c>
      <c r="P1153" s="420">
        <v>2023</v>
      </c>
      <c r="Q1153" s="420">
        <v>2024</v>
      </c>
      <c r="R1153" s="420">
        <v>2025</v>
      </c>
    </row>
    <row r="1154" spans="1:18" x14ac:dyDescent="0.25">
      <c r="A1154" s="362" t="s">
        <v>17</v>
      </c>
      <c r="B1154" s="366">
        <v>329.79</v>
      </c>
      <c r="C1154" s="381">
        <v>311.02</v>
      </c>
      <c r="D1154" s="381">
        <v>301.64</v>
      </c>
      <c r="E1154" s="381">
        <v>301.64</v>
      </c>
      <c r="F1154" s="381">
        <v>301.64</v>
      </c>
      <c r="G1154" s="381">
        <v>301.64</v>
      </c>
      <c r="H1154" s="381">
        <v>345.74</v>
      </c>
      <c r="I1154" s="381">
        <v>345.74</v>
      </c>
      <c r="J1154" s="412">
        <v>345.74</v>
      </c>
      <c r="K1154" s="412">
        <v>407.48</v>
      </c>
      <c r="L1154" s="412">
        <v>407.48</v>
      </c>
      <c r="M1154" s="422">
        <v>407.48</v>
      </c>
      <c r="N1154" s="423">
        <v>407.48</v>
      </c>
      <c r="O1154" s="423">
        <v>664.52</v>
      </c>
      <c r="P1154" s="423">
        <v>664.52</v>
      </c>
      <c r="Q1154" s="423">
        <v>664.52</v>
      </c>
      <c r="R1154" s="423">
        <v>664.52</v>
      </c>
    </row>
    <row r="1155" spans="1:18" x14ac:dyDescent="0.25">
      <c r="A1155" s="365" t="s">
        <v>18</v>
      </c>
      <c r="B1155" s="366">
        <v>402.56000000000006</v>
      </c>
      <c r="C1155" s="381">
        <v>431.91</v>
      </c>
      <c r="D1155" s="381">
        <v>308.37</v>
      </c>
      <c r="E1155" s="381">
        <v>306.06</v>
      </c>
      <c r="F1155" s="381">
        <v>304.12</v>
      </c>
      <c r="G1155" s="381">
        <v>303.5</v>
      </c>
      <c r="H1155" s="381">
        <v>346.61</v>
      </c>
      <c r="I1155" s="381">
        <v>346.83000000000004</v>
      </c>
      <c r="J1155" s="412">
        <v>347.08035600000011</v>
      </c>
      <c r="K1155" s="412">
        <v>408.73035600000014</v>
      </c>
      <c r="L1155" s="412">
        <v>409.20815600000014</v>
      </c>
      <c r="M1155" s="422">
        <v>410.39696779704036</v>
      </c>
      <c r="N1155" s="423">
        <v>410.3</v>
      </c>
      <c r="O1155" s="423">
        <f>O1154+N1158</f>
        <v>665.25</v>
      </c>
      <c r="P1155" s="423">
        <f>P1154+O1158</f>
        <v>671.97</v>
      </c>
      <c r="Q1155" s="423">
        <v>711.8</v>
      </c>
      <c r="R1155" s="423">
        <v>683.66424833498388</v>
      </c>
    </row>
    <row r="1156" spans="1:18" x14ac:dyDescent="0.25">
      <c r="A1156" s="365" t="s">
        <v>19</v>
      </c>
      <c r="B1156" s="366"/>
      <c r="C1156" s="381"/>
      <c r="D1156" s="381"/>
      <c r="E1156" s="381"/>
      <c r="F1156" s="381"/>
      <c r="G1156" s="381"/>
      <c r="H1156" s="381"/>
      <c r="I1156" s="381"/>
      <c r="J1156" s="381"/>
      <c r="K1156" s="381"/>
      <c r="L1156" s="381"/>
      <c r="M1156" s="423"/>
      <c r="N1156" s="423"/>
      <c r="O1156" s="423"/>
      <c r="P1156" s="423"/>
      <c r="Q1156" s="423"/>
      <c r="R1156" s="423"/>
    </row>
    <row r="1157" spans="1:18" x14ac:dyDescent="0.25">
      <c r="A1157" s="365" t="s">
        <v>20</v>
      </c>
      <c r="B1157" s="366">
        <v>281.67</v>
      </c>
      <c r="C1157" s="381">
        <v>425.18</v>
      </c>
      <c r="D1157" s="381">
        <v>303.95</v>
      </c>
      <c r="E1157" s="381">
        <v>303.58</v>
      </c>
      <c r="F1157" s="381">
        <v>302.26</v>
      </c>
      <c r="G1157" s="381">
        <v>302.63</v>
      </c>
      <c r="H1157" s="381">
        <v>345.52</v>
      </c>
      <c r="I1157" s="381">
        <v>345.48964399999994</v>
      </c>
      <c r="J1157" s="381">
        <v>345.83</v>
      </c>
      <c r="K1157" s="381">
        <v>407.00220000000002</v>
      </c>
      <c r="L1157" s="381">
        <v>406.2911882029598</v>
      </c>
      <c r="M1157" s="423">
        <v>407.58140000000009</v>
      </c>
      <c r="N1157" s="423">
        <v>409.57</v>
      </c>
      <c r="O1157" s="423">
        <v>657.8</v>
      </c>
      <c r="P1157" s="423">
        <v>624.67999999999995</v>
      </c>
      <c r="Q1157" s="423">
        <v>692.65575166501606</v>
      </c>
      <c r="R1157" s="423" t="s">
        <v>1142</v>
      </c>
    </row>
    <row r="1158" spans="1:18" x14ac:dyDescent="0.25">
      <c r="A1158" s="365" t="s">
        <v>21</v>
      </c>
      <c r="B1158" s="366">
        <v>120.89000000000004</v>
      </c>
      <c r="C1158" s="381">
        <v>6.7300000000000182</v>
      </c>
      <c r="D1158" s="381">
        <v>4.4200000000000159</v>
      </c>
      <c r="E1158" s="381">
        <v>2.4800000000000182</v>
      </c>
      <c r="F1158" s="381">
        <v>1.8600000000000136</v>
      </c>
      <c r="G1158" s="381">
        <v>0.87000000000000455</v>
      </c>
      <c r="H1158" s="381">
        <v>1.0900000000000318</v>
      </c>
      <c r="I1158" s="381">
        <v>1.3403560000000994</v>
      </c>
      <c r="J1158" s="381">
        <v>1.2503560000001244</v>
      </c>
      <c r="K1158" s="381">
        <v>1.7281560000001264</v>
      </c>
      <c r="L1158" s="381">
        <v>2.9169677970403427</v>
      </c>
      <c r="M1158" s="423">
        <v>2.8155677970402735</v>
      </c>
      <c r="N1158" s="423">
        <f>N1155-N1157</f>
        <v>0.73000000000001819</v>
      </c>
      <c r="O1158" s="423">
        <f>O1155-O1157</f>
        <v>7.4500000000000455</v>
      </c>
      <c r="P1158" s="423">
        <v>47.28</v>
      </c>
      <c r="Q1158" s="423">
        <v>19.144248334983899</v>
      </c>
      <c r="R1158" s="423" t="s">
        <v>1142</v>
      </c>
    </row>
    <row r="1159" spans="1:18" x14ac:dyDescent="0.25">
      <c r="A1159" s="369" t="s">
        <v>22</v>
      </c>
      <c r="B1159" s="382"/>
      <c r="C1159" s="382"/>
      <c r="D1159" s="382"/>
      <c r="E1159" s="382"/>
      <c r="F1159" s="382"/>
      <c r="G1159" s="382"/>
      <c r="H1159" s="382"/>
      <c r="I1159" s="382"/>
      <c r="J1159" s="382"/>
      <c r="K1159" s="382">
        <v>2019</v>
      </c>
      <c r="L1159" s="382">
        <v>2020</v>
      </c>
      <c r="M1159" s="382">
        <v>2021</v>
      </c>
      <c r="N1159" s="382">
        <v>2022</v>
      </c>
      <c r="O1159" s="382">
        <v>2023</v>
      </c>
      <c r="P1159" s="382">
        <v>2024</v>
      </c>
      <c r="Q1159" s="423">
        <v>2025</v>
      </c>
      <c r="R1159" s="423">
        <v>2026</v>
      </c>
    </row>
    <row r="1160" spans="1:18" x14ac:dyDescent="0.25">
      <c r="A1160" s="384" t="s">
        <v>179</v>
      </c>
      <c r="B1160" s="385"/>
      <c r="C1160" s="385"/>
      <c r="D1160" s="385"/>
      <c r="E1160" s="385"/>
      <c r="F1160" s="385"/>
      <c r="G1160" s="385"/>
      <c r="H1160" s="385"/>
      <c r="I1160" s="385"/>
      <c r="J1160" s="385"/>
      <c r="K1160" s="385"/>
      <c r="L1160" s="385"/>
      <c r="M1160" s="385"/>
      <c r="N1160" s="385"/>
      <c r="O1160" s="385"/>
      <c r="P1160" s="385"/>
      <c r="Q1160" s="385"/>
      <c r="R1160" s="88"/>
    </row>
    <row r="1161" spans="1:18" x14ac:dyDescent="0.25">
      <c r="A1161" s="371" t="s">
        <v>210</v>
      </c>
      <c r="B1161" s="373"/>
      <c r="C1161" s="373"/>
      <c r="D1161" s="373"/>
      <c r="E1161" s="373"/>
      <c r="F1161" s="373"/>
      <c r="G1161" s="373"/>
      <c r="H1161" s="373"/>
      <c r="I1161" s="373"/>
      <c r="J1161" s="373"/>
      <c r="K1161" s="373"/>
      <c r="L1161" s="373"/>
      <c r="M1161" s="373"/>
      <c r="N1161" s="373"/>
      <c r="O1161" s="373"/>
      <c r="P1161" s="373"/>
      <c r="Q1161" s="373"/>
      <c r="R1161" s="63"/>
    </row>
    <row r="1162" spans="1:18" x14ac:dyDescent="0.25">
      <c r="A1162" s="389" t="s">
        <v>232</v>
      </c>
      <c r="B1162" s="344"/>
      <c r="C1162" s="344"/>
      <c r="D1162" s="344"/>
      <c r="E1162" s="344"/>
      <c r="F1162" s="344"/>
      <c r="G1162" s="344"/>
      <c r="H1162" s="344"/>
      <c r="I1162" s="344"/>
      <c r="J1162" s="344"/>
      <c r="K1162" s="344"/>
      <c r="L1162" s="344"/>
      <c r="M1162" s="344"/>
      <c r="N1162" s="344"/>
      <c r="O1162" s="344"/>
      <c r="P1162" s="344"/>
      <c r="Q1162" s="344"/>
      <c r="R1162" s="64"/>
    </row>
    <row r="1163" spans="1:18" x14ac:dyDescent="0.25">
      <c r="A1163" s="389" t="s">
        <v>274</v>
      </c>
      <c r="B1163" s="344"/>
      <c r="C1163" s="344"/>
      <c r="D1163" s="344"/>
      <c r="E1163" s="344"/>
      <c r="F1163" s="344"/>
      <c r="G1163" s="344"/>
      <c r="H1163" s="344"/>
      <c r="I1163" s="344"/>
      <c r="J1163" s="344"/>
      <c r="K1163" s="344"/>
      <c r="L1163" s="344"/>
      <c r="M1163" s="344"/>
      <c r="N1163" s="344"/>
      <c r="O1163" s="344"/>
      <c r="P1163" s="344"/>
      <c r="Q1163" s="344"/>
      <c r="R1163" s="64"/>
    </row>
    <row r="1164" spans="1:18" x14ac:dyDescent="0.25">
      <c r="A1164" s="389" t="s">
        <v>275</v>
      </c>
      <c r="B1164" s="344"/>
      <c r="C1164" s="344"/>
      <c r="D1164" s="344"/>
      <c r="E1164" s="344"/>
      <c r="F1164" s="344"/>
      <c r="G1164" s="344"/>
      <c r="H1164" s="344"/>
      <c r="I1164" s="344"/>
      <c r="J1164" s="344"/>
      <c r="K1164" s="344"/>
      <c r="L1164" s="344"/>
      <c r="M1164" s="344"/>
      <c r="N1164" s="344"/>
      <c r="O1164" s="344"/>
      <c r="P1164" s="344"/>
      <c r="Q1164" s="344"/>
      <c r="R1164" s="64"/>
    </row>
    <row r="1165" spans="1:18" x14ac:dyDescent="0.25">
      <c r="A1165" s="389" t="s">
        <v>276</v>
      </c>
      <c r="B1165" s="344"/>
      <c r="C1165" s="344"/>
      <c r="D1165" s="344"/>
      <c r="E1165" s="344"/>
      <c r="F1165" s="344"/>
      <c r="G1165" s="344"/>
      <c r="H1165" s="344"/>
      <c r="I1165" s="344"/>
      <c r="J1165" s="344"/>
      <c r="K1165" s="344"/>
      <c r="L1165" s="344"/>
      <c r="M1165" s="344"/>
      <c r="N1165" s="344"/>
      <c r="O1165" s="344"/>
      <c r="P1165" s="344"/>
      <c r="Q1165" s="344"/>
      <c r="R1165" s="64"/>
    </row>
    <row r="1166" spans="1:18" x14ac:dyDescent="0.25">
      <c r="A1166" s="389" t="s">
        <v>463</v>
      </c>
      <c r="B1166" s="344"/>
      <c r="C1166" s="344"/>
      <c r="D1166" s="344"/>
      <c r="E1166" s="344"/>
      <c r="F1166" s="344"/>
      <c r="G1166" s="344"/>
      <c r="H1166" s="344"/>
      <c r="I1166" s="344"/>
      <c r="J1166" s="344"/>
      <c r="K1166" s="344"/>
      <c r="L1166" s="344"/>
      <c r="M1166" s="344"/>
      <c r="N1166" s="344"/>
      <c r="O1166" s="344"/>
      <c r="P1166" s="344"/>
      <c r="Q1166" s="344"/>
      <c r="R1166" s="64"/>
    </row>
    <row r="1167" spans="1:18" x14ac:dyDescent="0.25">
      <c r="A1167" s="389" t="s">
        <v>464</v>
      </c>
      <c r="B1167" s="344"/>
      <c r="C1167" s="344"/>
      <c r="D1167" s="344"/>
      <c r="E1167" s="344"/>
      <c r="F1167" s="344"/>
      <c r="G1167" s="344"/>
      <c r="H1167" s="344"/>
      <c r="I1167" s="344"/>
      <c r="J1167" s="344"/>
      <c r="K1167" s="344"/>
      <c r="L1167" s="344"/>
      <c r="M1167" s="344"/>
      <c r="N1167" s="344"/>
      <c r="O1167" s="344"/>
      <c r="P1167" s="344"/>
      <c r="Q1167" s="344"/>
      <c r="R1167" s="64"/>
    </row>
    <row r="1168" spans="1:18" x14ac:dyDescent="0.25">
      <c r="A1168" s="389" t="s">
        <v>646</v>
      </c>
      <c r="B1168" s="344"/>
      <c r="C1168" s="344"/>
      <c r="D1168" s="344"/>
      <c r="E1168" s="344"/>
      <c r="F1168" s="344"/>
      <c r="G1168" s="344"/>
      <c r="H1168" s="344"/>
      <c r="I1168" s="344"/>
      <c r="J1168" s="344"/>
      <c r="K1168" s="344"/>
      <c r="L1168" s="344"/>
      <c r="M1168" s="344"/>
      <c r="N1168" s="344"/>
      <c r="O1168" s="344"/>
      <c r="P1168" s="344"/>
      <c r="Q1168" s="344"/>
      <c r="R1168" s="64"/>
    </row>
    <row r="1169" spans="1:18" x14ac:dyDescent="0.25">
      <c r="A1169" s="389" t="s">
        <v>810</v>
      </c>
      <c r="B1169" s="344"/>
      <c r="C1169" s="344"/>
      <c r="D1169" s="344"/>
      <c r="E1169" s="344"/>
      <c r="F1169" s="344"/>
      <c r="G1169" s="344"/>
      <c r="H1169" s="344"/>
      <c r="I1169" s="344"/>
      <c r="J1169" s="344"/>
      <c r="K1169" s="344"/>
      <c r="L1169" s="344"/>
      <c r="M1169" s="344"/>
      <c r="N1169" s="344"/>
      <c r="O1169" s="344"/>
      <c r="P1169" s="344"/>
      <c r="Q1169" s="344"/>
      <c r="R1169" s="64"/>
    </row>
    <row r="1170" spans="1:18" x14ac:dyDescent="0.25">
      <c r="A1170" s="389" t="s">
        <v>811</v>
      </c>
      <c r="B1170" s="344"/>
      <c r="C1170" s="344"/>
      <c r="D1170" s="344"/>
      <c r="E1170" s="344"/>
      <c r="F1170" s="344"/>
      <c r="G1170" s="344"/>
      <c r="H1170" s="344"/>
      <c r="I1170" s="344"/>
      <c r="J1170" s="344"/>
      <c r="K1170" s="344"/>
      <c r="L1170" s="344"/>
      <c r="M1170" s="344"/>
      <c r="N1170" s="344"/>
      <c r="O1170" s="344"/>
      <c r="P1170" s="344"/>
      <c r="Q1170" s="344"/>
      <c r="R1170" s="64"/>
    </row>
    <row r="1171" spans="1:18" x14ac:dyDescent="0.25">
      <c r="A1171" s="389" t="s">
        <v>1095</v>
      </c>
      <c r="B1171" s="344"/>
      <c r="C1171" s="344"/>
      <c r="D1171" s="344"/>
      <c r="E1171" s="344"/>
      <c r="F1171" s="344"/>
      <c r="G1171" s="344"/>
      <c r="H1171" s="344"/>
      <c r="I1171" s="344"/>
      <c r="J1171" s="344"/>
      <c r="K1171" s="344"/>
      <c r="L1171" s="344"/>
      <c r="M1171" s="344"/>
      <c r="N1171" s="344"/>
      <c r="O1171" s="344"/>
      <c r="P1171" s="344"/>
      <c r="Q1171" s="344"/>
      <c r="R1171" s="64"/>
    </row>
    <row r="1172" spans="1:18" s="417" customFormat="1" ht="13.8" x14ac:dyDescent="0.3">
      <c r="A1172" s="410" t="s">
        <v>1144</v>
      </c>
      <c r="B1172" s="378"/>
      <c r="C1172" s="378"/>
      <c r="D1172" s="378"/>
      <c r="E1172" s="378"/>
      <c r="F1172" s="378"/>
      <c r="G1172" s="378"/>
      <c r="H1172" s="378"/>
      <c r="I1172" s="378"/>
      <c r="J1172" s="378"/>
      <c r="K1172" s="378"/>
      <c r="L1172" s="378"/>
      <c r="M1172" s="378"/>
      <c r="N1172" s="378"/>
      <c r="O1172" s="378"/>
      <c r="P1172" s="378"/>
      <c r="Q1172" s="415"/>
      <c r="R1172" s="416"/>
    </row>
    <row r="1173" spans="1:18" x14ac:dyDescent="0.25">
      <c r="A1173" s="317"/>
      <c r="C1173" s="353"/>
    </row>
    <row r="1174" spans="1:18" x14ac:dyDescent="0.25">
      <c r="A1174" s="357" t="s">
        <v>14</v>
      </c>
      <c r="B1174" s="358" t="s">
        <v>66</v>
      </c>
      <c r="C1174" s="411" t="s">
        <v>15</v>
      </c>
      <c r="D1174" s="344"/>
      <c r="E1174" s="344"/>
      <c r="F1174" s="344"/>
      <c r="G1174" s="344"/>
      <c r="H1174" s="344"/>
      <c r="I1174" s="344"/>
      <c r="J1174" s="344"/>
      <c r="K1174" s="344"/>
      <c r="L1174" s="344"/>
      <c r="M1174" s="344"/>
      <c r="N1174" s="344"/>
      <c r="O1174" s="344"/>
      <c r="P1174" s="344"/>
    </row>
    <row r="1175" spans="1:18" x14ac:dyDescent="0.25">
      <c r="A1175" s="365" t="s">
        <v>16</v>
      </c>
      <c r="B1175" s="364">
        <v>2009</v>
      </c>
      <c r="C1175" s="364">
        <v>2010</v>
      </c>
      <c r="D1175" s="364">
        <v>2011</v>
      </c>
      <c r="E1175" s="364">
        <v>2012</v>
      </c>
      <c r="F1175" s="364">
        <v>2013</v>
      </c>
      <c r="G1175" s="364">
        <v>2014</v>
      </c>
      <c r="H1175" s="364">
        <v>2015</v>
      </c>
      <c r="I1175" s="364">
        <v>2016</v>
      </c>
      <c r="J1175" s="364">
        <v>2017</v>
      </c>
      <c r="K1175" s="364">
        <v>2018</v>
      </c>
      <c r="L1175" s="364">
        <v>2019</v>
      </c>
      <c r="M1175" s="364">
        <v>2020</v>
      </c>
      <c r="N1175" s="364">
        <v>2021</v>
      </c>
      <c r="O1175" s="364">
        <v>2022</v>
      </c>
      <c r="P1175" s="364">
        <v>2023</v>
      </c>
      <c r="Q1175" s="364">
        <v>2024</v>
      </c>
      <c r="R1175" s="364">
        <v>2025</v>
      </c>
    </row>
    <row r="1176" spans="1:18" x14ac:dyDescent="0.25">
      <c r="A1176" s="365" t="s">
        <v>17</v>
      </c>
      <c r="B1176" s="381">
        <v>25000</v>
      </c>
      <c r="C1176" s="381">
        <v>25000</v>
      </c>
      <c r="D1176" s="381">
        <v>23611</v>
      </c>
      <c r="E1176" s="381">
        <v>23611</v>
      </c>
      <c r="F1176" s="381">
        <v>23611</v>
      </c>
      <c r="G1176" s="381">
        <v>23611</v>
      </c>
      <c r="H1176" s="381">
        <v>23611</v>
      </c>
      <c r="I1176" s="381">
        <v>17696</v>
      </c>
      <c r="J1176" s="412">
        <v>17696</v>
      </c>
      <c r="K1176" s="412">
        <v>17696</v>
      </c>
      <c r="L1176" s="412">
        <v>17696</v>
      </c>
      <c r="M1176" s="412">
        <v>13979.84</v>
      </c>
      <c r="N1176" s="412">
        <v>13756.162560000001</v>
      </c>
      <c r="O1176" s="412">
        <v>13868.00128</v>
      </c>
      <c r="P1176" s="412">
        <v>13868.00128</v>
      </c>
      <c r="Q1176" s="412">
        <v>13868.00128</v>
      </c>
      <c r="R1176" s="412">
        <v>13865.86</v>
      </c>
    </row>
    <row r="1177" spans="1:18" x14ac:dyDescent="0.25">
      <c r="A1177" s="365" t="s">
        <v>18</v>
      </c>
      <c r="B1177" s="381">
        <v>30500</v>
      </c>
      <c r="C1177" s="381">
        <v>29700</v>
      </c>
      <c r="D1177" s="381">
        <v>26894.3</v>
      </c>
      <c r="E1177" s="381">
        <v>27624.3</v>
      </c>
      <c r="F1177" s="381">
        <v>27624.3</v>
      </c>
      <c r="G1177" s="381">
        <v>27624.3</v>
      </c>
      <c r="H1177" s="381">
        <v>27624.3</v>
      </c>
      <c r="I1177" s="381">
        <v>20167.650000000001</v>
      </c>
      <c r="J1177" s="412">
        <v>19280.400000000001</v>
      </c>
      <c r="K1177" s="412">
        <v>15415.88</v>
      </c>
      <c r="L1177" s="412">
        <v>19280.400000000001</v>
      </c>
      <c r="M1177" s="412">
        <v>13079.84</v>
      </c>
      <c r="N1177" s="412">
        <f>N1176+0.1*L1176-600-300</f>
        <v>14625.762560000001</v>
      </c>
      <c r="O1177" s="412">
        <f>O1176+0.1*M1176-600-300</f>
        <v>14365.985280000001</v>
      </c>
      <c r="P1177" s="412">
        <f>P1176+0.1*N1176-600-300</f>
        <v>14343.617536000002</v>
      </c>
      <c r="Q1177" s="412">
        <f>Q1176+0.1*O1176-600-300</f>
        <v>14354.801408000001</v>
      </c>
      <c r="R1177" s="412">
        <f>R1176+P1180-350</f>
        <v>14499.877536000002</v>
      </c>
    </row>
    <row r="1178" spans="1:18" x14ac:dyDescent="0.25">
      <c r="A1178" s="365" t="s">
        <v>19</v>
      </c>
      <c r="B1178" s="381"/>
      <c r="C1178" s="381"/>
      <c r="D1178" s="381"/>
      <c r="E1178" s="381"/>
      <c r="F1178" s="381"/>
      <c r="G1178" s="381"/>
      <c r="H1178" s="381"/>
      <c r="I1178" s="381"/>
      <c r="J1178" s="381"/>
      <c r="K1178" s="381"/>
      <c r="L1178" s="381"/>
      <c r="M1178" s="381"/>
      <c r="N1178" s="381"/>
      <c r="O1178" s="381"/>
      <c r="P1178" s="381"/>
      <c r="Q1178" s="381"/>
      <c r="R1178" s="381"/>
    </row>
    <row r="1179" spans="1:18" x14ac:dyDescent="0.25">
      <c r="A1179" s="365" t="s">
        <v>20</v>
      </c>
      <c r="B1179" s="381">
        <v>13127.78969</v>
      </c>
      <c r="C1179" s="381">
        <v>12919.833529999998</v>
      </c>
      <c r="D1179" s="381">
        <v>11930</v>
      </c>
      <c r="E1179" s="381">
        <v>15971.9</v>
      </c>
      <c r="F1179" s="381">
        <v>14342</v>
      </c>
      <c r="G1179" s="381">
        <v>12595.2</v>
      </c>
      <c r="H1179" s="381">
        <v>10179.799999999999</v>
      </c>
      <c r="I1179" s="381">
        <v>11238</v>
      </c>
      <c r="J1179" s="381">
        <v>9872.2000000000007</v>
      </c>
      <c r="K1179" s="381">
        <v>9849.5910000000003</v>
      </c>
      <c r="L1179" s="381">
        <v>9933.1844890000011</v>
      </c>
      <c r="M1179" s="381">
        <v>9294.3000000000011</v>
      </c>
      <c r="N1179" s="381">
        <v>11226.4</v>
      </c>
      <c r="O1179" s="381">
        <v>12374.5</v>
      </c>
      <c r="P1179" s="381">
        <v>13359.6</v>
      </c>
      <c r="Q1179" s="381">
        <v>11036</v>
      </c>
      <c r="R1179" s="381"/>
    </row>
    <row r="1180" spans="1:18" x14ac:dyDescent="0.25">
      <c r="A1180" s="365" t="s">
        <v>21</v>
      </c>
      <c r="B1180" s="381">
        <v>17372.210310000002</v>
      </c>
      <c r="C1180" s="381">
        <v>16780.166470000004</v>
      </c>
      <c r="D1180" s="381">
        <v>14964.3</v>
      </c>
      <c r="E1180" s="381">
        <v>11652.4</v>
      </c>
      <c r="F1180" s="381">
        <v>13282.3</v>
      </c>
      <c r="G1180" s="381">
        <v>15029.099999999999</v>
      </c>
      <c r="H1180" s="381">
        <v>17444.5</v>
      </c>
      <c r="I1180" s="381">
        <v>8929.6500000000015</v>
      </c>
      <c r="J1180" s="381">
        <v>9408.2000000000007</v>
      </c>
      <c r="K1180" s="381">
        <v>5566.2889999999989</v>
      </c>
      <c r="L1180" s="381">
        <v>9347.2155110000003</v>
      </c>
      <c r="M1180" s="381">
        <f>M1177-M1179</f>
        <v>3785.5399999999991</v>
      </c>
      <c r="N1180" s="381">
        <f>N1177-N1179</f>
        <v>3399.3625600000014</v>
      </c>
      <c r="O1180" s="381">
        <f>O1177-O1179</f>
        <v>1991.4852800000008</v>
      </c>
      <c r="P1180" s="381">
        <f>P1177-P1179</f>
        <v>984.0175360000012</v>
      </c>
      <c r="Q1180" s="381">
        <f>Q1177-Q1179</f>
        <v>3318.8014080000012</v>
      </c>
      <c r="R1180" s="381"/>
    </row>
    <row r="1181" spans="1:18" x14ac:dyDescent="0.25">
      <c r="A1181" s="369" t="s">
        <v>22</v>
      </c>
      <c r="B1181" s="382"/>
      <c r="C1181" s="382"/>
      <c r="D1181" s="382"/>
      <c r="E1181" s="382"/>
      <c r="F1181" s="382"/>
      <c r="G1181" s="382"/>
      <c r="H1181" s="382"/>
      <c r="I1181" s="382"/>
      <c r="J1181" s="382">
        <v>2019</v>
      </c>
      <c r="K1181" s="382">
        <v>2020</v>
      </c>
      <c r="L1181" s="382">
        <v>2021</v>
      </c>
      <c r="M1181" s="382">
        <v>2022</v>
      </c>
      <c r="N1181" s="382">
        <v>2023</v>
      </c>
      <c r="O1181" s="382">
        <v>2024</v>
      </c>
      <c r="P1181" s="382">
        <v>2025</v>
      </c>
      <c r="Q1181" s="382">
        <v>2026</v>
      </c>
      <c r="R1181" s="382">
        <v>2027</v>
      </c>
    </row>
    <row r="1182" spans="1:18" x14ac:dyDescent="0.25">
      <c r="A1182" s="369" t="s">
        <v>179</v>
      </c>
      <c r="B1182" s="408"/>
      <c r="C1182" s="408"/>
      <c r="D1182" s="408"/>
      <c r="E1182" s="408"/>
      <c r="F1182" s="408"/>
      <c r="G1182" s="408"/>
      <c r="H1182" s="408"/>
      <c r="I1182" s="408"/>
      <c r="J1182" s="408"/>
      <c r="K1182" s="408"/>
      <c r="L1182" s="408"/>
      <c r="M1182" s="408"/>
      <c r="N1182" s="408"/>
      <c r="O1182" s="408"/>
      <c r="P1182" s="408"/>
      <c r="Q1182" s="408"/>
      <c r="R1182" s="409"/>
    </row>
    <row r="1183" spans="1:18" x14ac:dyDescent="0.25">
      <c r="A1183" s="369" t="s">
        <v>196</v>
      </c>
      <c r="B1183" s="408"/>
      <c r="C1183" s="408"/>
      <c r="D1183" s="408"/>
      <c r="E1183" s="408"/>
      <c r="F1183" s="408"/>
      <c r="G1183" s="408"/>
      <c r="H1183" s="408"/>
      <c r="I1183" s="408"/>
      <c r="J1183" s="408"/>
      <c r="K1183" s="408"/>
      <c r="L1183" s="408"/>
      <c r="M1183" s="408"/>
      <c r="N1183" s="408"/>
      <c r="O1183" s="408"/>
      <c r="P1183" s="408"/>
      <c r="Q1183" s="408"/>
      <c r="R1183" s="409"/>
    </row>
    <row r="1184" spans="1:18" x14ac:dyDescent="0.25">
      <c r="A1184" s="374" t="s">
        <v>197</v>
      </c>
      <c r="B1184" s="344"/>
      <c r="C1184" s="344"/>
      <c r="D1184" s="344"/>
      <c r="E1184" s="344"/>
      <c r="F1184" s="344"/>
      <c r="G1184" s="344"/>
      <c r="H1184" s="344"/>
      <c r="I1184" s="344"/>
      <c r="J1184" s="344"/>
      <c r="K1184" s="344"/>
      <c r="L1184" s="344"/>
      <c r="M1184" s="344"/>
      <c r="N1184" s="344"/>
      <c r="O1184" s="344"/>
      <c r="P1184" s="344"/>
      <c r="Q1184" s="344"/>
      <c r="R1184" s="403"/>
    </row>
    <row r="1185" spans="1:18" x14ac:dyDescent="0.25">
      <c r="A1185" s="374" t="s">
        <v>235</v>
      </c>
      <c r="B1185" s="344"/>
      <c r="C1185" s="344"/>
      <c r="D1185" s="344"/>
      <c r="E1185" s="344"/>
      <c r="F1185" s="344"/>
      <c r="G1185" s="344"/>
      <c r="H1185" s="344"/>
      <c r="I1185" s="344"/>
      <c r="J1185" s="344"/>
      <c r="K1185" s="344"/>
      <c r="L1185" s="344"/>
      <c r="M1185" s="344"/>
      <c r="N1185" s="344"/>
      <c r="O1185" s="344"/>
      <c r="P1185" s="344"/>
      <c r="Q1185" s="344"/>
      <c r="R1185" s="403"/>
    </row>
    <row r="1186" spans="1:18" x14ac:dyDescent="0.25">
      <c r="A1186" s="374" t="s">
        <v>236</v>
      </c>
      <c r="B1186" s="375"/>
      <c r="C1186" s="377"/>
      <c r="D1186" s="376"/>
      <c r="E1186" s="344"/>
      <c r="F1186" s="344"/>
      <c r="G1186" s="377"/>
      <c r="H1186" s="344"/>
      <c r="I1186" s="344"/>
      <c r="J1186" s="344"/>
      <c r="K1186" s="344"/>
      <c r="L1186" s="344"/>
      <c r="M1186" s="344"/>
      <c r="N1186" s="344"/>
      <c r="O1186" s="344"/>
      <c r="P1186" s="344"/>
      <c r="Q1186" s="344"/>
      <c r="R1186" s="403"/>
    </row>
    <row r="1187" spans="1:18" x14ac:dyDescent="0.25">
      <c r="A1187" s="374" t="s">
        <v>237</v>
      </c>
      <c r="B1187" s="344"/>
      <c r="C1187" s="344"/>
      <c r="D1187" s="344"/>
      <c r="E1187" s="344"/>
      <c r="F1187" s="344"/>
      <c r="G1187" s="405"/>
      <c r="H1187" s="344"/>
      <c r="I1187" s="344"/>
      <c r="J1187" s="344"/>
      <c r="K1187" s="344"/>
      <c r="L1187" s="344"/>
      <c r="M1187" s="344"/>
      <c r="N1187" s="344"/>
      <c r="O1187" s="344"/>
      <c r="P1187" s="344"/>
      <c r="Q1187" s="344"/>
      <c r="R1187" s="403"/>
    </row>
    <row r="1188" spans="1:18" x14ac:dyDescent="0.25">
      <c r="A1188" s="374" t="s">
        <v>278</v>
      </c>
      <c r="B1188" s="344"/>
      <c r="C1188" s="344"/>
      <c r="D1188" s="344"/>
      <c r="E1188" s="344"/>
      <c r="F1188" s="344"/>
      <c r="G1188" s="344"/>
      <c r="H1188" s="344"/>
      <c r="I1188" s="344"/>
      <c r="J1188" s="344"/>
      <c r="K1188" s="344"/>
      <c r="L1188" s="344"/>
      <c r="M1188" s="344"/>
      <c r="N1188" s="344"/>
      <c r="O1188" s="344"/>
      <c r="P1188" s="344"/>
      <c r="Q1188" s="344"/>
      <c r="R1188" s="403"/>
    </row>
    <row r="1189" spans="1:18" x14ac:dyDescent="0.25">
      <c r="A1189" s="374" t="s">
        <v>238</v>
      </c>
      <c r="B1189" s="344"/>
      <c r="C1189" s="344"/>
      <c r="D1189" s="344"/>
      <c r="E1189" s="344"/>
      <c r="F1189" s="344"/>
      <c r="G1189" s="405"/>
      <c r="H1189" s="344"/>
      <c r="I1189" s="344"/>
      <c r="J1189" s="344"/>
      <c r="K1189" s="344"/>
      <c r="L1189" s="344"/>
      <c r="M1189" s="344"/>
      <c r="N1189" s="344"/>
      <c r="O1189" s="344"/>
      <c r="P1189" s="344"/>
      <c r="Q1189" s="344"/>
      <c r="R1189" s="403"/>
    </row>
    <row r="1190" spans="1:18" x14ac:dyDescent="0.25">
      <c r="A1190" s="374" t="s">
        <v>233</v>
      </c>
      <c r="B1190" s="344"/>
      <c r="C1190" s="344"/>
      <c r="D1190" s="344"/>
      <c r="E1190" s="344"/>
      <c r="F1190" s="344"/>
      <c r="G1190" s="405"/>
      <c r="H1190" s="344"/>
      <c r="I1190" s="344"/>
      <c r="J1190" s="344"/>
      <c r="K1190" s="344"/>
      <c r="L1190" s="344"/>
      <c r="M1190" s="344"/>
      <c r="N1190" s="344"/>
      <c r="O1190" s="344"/>
      <c r="P1190" s="344"/>
      <c r="Q1190" s="344"/>
      <c r="R1190" s="403"/>
    </row>
    <row r="1191" spans="1:18" x14ac:dyDescent="0.25">
      <c r="A1191" s="389" t="s">
        <v>234</v>
      </c>
      <c r="B1191" s="344"/>
      <c r="C1191" s="344"/>
      <c r="D1191" s="344"/>
      <c r="E1191" s="344"/>
      <c r="F1191" s="344"/>
      <c r="G1191" s="344"/>
      <c r="H1191" s="344"/>
      <c r="I1191" s="344"/>
      <c r="J1191" s="344"/>
      <c r="K1191" s="344"/>
      <c r="L1191" s="344"/>
      <c r="M1191" s="344"/>
      <c r="N1191" s="344"/>
      <c r="O1191" s="344"/>
      <c r="P1191" s="344"/>
      <c r="Q1191" s="344"/>
      <c r="R1191" s="403"/>
    </row>
    <row r="1192" spans="1:18" x14ac:dyDescent="0.25">
      <c r="A1192" s="389" t="s">
        <v>211</v>
      </c>
      <c r="B1192" s="344"/>
      <c r="C1192" s="344"/>
      <c r="D1192" s="344"/>
      <c r="E1192" s="344"/>
      <c r="F1192" s="344"/>
      <c r="G1192" s="344"/>
      <c r="H1192" s="344"/>
      <c r="I1192" s="344"/>
      <c r="J1192" s="344"/>
      <c r="K1192" s="344"/>
      <c r="L1192" s="344"/>
      <c r="M1192" s="344"/>
      <c r="N1192" s="344"/>
      <c r="O1192" s="344"/>
      <c r="P1192" s="344"/>
      <c r="Q1192" s="344"/>
      <c r="R1192" s="403"/>
    </row>
    <row r="1193" spans="1:18" x14ac:dyDescent="0.25">
      <c r="A1193" s="389" t="s">
        <v>277</v>
      </c>
      <c r="B1193" s="344"/>
      <c r="C1193" s="344"/>
      <c r="D1193" s="344"/>
      <c r="E1193" s="344"/>
      <c r="F1193" s="344"/>
      <c r="G1193" s="344"/>
      <c r="H1193" s="344"/>
      <c r="I1193" s="344"/>
      <c r="J1193" s="344"/>
      <c r="K1193" s="344"/>
      <c r="L1193" s="344"/>
      <c r="M1193" s="344"/>
      <c r="N1193" s="344"/>
      <c r="O1193" s="344"/>
      <c r="P1193" s="344"/>
      <c r="Q1193" s="344"/>
      <c r="R1193" s="403"/>
    </row>
    <row r="1194" spans="1:18" ht="13.2" customHeight="1" x14ac:dyDescent="0.25">
      <c r="A1194" s="389" t="s">
        <v>375</v>
      </c>
      <c r="B1194" s="344"/>
      <c r="C1194" s="344"/>
      <c r="D1194" s="344"/>
      <c r="E1194" s="344"/>
      <c r="F1194" s="344"/>
      <c r="G1194" s="344"/>
      <c r="H1194" s="344"/>
      <c r="I1194" s="344"/>
      <c r="J1194" s="344"/>
      <c r="K1194" s="344"/>
      <c r="L1194" s="344"/>
      <c r="M1194" s="344"/>
      <c r="N1194" s="344"/>
      <c r="O1194" s="344"/>
      <c r="P1194" s="344"/>
      <c r="Q1194" s="344"/>
      <c r="R1194" s="403"/>
    </row>
    <row r="1195" spans="1:18" ht="13.2" customHeight="1" x14ac:dyDescent="0.25">
      <c r="A1195" s="389" t="s">
        <v>570</v>
      </c>
      <c r="B1195" s="344"/>
      <c r="C1195" s="344"/>
      <c r="D1195" s="344"/>
      <c r="E1195" s="344"/>
      <c r="F1195" s="344"/>
      <c r="G1195" s="344"/>
      <c r="H1195" s="344"/>
      <c r="I1195" s="344"/>
      <c r="J1195" s="344"/>
      <c r="K1195" s="344"/>
      <c r="L1195" s="344"/>
      <c r="M1195" s="344"/>
      <c r="N1195" s="344"/>
      <c r="O1195" s="344"/>
      <c r="P1195" s="344"/>
      <c r="Q1195" s="344"/>
      <c r="R1195" s="403"/>
    </row>
    <row r="1196" spans="1:18" ht="13.2" customHeight="1" x14ac:dyDescent="0.25">
      <c r="A1196" s="389" t="s">
        <v>647</v>
      </c>
      <c r="B1196" s="344"/>
      <c r="C1196" s="344"/>
      <c r="D1196" s="344"/>
      <c r="E1196" s="344"/>
      <c r="F1196" s="344"/>
      <c r="G1196" s="344"/>
      <c r="H1196" s="344"/>
      <c r="I1196" s="344"/>
      <c r="J1196" s="344"/>
      <c r="K1196" s="344"/>
      <c r="L1196" s="344"/>
      <c r="M1196" s="344"/>
      <c r="N1196" s="344"/>
      <c r="O1196" s="344"/>
      <c r="P1196" s="344"/>
      <c r="Q1196" s="344"/>
      <c r="R1196" s="403"/>
    </row>
    <row r="1197" spans="1:18" ht="13.2" customHeight="1" x14ac:dyDescent="0.25">
      <c r="A1197" s="389" t="s">
        <v>591</v>
      </c>
      <c r="B1197" s="344"/>
      <c r="C1197" s="344"/>
      <c r="D1197" s="344"/>
      <c r="E1197" s="344"/>
      <c r="F1197" s="344"/>
      <c r="G1197" s="344"/>
      <c r="H1197" s="344"/>
      <c r="I1197" s="344"/>
      <c r="J1197" s="344"/>
      <c r="K1197" s="344"/>
      <c r="L1197" s="344"/>
      <c r="M1197" s="344"/>
      <c r="N1197" s="344"/>
      <c r="O1197" s="344"/>
      <c r="P1197" s="344"/>
      <c r="Q1197" s="344"/>
      <c r="R1197" s="403"/>
    </row>
    <row r="1198" spans="1:18" ht="13.2" customHeight="1" x14ac:dyDescent="0.25">
      <c r="A1198" s="389" t="s">
        <v>710</v>
      </c>
      <c r="B1198" s="344"/>
      <c r="C1198" s="344"/>
      <c r="D1198" s="344"/>
      <c r="E1198" s="344"/>
      <c r="F1198" s="344"/>
      <c r="G1198" s="344"/>
      <c r="H1198" s="344"/>
      <c r="I1198" s="344"/>
      <c r="J1198" s="344"/>
      <c r="K1198" s="344"/>
      <c r="L1198" s="344"/>
      <c r="M1198" s="344"/>
      <c r="N1198" s="344"/>
      <c r="O1198" s="344"/>
      <c r="P1198" s="344"/>
      <c r="Q1198" s="344"/>
      <c r="R1198" s="403"/>
    </row>
    <row r="1199" spans="1:18" ht="13.2" customHeight="1" x14ac:dyDescent="0.25">
      <c r="A1199" s="389" t="s">
        <v>812</v>
      </c>
      <c r="B1199" s="344"/>
      <c r="C1199" s="344"/>
      <c r="D1199" s="344"/>
      <c r="E1199" s="344"/>
      <c r="F1199" s="344"/>
      <c r="G1199" s="344"/>
      <c r="H1199" s="344"/>
      <c r="I1199" s="344"/>
      <c r="J1199" s="344"/>
      <c r="K1199" s="344"/>
      <c r="L1199" s="344"/>
      <c r="M1199" s="344"/>
      <c r="N1199" s="344"/>
      <c r="O1199" s="344"/>
      <c r="P1199" s="344"/>
      <c r="Q1199" s="344"/>
      <c r="R1199" s="403"/>
    </row>
    <row r="1200" spans="1:18" ht="13.2" customHeight="1" x14ac:dyDescent="0.25">
      <c r="A1200" s="404" t="s">
        <v>1043</v>
      </c>
      <c r="B1200" s="375"/>
      <c r="C1200" s="375"/>
      <c r="D1200" s="375"/>
      <c r="E1200" s="375"/>
      <c r="F1200" s="375"/>
      <c r="G1200" s="375"/>
      <c r="H1200" s="375"/>
      <c r="I1200" s="375"/>
      <c r="J1200" s="375"/>
      <c r="K1200" s="375"/>
      <c r="L1200" s="375"/>
      <c r="M1200" s="375"/>
      <c r="N1200" s="375"/>
      <c r="O1200" s="375"/>
      <c r="P1200" s="375"/>
      <c r="Q1200" s="375"/>
      <c r="R1200" s="424"/>
    </row>
    <row r="1201" spans="1:19" ht="13.2" customHeight="1" x14ac:dyDescent="0.25">
      <c r="A1201" s="425" t="s">
        <v>1236</v>
      </c>
      <c r="B1201" s="426"/>
      <c r="C1201" s="426"/>
      <c r="D1201" s="426"/>
      <c r="E1201" s="426"/>
      <c r="F1201" s="426"/>
      <c r="G1201" s="426"/>
      <c r="H1201" s="426"/>
      <c r="I1201" s="426"/>
      <c r="J1201" s="426"/>
      <c r="K1201" s="426"/>
      <c r="L1201" s="426"/>
      <c r="M1201" s="426"/>
      <c r="N1201" s="426"/>
      <c r="O1201" s="426"/>
      <c r="P1201" s="426"/>
      <c r="Q1201" s="426"/>
      <c r="R1201" s="427"/>
    </row>
    <row r="1202" spans="1:19" x14ac:dyDescent="0.25">
      <c r="A1202" s="317"/>
      <c r="C1202" s="353"/>
    </row>
    <row r="1203" spans="1:19" x14ac:dyDescent="0.25">
      <c r="A1203" s="418" t="s">
        <v>14</v>
      </c>
      <c r="B1203" s="358" t="s">
        <v>74</v>
      </c>
      <c r="C1203" s="411" t="s">
        <v>15</v>
      </c>
      <c r="D1203" s="344"/>
      <c r="E1203" s="344"/>
      <c r="F1203" s="344"/>
      <c r="G1203" s="344"/>
      <c r="H1203" s="344"/>
      <c r="I1203" s="344"/>
      <c r="J1203" s="344"/>
      <c r="K1203" s="344"/>
      <c r="L1203" s="344"/>
      <c r="M1203" s="344"/>
      <c r="N1203" s="344"/>
    </row>
    <row r="1204" spans="1:19" x14ac:dyDescent="0.25">
      <c r="A1204" s="419" t="s">
        <v>16</v>
      </c>
      <c r="B1204" s="420">
        <v>2008</v>
      </c>
      <c r="C1204" s="421">
        <v>2009</v>
      </c>
      <c r="D1204" s="421">
        <v>2010</v>
      </c>
      <c r="E1204" s="421">
        <v>2011</v>
      </c>
      <c r="F1204" s="420">
        <v>2012</v>
      </c>
      <c r="G1204" s="420">
        <v>2013</v>
      </c>
      <c r="H1204" s="420">
        <v>2014</v>
      </c>
      <c r="I1204" s="420">
        <v>2015</v>
      </c>
      <c r="J1204" s="420">
        <v>2016</v>
      </c>
      <c r="K1204" s="420">
        <v>2017</v>
      </c>
      <c r="L1204" s="420">
        <v>2018</v>
      </c>
      <c r="M1204" s="420">
        <v>2019</v>
      </c>
      <c r="N1204" s="420">
        <v>2020</v>
      </c>
      <c r="O1204" s="420">
        <v>2021</v>
      </c>
      <c r="P1204" s="154">
        <v>2022</v>
      </c>
      <c r="Q1204" s="154">
        <v>2023</v>
      </c>
      <c r="R1204" s="154">
        <v>2024</v>
      </c>
      <c r="S1204" s="154">
        <v>2025</v>
      </c>
    </row>
    <row r="1205" spans="1:19" x14ac:dyDescent="0.25">
      <c r="A1205" s="362" t="s">
        <v>17</v>
      </c>
      <c r="B1205" s="381">
        <v>839.5</v>
      </c>
      <c r="C1205" s="381">
        <v>839.5</v>
      </c>
      <c r="D1205" s="381">
        <v>839.5</v>
      </c>
      <c r="E1205" s="381">
        <v>839.5</v>
      </c>
      <c r="F1205" s="423">
        <v>503.7</v>
      </c>
      <c r="G1205" s="423">
        <v>390</v>
      </c>
      <c r="H1205" s="423">
        <v>390</v>
      </c>
      <c r="I1205" s="423">
        <v>390</v>
      </c>
      <c r="J1205" s="423">
        <v>390</v>
      </c>
      <c r="K1205" s="423">
        <v>390</v>
      </c>
      <c r="L1205" s="423">
        <v>390</v>
      </c>
      <c r="M1205" s="423">
        <v>390</v>
      </c>
      <c r="N1205" s="423">
        <v>328.1</v>
      </c>
      <c r="O1205" s="423">
        <v>328.1</v>
      </c>
      <c r="P1205" s="12">
        <v>328.1</v>
      </c>
      <c r="Q1205" s="12">
        <v>328.1</v>
      </c>
      <c r="R1205" s="12">
        <v>328.1</v>
      </c>
      <c r="S1205" s="12">
        <v>328.1</v>
      </c>
    </row>
    <row r="1206" spans="1:19" x14ac:dyDescent="0.25">
      <c r="A1206" s="365" t="s">
        <v>18</v>
      </c>
      <c r="B1206" s="381">
        <v>839.5</v>
      </c>
      <c r="C1206" s="381">
        <v>839.5</v>
      </c>
      <c r="D1206" s="381">
        <v>839.5</v>
      </c>
      <c r="E1206" s="381">
        <v>839.5</v>
      </c>
      <c r="F1206" s="381">
        <v>503.7</v>
      </c>
      <c r="G1206" s="423">
        <v>390</v>
      </c>
      <c r="H1206" s="423">
        <v>390</v>
      </c>
      <c r="I1206" s="423">
        <v>429</v>
      </c>
      <c r="J1206" s="423">
        <v>429</v>
      </c>
      <c r="K1206" s="423">
        <v>429</v>
      </c>
      <c r="L1206" s="423">
        <v>406.6</v>
      </c>
      <c r="M1206" s="423">
        <v>429</v>
      </c>
      <c r="N1206" s="423">
        <v>367.1</v>
      </c>
      <c r="O1206" s="423">
        <v>367.1</v>
      </c>
      <c r="P1206" s="12"/>
      <c r="Q1206" s="12"/>
      <c r="R1206" s="12">
        <f>R1205+P1209</f>
        <v>285.10000000000002</v>
      </c>
      <c r="S1206" s="12">
        <v>328.1</v>
      </c>
    </row>
    <row r="1207" spans="1:19" x14ac:dyDescent="0.25">
      <c r="A1207" s="365" t="s">
        <v>19</v>
      </c>
      <c r="B1207" s="381"/>
      <c r="C1207" s="428"/>
      <c r="D1207" s="381"/>
      <c r="E1207" s="423"/>
      <c r="F1207" s="423"/>
      <c r="G1207" s="423"/>
      <c r="H1207" s="423"/>
      <c r="I1207" s="423"/>
      <c r="J1207" s="423"/>
      <c r="K1207" s="423"/>
      <c r="L1207" s="423"/>
      <c r="M1207" s="423"/>
      <c r="N1207" s="423"/>
      <c r="O1207" s="423"/>
      <c r="P1207" s="12"/>
      <c r="Q1207" s="12"/>
      <c r="R1207" s="12"/>
      <c r="S1207" s="12"/>
    </row>
    <row r="1208" spans="1:19" x14ac:dyDescent="0.25">
      <c r="A1208" s="365" t="s">
        <v>20</v>
      </c>
      <c r="B1208" s="381">
        <v>704.14</v>
      </c>
      <c r="C1208" s="381">
        <v>553.45920000000001</v>
      </c>
      <c r="D1208" s="381">
        <v>425.98559999999998</v>
      </c>
      <c r="E1208" s="381">
        <v>478</v>
      </c>
      <c r="F1208" s="423">
        <v>305.5</v>
      </c>
      <c r="G1208" s="423">
        <v>231.5</v>
      </c>
      <c r="H1208" s="423">
        <v>288.8</v>
      </c>
      <c r="I1208" s="423">
        <v>261.5</v>
      </c>
      <c r="J1208" s="423">
        <v>412.4</v>
      </c>
      <c r="K1208" s="423">
        <v>308.10000000000002</v>
      </c>
      <c r="L1208" s="423">
        <v>352.2</v>
      </c>
      <c r="M1208" s="423">
        <v>336.88949500000001</v>
      </c>
      <c r="N1208" s="423">
        <v>285.10000000000002</v>
      </c>
      <c r="O1208" s="423">
        <v>289.39999999999998</v>
      </c>
      <c r="P1208" s="12">
        <v>371.1</v>
      </c>
      <c r="Q1208" s="12">
        <v>303.8</v>
      </c>
      <c r="R1208" s="12">
        <v>246.4</v>
      </c>
      <c r="S1208" s="12"/>
    </row>
    <row r="1209" spans="1:19" x14ac:dyDescent="0.25">
      <c r="A1209" s="365" t="s">
        <v>21</v>
      </c>
      <c r="B1209" s="381">
        <v>135.36000000000001</v>
      </c>
      <c r="C1209" s="381">
        <v>286.04079999999999</v>
      </c>
      <c r="D1209" s="381">
        <v>413.51440000000002</v>
      </c>
      <c r="E1209" s="381">
        <v>361.5</v>
      </c>
      <c r="F1209" s="381">
        <v>198.2</v>
      </c>
      <c r="G1209" s="423">
        <v>158.5</v>
      </c>
      <c r="H1209" s="423">
        <v>101.19999999999999</v>
      </c>
      <c r="I1209" s="423">
        <v>167.5</v>
      </c>
      <c r="J1209" s="423">
        <v>16.600000000000023</v>
      </c>
      <c r="K1209" s="423">
        <v>120.89999999999998</v>
      </c>
      <c r="L1209" s="423">
        <v>54.400000000000034</v>
      </c>
      <c r="M1209" s="423">
        <v>92.110504999999989</v>
      </c>
      <c r="N1209" s="423">
        <f>N1206-N1208</f>
        <v>82</v>
      </c>
      <c r="O1209" s="423">
        <f>O1206-O1208</f>
        <v>77.700000000000045</v>
      </c>
      <c r="P1209" s="12">
        <f>P1205-P1208</f>
        <v>-43</v>
      </c>
      <c r="Q1209" s="12">
        <f>Q1205-Q1208</f>
        <v>24.300000000000011</v>
      </c>
      <c r="R1209" s="12">
        <f>R1206-R1208</f>
        <v>38.700000000000017</v>
      </c>
      <c r="S1209" s="12"/>
    </row>
    <row r="1210" spans="1:19" x14ac:dyDescent="0.25">
      <c r="A1210" s="369" t="s">
        <v>22</v>
      </c>
      <c r="B1210" s="382"/>
      <c r="C1210" s="408"/>
      <c r="D1210" s="382"/>
      <c r="E1210" s="409"/>
      <c r="F1210" s="409"/>
      <c r="G1210" s="409"/>
      <c r="H1210" s="409"/>
      <c r="I1210" s="409"/>
      <c r="J1210" s="409"/>
      <c r="K1210" s="409"/>
      <c r="L1210" s="409"/>
      <c r="M1210" s="429"/>
      <c r="N1210" s="429"/>
      <c r="O1210" s="429"/>
      <c r="P1210" s="17"/>
      <c r="Q1210" s="17"/>
      <c r="R1210" s="17"/>
      <c r="S1210" s="17"/>
    </row>
    <row r="1211" spans="1:19" x14ac:dyDescent="0.25">
      <c r="A1211" s="365" t="s">
        <v>179</v>
      </c>
      <c r="B1211" s="430"/>
      <c r="C1211" s="430"/>
      <c r="D1211" s="430"/>
      <c r="E1211" s="430"/>
      <c r="F1211" s="430"/>
      <c r="G1211" s="430"/>
      <c r="H1211" s="430"/>
      <c r="I1211" s="430"/>
      <c r="J1211" s="430"/>
      <c r="K1211" s="430"/>
      <c r="L1211" s="430"/>
      <c r="M1211" s="430"/>
      <c r="N1211" s="430"/>
      <c r="O1211" s="430"/>
      <c r="P1211" s="36"/>
      <c r="Q1211" s="36"/>
      <c r="R1211" s="36"/>
      <c r="S1211" s="37"/>
    </row>
    <row r="1212" spans="1:19" x14ac:dyDescent="0.25">
      <c r="A1212" s="374" t="s">
        <v>198</v>
      </c>
      <c r="B1212" s="344"/>
      <c r="C1212" s="344"/>
      <c r="D1212" s="344"/>
      <c r="E1212" s="344"/>
      <c r="F1212" s="344"/>
      <c r="G1212" s="344"/>
      <c r="H1212" s="344"/>
      <c r="I1212" s="344"/>
      <c r="J1212" s="344"/>
      <c r="K1212" s="344"/>
      <c r="L1212" s="344"/>
      <c r="M1212" s="344"/>
      <c r="N1212" s="344"/>
      <c r="O1212" s="344"/>
      <c r="S1212" s="64"/>
    </row>
    <row r="1213" spans="1:19" x14ac:dyDescent="0.25">
      <c r="A1213" s="374" t="s">
        <v>199</v>
      </c>
      <c r="B1213" s="344"/>
      <c r="C1213" s="344"/>
      <c r="D1213" s="344"/>
      <c r="E1213" s="344"/>
      <c r="F1213" s="344"/>
      <c r="G1213" s="344"/>
      <c r="H1213" s="344"/>
      <c r="I1213" s="344"/>
      <c r="J1213" s="344"/>
      <c r="K1213" s="344"/>
      <c r="L1213" s="344"/>
      <c r="M1213" s="344"/>
      <c r="N1213" s="344"/>
      <c r="O1213" s="344"/>
      <c r="S1213" s="64"/>
    </row>
    <row r="1214" spans="1:19" x14ac:dyDescent="0.25">
      <c r="A1214" s="374" t="s">
        <v>239</v>
      </c>
      <c r="B1214" s="344"/>
      <c r="C1214" s="344"/>
      <c r="D1214" s="344"/>
      <c r="E1214" s="344"/>
      <c r="F1214" s="344"/>
      <c r="G1214" s="344"/>
      <c r="H1214" s="344"/>
      <c r="I1214" s="344"/>
      <c r="J1214" s="344"/>
      <c r="K1214" s="344"/>
      <c r="L1214" s="344"/>
      <c r="M1214" s="344"/>
      <c r="N1214" s="344"/>
      <c r="O1214" s="344"/>
      <c r="S1214" s="64"/>
    </row>
    <row r="1215" spans="1:19" x14ac:dyDescent="0.25">
      <c r="A1215" s="374" t="s">
        <v>240</v>
      </c>
      <c r="B1215" s="344"/>
      <c r="C1215" s="344"/>
      <c r="D1215" s="344"/>
      <c r="E1215" s="344"/>
      <c r="F1215" s="344"/>
      <c r="G1215" s="344"/>
      <c r="H1215" s="377"/>
      <c r="I1215" s="344"/>
      <c r="J1215" s="344"/>
      <c r="K1215" s="344"/>
      <c r="L1215" s="344"/>
      <c r="M1215" s="344"/>
      <c r="N1215" s="344"/>
      <c r="O1215" s="344"/>
      <c r="S1215" s="64"/>
    </row>
    <row r="1216" spans="1:19" x14ac:dyDescent="0.25">
      <c r="A1216" s="374" t="s">
        <v>279</v>
      </c>
      <c r="B1216" s="344"/>
      <c r="C1216" s="344"/>
      <c r="D1216" s="344"/>
      <c r="E1216" s="344"/>
      <c r="F1216" s="344"/>
      <c r="G1216" s="344"/>
      <c r="H1216" s="377"/>
      <c r="I1216" s="344"/>
      <c r="J1216" s="344"/>
      <c r="K1216" s="344"/>
      <c r="L1216" s="344"/>
      <c r="M1216" s="344"/>
      <c r="N1216" s="344"/>
      <c r="O1216" s="344"/>
      <c r="S1216" s="64"/>
    </row>
    <row r="1217" spans="1:19" x14ac:dyDescent="0.25">
      <c r="A1217" s="374" t="s">
        <v>280</v>
      </c>
      <c r="B1217" s="344"/>
      <c r="C1217" s="344"/>
      <c r="D1217" s="344"/>
      <c r="E1217" s="344"/>
      <c r="F1217" s="344"/>
      <c r="G1217" s="344"/>
      <c r="H1217" s="377"/>
      <c r="I1217" s="344"/>
      <c r="J1217" s="344"/>
      <c r="K1217" s="344"/>
      <c r="L1217" s="344"/>
      <c r="M1217" s="344"/>
      <c r="N1217" s="344"/>
      <c r="O1217" s="344"/>
      <c r="S1217" s="64"/>
    </row>
    <row r="1218" spans="1:19" x14ac:dyDescent="0.25">
      <c r="A1218" s="374" t="s">
        <v>281</v>
      </c>
      <c r="B1218" s="344"/>
      <c r="C1218" s="344"/>
      <c r="D1218" s="344"/>
      <c r="E1218" s="344"/>
      <c r="F1218" s="344"/>
      <c r="G1218" s="344"/>
      <c r="H1218" s="377"/>
      <c r="I1218" s="344"/>
      <c r="J1218" s="344"/>
      <c r="K1218" s="344"/>
      <c r="L1218" s="344"/>
      <c r="M1218" s="344"/>
      <c r="N1218" s="344"/>
      <c r="O1218" s="344"/>
      <c r="S1218" s="64"/>
    </row>
    <row r="1219" spans="1:19" x14ac:dyDescent="0.25">
      <c r="A1219" s="374" t="s">
        <v>465</v>
      </c>
      <c r="B1219" s="344"/>
      <c r="C1219" s="344"/>
      <c r="D1219" s="344"/>
      <c r="E1219" s="344"/>
      <c r="F1219" s="344"/>
      <c r="G1219" s="344"/>
      <c r="H1219" s="377"/>
      <c r="I1219" s="344"/>
      <c r="J1219" s="344"/>
      <c r="K1219" s="344"/>
      <c r="L1219" s="344"/>
      <c r="M1219" s="344"/>
      <c r="N1219" s="344"/>
      <c r="O1219" s="344"/>
      <c r="S1219" s="64"/>
    </row>
    <row r="1220" spans="1:19" x14ac:dyDescent="0.25">
      <c r="A1220" s="374" t="s">
        <v>648</v>
      </c>
      <c r="B1220" s="344"/>
      <c r="C1220" s="344"/>
      <c r="D1220" s="344"/>
      <c r="E1220" s="344"/>
      <c r="F1220" s="344"/>
      <c r="G1220" s="344"/>
      <c r="H1220" s="377"/>
      <c r="I1220" s="344"/>
      <c r="J1220" s="344"/>
      <c r="K1220" s="344"/>
      <c r="L1220" s="344"/>
      <c r="M1220" s="344"/>
      <c r="N1220" s="344"/>
      <c r="O1220" s="344"/>
      <c r="S1220" s="64"/>
    </row>
    <row r="1221" spans="1:19" x14ac:dyDescent="0.25">
      <c r="A1221" s="374" t="s">
        <v>813</v>
      </c>
      <c r="B1221" s="344"/>
      <c r="C1221" s="344"/>
      <c r="D1221" s="344"/>
      <c r="E1221" s="344"/>
      <c r="F1221" s="344"/>
      <c r="G1221" s="344"/>
      <c r="H1221" s="377"/>
      <c r="I1221" s="344"/>
      <c r="J1221" s="344"/>
      <c r="K1221" s="344"/>
      <c r="L1221" s="344"/>
      <c r="M1221" s="344"/>
      <c r="N1221" s="344"/>
      <c r="O1221" s="344"/>
      <c r="S1221" s="64"/>
    </row>
    <row r="1222" spans="1:19" x14ac:dyDescent="0.25">
      <c r="A1222" s="374" t="s">
        <v>889</v>
      </c>
      <c r="B1222" s="344"/>
      <c r="C1222" s="344"/>
      <c r="D1222" s="344"/>
      <c r="E1222" s="344"/>
      <c r="F1222" s="344"/>
      <c r="G1222" s="344"/>
      <c r="H1222" s="377"/>
      <c r="I1222" s="344"/>
      <c r="J1222" s="344"/>
      <c r="K1222" s="344"/>
      <c r="L1222" s="344"/>
      <c r="M1222" s="344"/>
      <c r="N1222" s="344"/>
      <c r="O1222" s="344"/>
      <c r="S1222" s="64"/>
    </row>
    <row r="1223" spans="1:19" x14ac:dyDescent="0.25">
      <c r="A1223" s="431" t="s">
        <v>1190</v>
      </c>
      <c r="B1223" s="378"/>
      <c r="C1223" s="378"/>
      <c r="D1223" s="378"/>
      <c r="E1223" s="378"/>
      <c r="F1223" s="378"/>
      <c r="G1223" s="378"/>
      <c r="H1223" s="432"/>
      <c r="I1223" s="378"/>
      <c r="J1223" s="378"/>
      <c r="K1223" s="378"/>
      <c r="L1223" s="378"/>
      <c r="M1223" s="378"/>
      <c r="N1223" s="378"/>
      <c r="O1223" s="378"/>
      <c r="P1223" s="34"/>
      <c r="Q1223" s="34"/>
      <c r="R1223" s="34"/>
      <c r="S1223" s="48"/>
    </row>
    <row r="1224" spans="1:19" x14ac:dyDescent="0.25">
      <c r="A1224" s="317"/>
      <c r="C1224" s="353"/>
    </row>
    <row r="1225" spans="1:19" x14ac:dyDescent="0.25">
      <c r="A1225" s="357" t="s">
        <v>14</v>
      </c>
      <c r="B1225" s="358" t="s">
        <v>79</v>
      </c>
      <c r="C1225" s="411" t="s">
        <v>15</v>
      </c>
      <c r="D1225" s="344"/>
      <c r="E1225" s="344"/>
      <c r="F1225" s="344"/>
      <c r="G1225" s="344"/>
      <c r="H1225" s="344"/>
      <c r="I1225" s="344"/>
      <c r="J1225" s="344"/>
      <c r="K1225" s="344"/>
      <c r="L1225" s="344"/>
      <c r="M1225" s="344"/>
      <c r="N1225" s="344"/>
    </row>
    <row r="1226" spans="1:19" x14ac:dyDescent="0.25">
      <c r="A1226" s="365" t="s">
        <v>16</v>
      </c>
      <c r="B1226" s="364">
        <v>2008</v>
      </c>
      <c r="C1226" s="364">
        <v>2009</v>
      </c>
      <c r="D1226" s="364">
        <v>2010</v>
      </c>
      <c r="E1226" s="364">
        <v>2011</v>
      </c>
      <c r="F1226" s="364">
        <v>2012</v>
      </c>
      <c r="G1226" s="364">
        <v>2013</v>
      </c>
      <c r="H1226" s="364">
        <v>2014</v>
      </c>
      <c r="I1226" s="364">
        <v>2015</v>
      </c>
      <c r="J1226" s="364">
        <v>2016</v>
      </c>
      <c r="K1226" s="364">
        <v>2017</v>
      </c>
      <c r="L1226" s="364">
        <v>2018</v>
      </c>
      <c r="M1226" s="364">
        <v>2019</v>
      </c>
      <c r="N1226" s="364">
        <v>2020</v>
      </c>
      <c r="O1226" s="364">
        <v>2021</v>
      </c>
      <c r="P1226" s="154">
        <v>2022</v>
      </c>
      <c r="Q1226" s="154">
        <v>2023</v>
      </c>
      <c r="R1226" s="154">
        <v>2024</v>
      </c>
      <c r="S1226" s="154">
        <v>2025</v>
      </c>
    </row>
    <row r="1227" spans="1:19" x14ac:dyDescent="0.25">
      <c r="A1227" s="365" t="s">
        <v>17</v>
      </c>
      <c r="B1227" s="381">
        <v>37</v>
      </c>
      <c r="C1227" s="381">
        <v>37</v>
      </c>
      <c r="D1227" s="381">
        <v>37</v>
      </c>
      <c r="E1227" s="381">
        <v>37</v>
      </c>
      <c r="F1227" s="381">
        <v>33.6</v>
      </c>
      <c r="G1227" s="381">
        <v>35</v>
      </c>
      <c r="H1227" s="381">
        <v>35</v>
      </c>
      <c r="I1227" s="381">
        <v>35</v>
      </c>
      <c r="J1227" s="381">
        <v>35</v>
      </c>
      <c r="K1227" s="381">
        <v>35</v>
      </c>
      <c r="L1227" s="381">
        <v>35</v>
      </c>
      <c r="M1227" s="381">
        <v>35</v>
      </c>
      <c r="N1227" s="381">
        <v>35</v>
      </c>
      <c r="O1227" s="381">
        <v>35</v>
      </c>
      <c r="P1227" s="12">
        <v>35</v>
      </c>
      <c r="Q1227" s="12">
        <v>35</v>
      </c>
      <c r="R1227" s="12">
        <v>35</v>
      </c>
      <c r="S1227" s="12">
        <v>35</v>
      </c>
    </row>
    <row r="1228" spans="1:19" x14ac:dyDescent="0.25">
      <c r="A1228" s="365" t="s">
        <v>18</v>
      </c>
      <c r="B1228" s="381">
        <v>37</v>
      </c>
      <c r="C1228" s="381">
        <v>37</v>
      </c>
      <c r="D1228" s="381">
        <v>37</v>
      </c>
      <c r="E1228" s="381">
        <v>37</v>
      </c>
      <c r="F1228" s="381">
        <v>33.6</v>
      </c>
      <c r="G1228" s="381">
        <v>35</v>
      </c>
      <c r="H1228" s="381">
        <v>35</v>
      </c>
      <c r="I1228" s="381">
        <v>42</v>
      </c>
      <c r="J1228" s="381">
        <v>42</v>
      </c>
      <c r="K1228" s="381">
        <v>42</v>
      </c>
      <c r="L1228" s="381">
        <v>42</v>
      </c>
      <c r="M1228" s="381">
        <v>42</v>
      </c>
      <c r="N1228" s="381">
        <v>42</v>
      </c>
      <c r="O1228" s="381">
        <v>42</v>
      </c>
      <c r="P1228" s="12">
        <v>35</v>
      </c>
      <c r="Q1228" s="12">
        <v>35</v>
      </c>
      <c r="R1228" s="12">
        <v>35</v>
      </c>
      <c r="S1228" s="12">
        <v>35</v>
      </c>
    </row>
    <row r="1229" spans="1:19" x14ac:dyDescent="0.25">
      <c r="A1229" s="365" t="s">
        <v>19</v>
      </c>
      <c r="B1229" s="381"/>
      <c r="C1229" s="381"/>
      <c r="D1229" s="381"/>
      <c r="E1229" s="381"/>
      <c r="F1229" s="381"/>
      <c r="G1229" s="381"/>
      <c r="H1229" s="381"/>
      <c r="I1229" s="381"/>
      <c r="J1229" s="381"/>
      <c r="K1229" s="381"/>
      <c r="L1229" s="381"/>
      <c r="M1229" s="381"/>
      <c r="N1229" s="381"/>
      <c r="O1229" s="381"/>
      <c r="P1229" s="12"/>
      <c r="Q1229" s="12"/>
      <c r="R1229" s="12"/>
      <c r="S1229" s="12"/>
    </row>
    <row r="1230" spans="1:19" x14ac:dyDescent="0.25">
      <c r="A1230" s="365" t="s">
        <v>20</v>
      </c>
      <c r="B1230" s="381">
        <v>28.84</v>
      </c>
      <c r="C1230" s="381">
        <v>28.802399999999999</v>
      </c>
      <c r="D1230" s="381">
        <v>40.781999999999996</v>
      </c>
      <c r="E1230" s="381">
        <v>27.9</v>
      </c>
      <c r="F1230" s="381">
        <v>49.6</v>
      </c>
      <c r="G1230" s="381">
        <v>16.899999999999999</v>
      </c>
      <c r="H1230" s="381">
        <v>5.7</v>
      </c>
      <c r="I1230" s="381">
        <v>9.9</v>
      </c>
      <c r="J1230" s="381">
        <v>12.6</v>
      </c>
      <c r="K1230" s="381">
        <v>9.1999999999999993</v>
      </c>
      <c r="L1230" s="381">
        <v>14.4</v>
      </c>
      <c r="M1230" s="381">
        <v>10.852466</v>
      </c>
      <c r="N1230" s="381">
        <v>7.9</v>
      </c>
      <c r="O1230" s="381">
        <v>6.1</v>
      </c>
      <c r="P1230" s="12">
        <v>6.4</v>
      </c>
      <c r="Q1230" s="12">
        <v>6.4</v>
      </c>
      <c r="R1230" s="12">
        <v>0.6</v>
      </c>
      <c r="S1230" s="12"/>
    </row>
    <row r="1231" spans="1:19" x14ac:dyDescent="0.25">
      <c r="A1231" s="365" t="s">
        <v>21</v>
      </c>
      <c r="B1231" s="381">
        <v>8.16</v>
      </c>
      <c r="C1231" s="381">
        <v>8.1976000000000013</v>
      </c>
      <c r="D1231" s="381">
        <v>3.782</v>
      </c>
      <c r="E1231" s="381">
        <v>9.1000000000000014</v>
      </c>
      <c r="F1231" s="381">
        <v>16</v>
      </c>
      <c r="G1231" s="381">
        <v>18.100000000000001</v>
      </c>
      <c r="H1231" s="381">
        <v>29.3</v>
      </c>
      <c r="I1231" s="381">
        <v>32.1</v>
      </c>
      <c r="J1231" s="381">
        <v>29.4</v>
      </c>
      <c r="K1231" s="381">
        <v>32.799999999999997</v>
      </c>
      <c r="L1231" s="381">
        <v>27.6</v>
      </c>
      <c r="M1231" s="381">
        <v>31.147534</v>
      </c>
      <c r="N1231" s="381">
        <f>N1228-N1230</f>
        <v>34.1</v>
      </c>
      <c r="O1231" s="381">
        <f>O1228-O1230</f>
        <v>35.9</v>
      </c>
      <c r="P1231" s="12">
        <f>P1227-P1230</f>
        <v>28.6</v>
      </c>
      <c r="Q1231" s="12">
        <f t="shared" ref="Q1231:R1231" si="49">Q1227-Q1230</f>
        <v>28.6</v>
      </c>
      <c r="R1231" s="12">
        <f t="shared" si="49"/>
        <v>34.4</v>
      </c>
      <c r="S1231" s="12"/>
    </row>
    <row r="1232" spans="1:19" x14ac:dyDescent="0.25">
      <c r="A1232" s="369" t="s">
        <v>22</v>
      </c>
      <c r="B1232" s="370"/>
      <c r="C1232" s="433"/>
      <c r="D1232" s="370"/>
      <c r="E1232" s="429"/>
      <c r="F1232" s="370"/>
      <c r="G1232" s="370"/>
      <c r="H1232" s="429"/>
      <c r="I1232" s="429"/>
      <c r="J1232" s="429"/>
      <c r="K1232" s="429"/>
      <c r="L1232" s="429"/>
      <c r="M1232" s="429"/>
      <c r="N1232" s="429"/>
      <c r="O1232" s="429"/>
      <c r="P1232" s="17"/>
      <c r="Q1232" s="17"/>
      <c r="R1232" s="17"/>
      <c r="S1232" s="17"/>
    </row>
    <row r="1233" spans="1:19" x14ac:dyDescent="0.25">
      <c r="A1233" s="369" t="s">
        <v>179</v>
      </c>
      <c r="B1233" s="408"/>
      <c r="C1233" s="408"/>
      <c r="D1233" s="408"/>
      <c r="E1233" s="408"/>
      <c r="F1233" s="408"/>
      <c r="G1233" s="408"/>
      <c r="H1233" s="408"/>
      <c r="I1233" s="408"/>
      <c r="J1233" s="408"/>
      <c r="K1233" s="408"/>
      <c r="L1233" s="408"/>
      <c r="M1233" s="408"/>
      <c r="N1233" s="408"/>
      <c r="O1233" s="408"/>
      <c r="P1233" s="46"/>
      <c r="Q1233" s="46"/>
      <c r="R1233" s="46"/>
      <c r="S1233" s="47"/>
    </row>
    <row r="1234" spans="1:19" x14ac:dyDescent="0.25">
      <c r="A1234" s="369" t="s">
        <v>200</v>
      </c>
      <c r="B1234" s="408"/>
      <c r="C1234" s="408"/>
      <c r="D1234" s="408"/>
      <c r="E1234" s="408"/>
      <c r="F1234" s="408"/>
      <c r="G1234" s="408"/>
      <c r="H1234" s="408"/>
      <c r="I1234" s="408"/>
      <c r="J1234" s="408"/>
      <c r="K1234" s="408"/>
      <c r="L1234" s="408"/>
      <c r="M1234" s="408"/>
      <c r="N1234" s="408"/>
      <c r="O1234" s="408"/>
      <c r="P1234" s="46"/>
      <c r="Q1234" s="46"/>
      <c r="R1234" s="46"/>
      <c r="S1234" s="47"/>
    </row>
    <row r="1235" spans="1:19" x14ac:dyDescent="0.25">
      <c r="A1235" s="374" t="s">
        <v>201</v>
      </c>
      <c r="B1235" s="344"/>
      <c r="C1235" s="344"/>
      <c r="D1235" s="344"/>
      <c r="E1235" s="344"/>
      <c r="F1235" s="344"/>
      <c r="G1235" s="344"/>
      <c r="H1235" s="344"/>
      <c r="I1235" s="344"/>
      <c r="J1235" s="344"/>
      <c r="K1235" s="344"/>
      <c r="L1235" s="344"/>
      <c r="M1235" s="344"/>
      <c r="N1235" s="344"/>
      <c r="O1235" s="344"/>
      <c r="S1235" s="64"/>
    </row>
    <row r="1236" spans="1:19" x14ac:dyDescent="0.25">
      <c r="A1236" s="374" t="s">
        <v>212</v>
      </c>
      <c r="B1236" s="344"/>
      <c r="C1236" s="344"/>
      <c r="D1236" s="344"/>
      <c r="E1236" s="344"/>
      <c r="F1236" s="344"/>
      <c r="G1236" s="344"/>
      <c r="H1236" s="344"/>
      <c r="I1236" s="344"/>
      <c r="J1236" s="344"/>
      <c r="K1236" s="344"/>
      <c r="L1236" s="344"/>
      <c r="M1236" s="344"/>
      <c r="N1236" s="344"/>
      <c r="O1236" s="344"/>
      <c r="S1236" s="64"/>
    </row>
    <row r="1237" spans="1:19" x14ac:dyDescent="0.25">
      <c r="A1237" s="374" t="s">
        <v>213</v>
      </c>
      <c r="B1237" s="344"/>
      <c r="C1237" s="344"/>
      <c r="D1237" s="344"/>
      <c r="E1237" s="344"/>
      <c r="F1237" s="344"/>
      <c r="G1237" s="344"/>
      <c r="H1237" s="344"/>
      <c r="I1237" s="344"/>
      <c r="J1237" s="344"/>
      <c r="K1237" s="344"/>
      <c r="L1237" s="344"/>
      <c r="M1237" s="344"/>
      <c r="N1237" s="344"/>
      <c r="O1237" s="344"/>
      <c r="S1237" s="64"/>
    </row>
    <row r="1238" spans="1:19" x14ac:dyDescent="0.25">
      <c r="A1238" s="374" t="s">
        <v>214</v>
      </c>
      <c r="B1238" s="344"/>
      <c r="C1238" s="375"/>
      <c r="D1238" s="377"/>
      <c r="E1238" s="376"/>
      <c r="F1238" s="344"/>
      <c r="G1238" s="344"/>
      <c r="H1238" s="377"/>
      <c r="I1238" s="344"/>
      <c r="J1238" s="344"/>
      <c r="K1238" s="344"/>
      <c r="L1238" s="344"/>
      <c r="M1238" s="344"/>
      <c r="N1238" s="344"/>
      <c r="O1238" s="344"/>
      <c r="S1238" s="64"/>
    </row>
    <row r="1239" spans="1:19" x14ac:dyDescent="0.25">
      <c r="A1239" s="374" t="s">
        <v>241</v>
      </c>
      <c r="B1239" s="344"/>
      <c r="C1239" s="344"/>
      <c r="D1239" s="344"/>
      <c r="E1239" s="344"/>
      <c r="F1239" s="344"/>
      <c r="G1239" s="344"/>
      <c r="H1239" s="377"/>
      <c r="I1239" s="344"/>
      <c r="J1239" s="344"/>
      <c r="K1239" s="344"/>
      <c r="L1239" s="344"/>
      <c r="M1239" s="344"/>
      <c r="N1239" s="344"/>
      <c r="O1239" s="344"/>
      <c r="S1239" s="64"/>
    </row>
    <row r="1240" spans="1:19" x14ac:dyDescent="0.25">
      <c r="A1240" s="374" t="s">
        <v>282</v>
      </c>
      <c r="B1240" s="344"/>
      <c r="C1240" s="344"/>
      <c r="D1240" s="344"/>
      <c r="E1240" s="344"/>
      <c r="F1240" s="344"/>
      <c r="G1240" s="344"/>
      <c r="H1240" s="377"/>
      <c r="I1240" s="344"/>
      <c r="J1240" s="344"/>
      <c r="K1240" s="344"/>
      <c r="L1240" s="344"/>
      <c r="M1240" s="344"/>
      <c r="N1240" s="344"/>
      <c r="O1240" s="344"/>
      <c r="S1240" s="64"/>
    </row>
    <row r="1241" spans="1:19" x14ac:dyDescent="0.25">
      <c r="A1241" s="374" t="s">
        <v>283</v>
      </c>
      <c r="B1241" s="344"/>
      <c r="C1241" s="344"/>
      <c r="D1241" s="344"/>
      <c r="E1241" s="344"/>
      <c r="F1241" s="344"/>
      <c r="G1241" s="344"/>
      <c r="H1241" s="377"/>
      <c r="I1241" s="344"/>
      <c r="J1241" s="344"/>
      <c r="K1241" s="344"/>
      <c r="L1241" s="344"/>
      <c r="M1241" s="344"/>
      <c r="N1241" s="344"/>
      <c r="O1241" s="344"/>
      <c r="S1241" s="64"/>
    </row>
    <row r="1242" spans="1:19" x14ac:dyDescent="0.25">
      <c r="A1242" s="374" t="s">
        <v>284</v>
      </c>
      <c r="B1242" s="344"/>
      <c r="C1242" s="344"/>
      <c r="D1242" s="344"/>
      <c r="E1242" s="344"/>
      <c r="F1242" s="344"/>
      <c r="G1242" s="344"/>
      <c r="H1242" s="377"/>
      <c r="I1242" s="344"/>
      <c r="J1242" s="344"/>
      <c r="K1242" s="344"/>
      <c r="L1242" s="344"/>
      <c r="M1242" s="344"/>
      <c r="N1242" s="344"/>
      <c r="O1242" s="344"/>
      <c r="S1242" s="64"/>
    </row>
    <row r="1243" spans="1:19" x14ac:dyDescent="0.25">
      <c r="A1243" s="374" t="s">
        <v>649</v>
      </c>
      <c r="B1243" s="344"/>
      <c r="C1243" s="344"/>
      <c r="D1243" s="344"/>
      <c r="E1243" s="344"/>
      <c r="F1243" s="344"/>
      <c r="G1243" s="344"/>
      <c r="H1243" s="377"/>
      <c r="I1243" s="344"/>
      <c r="J1243" s="344"/>
      <c r="K1243" s="344"/>
      <c r="L1243" s="344"/>
      <c r="M1243" s="344"/>
      <c r="N1243" s="344"/>
      <c r="O1243" s="344"/>
      <c r="S1243" s="64"/>
    </row>
    <row r="1244" spans="1:19" x14ac:dyDescent="0.25">
      <c r="A1244" s="374" t="s">
        <v>814</v>
      </c>
      <c r="B1244" s="344"/>
      <c r="C1244" s="344"/>
      <c r="D1244" s="344"/>
      <c r="E1244" s="344"/>
      <c r="F1244" s="344"/>
      <c r="G1244" s="344"/>
      <c r="H1244" s="377"/>
      <c r="I1244" s="344"/>
      <c r="J1244" s="344"/>
      <c r="K1244" s="344"/>
      <c r="L1244" s="344"/>
      <c r="M1244" s="344"/>
      <c r="N1244" s="344"/>
      <c r="O1244" s="344"/>
      <c r="S1244" s="64"/>
    </row>
    <row r="1245" spans="1:19" x14ac:dyDescent="0.25">
      <c r="A1245" s="434" t="s">
        <v>1191</v>
      </c>
      <c r="B1245" s="344"/>
      <c r="C1245" s="344"/>
      <c r="D1245" s="344"/>
      <c r="E1245" s="344"/>
      <c r="F1245" s="344"/>
      <c r="G1245" s="344"/>
      <c r="H1245" s="377"/>
      <c r="I1245" s="344"/>
      <c r="J1245" s="344"/>
      <c r="K1245" s="344"/>
      <c r="L1245" s="344"/>
      <c r="M1245" s="344"/>
      <c r="N1245" s="344"/>
      <c r="O1245" s="344"/>
      <c r="S1245" s="64"/>
    </row>
    <row r="1246" spans="1:19" x14ac:dyDescent="0.25">
      <c r="A1246" s="431" t="s">
        <v>1192</v>
      </c>
      <c r="B1246" s="378"/>
      <c r="C1246" s="378"/>
      <c r="D1246" s="378"/>
      <c r="E1246" s="378"/>
      <c r="F1246" s="378"/>
      <c r="G1246" s="378"/>
      <c r="H1246" s="378"/>
      <c r="I1246" s="378"/>
      <c r="J1246" s="378"/>
      <c r="K1246" s="378"/>
      <c r="L1246" s="378"/>
      <c r="M1246" s="378"/>
      <c r="N1246" s="378"/>
      <c r="O1246" s="378"/>
      <c r="P1246" s="34"/>
      <c r="Q1246" s="34"/>
      <c r="R1246" s="34"/>
      <c r="S1246" s="48"/>
    </row>
    <row r="1247" spans="1:19" x14ac:dyDescent="0.25">
      <c r="A1247" s="317"/>
      <c r="C1247" s="353"/>
    </row>
    <row r="1248" spans="1:19" s="202" customFormat="1" x14ac:dyDescent="0.25">
      <c r="A1248" s="357" t="s">
        <v>14</v>
      </c>
      <c r="B1248" s="358" t="s">
        <v>571</v>
      </c>
      <c r="C1248" s="358" t="s">
        <v>15</v>
      </c>
      <c r="D1248" s="344"/>
    </row>
    <row r="1249" spans="1:16" s="202" customFormat="1" x14ac:dyDescent="0.25">
      <c r="A1249" s="362" t="s">
        <v>16</v>
      </c>
      <c r="B1249" s="363">
        <v>2020</v>
      </c>
      <c r="C1249" s="364">
        <v>2021</v>
      </c>
      <c r="D1249" s="364">
        <v>2022</v>
      </c>
      <c r="E1249" s="364">
        <v>2023</v>
      </c>
      <c r="F1249" s="364">
        <v>2024</v>
      </c>
      <c r="G1249" s="364">
        <v>2025</v>
      </c>
    </row>
    <row r="1250" spans="1:16" s="202" customFormat="1" x14ac:dyDescent="0.25">
      <c r="A1250" s="365" t="s">
        <v>17</v>
      </c>
      <c r="B1250" s="381">
        <v>4010</v>
      </c>
      <c r="C1250" s="381">
        <v>4010</v>
      </c>
      <c r="D1250" s="381">
        <v>4010</v>
      </c>
      <c r="E1250" s="381">
        <v>4010</v>
      </c>
      <c r="F1250" s="381">
        <v>3055</v>
      </c>
      <c r="G1250" s="381">
        <v>3055</v>
      </c>
    </row>
    <row r="1251" spans="1:16" s="202" customFormat="1" x14ac:dyDescent="0.25">
      <c r="A1251" s="365" t="s">
        <v>18</v>
      </c>
      <c r="B1251" s="381"/>
      <c r="C1251" s="381"/>
      <c r="D1251" s="381"/>
      <c r="E1251" s="381"/>
      <c r="F1251" s="381">
        <f>F1250-43</f>
        <v>3012</v>
      </c>
      <c r="G1251" s="381">
        <f>G1250-43</f>
        <v>3012</v>
      </c>
    </row>
    <row r="1252" spans="1:16" s="202" customFormat="1" x14ac:dyDescent="0.25">
      <c r="A1252" s="365" t="s">
        <v>19</v>
      </c>
      <c r="B1252" s="381"/>
      <c r="C1252" s="381"/>
      <c r="D1252" s="381"/>
      <c r="E1252" s="381"/>
      <c r="F1252" s="381"/>
      <c r="G1252" s="381"/>
    </row>
    <row r="1253" spans="1:16" s="202" customFormat="1" x14ac:dyDescent="0.25">
      <c r="A1253" s="365" t="s">
        <v>20</v>
      </c>
      <c r="B1253" s="381">
        <v>1896.6</v>
      </c>
      <c r="C1253" s="381">
        <v>1798</v>
      </c>
      <c r="D1253" s="381">
        <v>2237.3000000000002</v>
      </c>
      <c r="E1253" s="381">
        <v>2254.5</v>
      </c>
      <c r="F1253" s="381">
        <v>2010.9</v>
      </c>
      <c r="G1253" s="381"/>
    </row>
    <row r="1254" spans="1:16" s="202" customFormat="1" x14ac:dyDescent="0.25">
      <c r="A1254" s="365" t="s">
        <v>21</v>
      </c>
      <c r="B1254" s="381">
        <v>2113.4</v>
      </c>
      <c r="C1254" s="381">
        <f>C1250-C1253</f>
        <v>2212</v>
      </c>
      <c r="D1254" s="381">
        <f>D1250-D1253</f>
        <v>1772.6999999999998</v>
      </c>
      <c r="E1254" s="381">
        <f>E1250-E1253</f>
        <v>1755.5</v>
      </c>
      <c r="F1254" s="381">
        <f>F1251-F1253</f>
        <v>1001.0999999999999</v>
      </c>
      <c r="G1254" s="381"/>
    </row>
    <row r="1255" spans="1:16" s="202" customFormat="1" x14ac:dyDescent="0.25">
      <c r="A1255" s="369" t="s">
        <v>22</v>
      </c>
      <c r="B1255" s="370"/>
      <c r="C1255" s="370"/>
      <c r="D1255" s="370"/>
      <c r="E1255" s="370"/>
      <c r="F1255" s="370"/>
      <c r="G1255" s="370"/>
    </row>
    <row r="1256" spans="1:16" s="202" customFormat="1" x14ac:dyDescent="0.25">
      <c r="A1256" s="371" t="s">
        <v>23</v>
      </c>
      <c r="B1256" s="373"/>
      <c r="C1256" s="373"/>
      <c r="D1256" s="373"/>
      <c r="E1256" s="373"/>
      <c r="F1256" s="373"/>
      <c r="G1256" s="402"/>
    </row>
    <row r="1257" spans="1:16" s="202" customFormat="1" x14ac:dyDescent="0.25">
      <c r="A1257" s="371" t="s">
        <v>815</v>
      </c>
      <c r="B1257" s="373"/>
      <c r="C1257" s="373"/>
      <c r="D1257" s="373"/>
      <c r="E1257" s="373"/>
      <c r="F1257" s="373"/>
      <c r="G1257" s="402"/>
    </row>
    <row r="1258" spans="1:16" s="202" customFormat="1" x14ac:dyDescent="0.25">
      <c r="A1258" s="374" t="s">
        <v>650</v>
      </c>
      <c r="B1258" s="344"/>
      <c r="C1258" s="344"/>
      <c r="D1258" s="344"/>
      <c r="E1258" s="344"/>
      <c r="F1258" s="344"/>
      <c r="G1258" s="403"/>
    </row>
    <row r="1259" spans="1:16" s="202" customFormat="1" x14ac:dyDescent="0.25">
      <c r="A1259" s="374" t="s">
        <v>651</v>
      </c>
      <c r="B1259" s="344"/>
      <c r="C1259" s="344"/>
      <c r="D1259" s="344"/>
      <c r="E1259" s="344"/>
      <c r="F1259" s="344"/>
      <c r="G1259" s="403"/>
    </row>
    <row r="1260" spans="1:16" s="202" customFormat="1" x14ac:dyDescent="0.25">
      <c r="A1260" s="374" t="s">
        <v>816</v>
      </c>
      <c r="B1260" s="344"/>
      <c r="C1260" s="344"/>
      <c r="D1260" s="344"/>
      <c r="E1260" s="344"/>
      <c r="F1260" s="344"/>
      <c r="G1260" s="403"/>
    </row>
    <row r="1261" spans="1:16" s="202" customFormat="1" x14ac:dyDescent="0.25">
      <c r="A1261" s="374" t="s">
        <v>817</v>
      </c>
      <c r="B1261" s="344"/>
      <c r="C1261" s="344"/>
      <c r="D1261" s="344"/>
      <c r="E1261" s="344"/>
      <c r="F1261" s="344"/>
      <c r="G1261" s="403"/>
    </row>
    <row r="1262" spans="1:16" s="202" customFormat="1" x14ac:dyDescent="0.25">
      <c r="A1262" s="435" t="s">
        <v>1044</v>
      </c>
      <c r="B1262" s="344"/>
      <c r="C1262" s="344"/>
      <c r="D1262" s="344"/>
      <c r="E1262" s="344"/>
      <c r="F1262" s="344"/>
      <c r="G1262" s="403"/>
    </row>
    <row r="1263" spans="1:16" x14ac:dyDescent="0.25">
      <c r="A1263" s="435" t="s">
        <v>1093</v>
      </c>
      <c r="C1263" s="353"/>
      <c r="G1263" s="64"/>
    </row>
    <row r="1264" spans="1:16" s="417" customFormat="1" ht="13.8" x14ac:dyDescent="0.3">
      <c r="A1264" s="431" t="s">
        <v>1243</v>
      </c>
      <c r="B1264" s="34"/>
      <c r="C1264" s="34"/>
      <c r="D1264" s="34"/>
      <c r="E1264" s="34"/>
      <c r="F1264" s="34"/>
      <c r="G1264" s="48"/>
      <c r="H1264" s="48"/>
      <c r="I1264" s="3"/>
      <c r="J1264" s="3"/>
      <c r="K1264" s="3"/>
      <c r="L1264" s="3"/>
      <c r="M1264" s="3"/>
      <c r="N1264" s="3"/>
      <c r="O1264" s="3"/>
      <c r="P1264" s="3"/>
    </row>
    <row r="1265" spans="1:16" s="417" customFormat="1" ht="13.8" x14ac:dyDescent="0.3">
      <c r="A1265" s="624"/>
      <c r="B1265" s="3"/>
      <c r="C1265" s="3"/>
      <c r="D1265" s="3"/>
      <c r="E1265" s="3"/>
      <c r="F1265" s="3"/>
      <c r="G1265" s="3"/>
      <c r="H1265" s="3"/>
      <c r="I1265" s="3"/>
      <c r="J1265" s="3"/>
      <c r="K1265" s="3"/>
      <c r="L1265" s="3"/>
      <c r="M1265" s="3"/>
      <c r="N1265" s="3"/>
      <c r="O1265" s="3"/>
      <c r="P1265" s="3"/>
    </row>
    <row r="1266" spans="1:16" s="417" customFormat="1" ht="13.8" x14ac:dyDescent="0.3">
      <c r="A1266" s="638" t="s">
        <v>12</v>
      </c>
      <c r="B1266" s="639" t="s">
        <v>173</v>
      </c>
      <c r="C1266" s="344"/>
      <c r="D1266" s="344"/>
      <c r="E1266" s="3"/>
      <c r="F1266" s="3"/>
      <c r="G1266" s="3"/>
      <c r="H1266" s="3"/>
      <c r="I1266" s="3"/>
      <c r="J1266" s="3"/>
      <c r="K1266" s="3"/>
      <c r="L1266" s="3"/>
      <c r="M1266" s="3"/>
      <c r="N1266" s="3"/>
      <c r="O1266" s="3"/>
      <c r="P1266" s="3"/>
    </row>
    <row r="1267" spans="1:16" s="417" customFormat="1" ht="13.8" x14ac:dyDescent="0.3">
      <c r="A1267" s="638" t="s">
        <v>14</v>
      </c>
      <c r="B1267" s="639" t="s">
        <v>1245</v>
      </c>
      <c r="C1267" s="639" t="s">
        <v>15</v>
      </c>
      <c r="D1267" s="344"/>
      <c r="E1267" s="3"/>
      <c r="F1267" s="3"/>
      <c r="G1267" s="3"/>
      <c r="H1267" s="3"/>
      <c r="I1267" s="3"/>
      <c r="J1267" s="3"/>
      <c r="K1267" s="3"/>
      <c r="L1267" s="3"/>
      <c r="M1267" s="3"/>
      <c r="N1267" s="3"/>
      <c r="O1267" s="3"/>
      <c r="P1267" s="3"/>
    </row>
    <row r="1268" spans="1:16" s="417" customFormat="1" ht="13.8" x14ac:dyDescent="0.3">
      <c r="A1268" s="384" t="s">
        <v>16</v>
      </c>
      <c r="B1268" s="632">
        <v>2024</v>
      </c>
      <c r="C1268" s="632">
        <v>2025</v>
      </c>
      <c r="D1268" s="632">
        <v>2026</v>
      </c>
      <c r="E1268" s="3"/>
      <c r="F1268" s="3"/>
      <c r="G1268" s="3"/>
      <c r="H1268" s="3"/>
      <c r="I1268" s="3"/>
      <c r="J1268" s="3"/>
      <c r="K1268" s="3"/>
      <c r="L1268" s="3"/>
      <c r="M1268" s="3"/>
      <c r="N1268" s="3"/>
      <c r="O1268" s="3"/>
      <c r="P1268" s="3"/>
    </row>
    <row r="1269" spans="1:16" s="417" customFormat="1" ht="13.8" x14ac:dyDescent="0.3">
      <c r="A1269" s="384" t="s">
        <v>17</v>
      </c>
      <c r="B1269" s="644">
        <v>1520</v>
      </c>
      <c r="C1269" s="644">
        <v>1520</v>
      </c>
      <c r="D1269" s="644">
        <v>1520</v>
      </c>
      <c r="E1269" s="3"/>
      <c r="F1269" s="3"/>
      <c r="G1269" s="3"/>
      <c r="H1269" s="3"/>
      <c r="I1269" s="3"/>
      <c r="J1269" s="3"/>
      <c r="K1269" s="3"/>
      <c r="L1269" s="3"/>
      <c r="M1269" s="3"/>
      <c r="N1269" s="3"/>
      <c r="O1269" s="3"/>
      <c r="P1269" s="3"/>
    </row>
    <row r="1270" spans="1:16" s="417" customFormat="1" ht="13.8" x14ac:dyDescent="0.3">
      <c r="A1270" s="384" t="s">
        <v>18</v>
      </c>
      <c r="B1270" s="644">
        <v>1520</v>
      </c>
      <c r="C1270" s="644">
        <v>1520</v>
      </c>
      <c r="D1270" s="644">
        <v>1520</v>
      </c>
      <c r="E1270" s="3"/>
      <c r="F1270" s="3"/>
      <c r="G1270" s="3"/>
      <c r="H1270" s="3"/>
      <c r="I1270" s="3"/>
      <c r="J1270" s="3"/>
      <c r="K1270" s="3"/>
      <c r="L1270" s="3"/>
      <c r="M1270" s="3"/>
      <c r="N1270" s="3"/>
      <c r="O1270" s="3"/>
      <c r="P1270" s="3"/>
    </row>
    <row r="1271" spans="1:16" s="417" customFormat="1" ht="13.8" x14ac:dyDescent="0.3">
      <c r="A1271" s="384" t="s">
        <v>19</v>
      </c>
      <c r="B1271" s="644"/>
      <c r="C1271" s="644"/>
      <c r="D1271" s="644"/>
      <c r="E1271" s="3"/>
      <c r="F1271" s="3"/>
      <c r="G1271" s="3"/>
      <c r="H1271" s="3"/>
      <c r="I1271" s="3"/>
      <c r="J1271" s="3"/>
      <c r="K1271" s="3"/>
      <c r="L1271" s="3"/>
      <c r="M1271" s="3"/>
      <c r="N1271" s="3"/>
      <c r="O1271" s="3"/>
      <c r="P1271" s="3"/>
    </row>
    <row r="1272" spans="1:16" s="417" customFormat="1" ht="13.8" x14ac:dyDescent="0.3">
      <c r="A1272" s="384" t="s">
        <v>20</v>
      </c>
      <c r="B1272" s="645">
        <v>858.7</v>
      </c>
      <c r="C1272" s="646" t="s">
        <v>1142</v>
      </c>
      <c r="D1272" s="646" t="s">
        <v>1142</v>
      </c>
      <c r="E1272" s="3"/>
      <c r="F1272" s="3"/>
      <c r="G1272" s="3"/>
      <c r="H1272" s="3"/>
      <c r="I1272" s="3"/>
      <c r="J1272" s="3"/>
      <c r="K1272" s="3"/>
      <c r="L1272" s="3"/>
      <c r="M1272" s="3"/>
      <c r="N1272" s="3"/>
      <c r="O1272" s="3"/>
      <c r="P1272" s="3"/>
    </row>
    <row r="1273" spans="1:16" s="417" customFormat="1" ht="13.8" x14ac:dyDescent="0.3">
      <c r="A1273" s="371" t="s">
        <v>21</v>
      </c>
      <c r="B1273" s="647">
        <f>B1270-B1272</f>
        <v>661.3</v>
      </c>
      <c r="C1273" s="648" t="s">
        <v>1142</v>
      </c>
      <c r="D1273" s="648" t="s">
        <v>1142</v>
      </c>
      <c r="E1273" s="3"/>
      <c r="F1273" s="3"/>
      <c r="G1273" s="3"/>
      <c r="H1273" s="3"/>
      <c r="I1273" s="3"/>
      <c r="J1273" s="3"/>
      <c r="K1273" s="3"/>
      <c r="L1273" s="3"/>
      <c r="M1273" s="3"/>
      <c r="N1273" s="3"/>
      <c r="O1273" s="3"/>
      <c r="P1273" s="3"/>
    </row>
    <row r="1274" spans="1:16" s="417" customFormat="1" ht="13.8" x14ac:dyDescent="0.3">
      <c r="A1274" s="384" t="s">
        <v>22</v>
      </c>
      <c r="B1274" s="385"/>
      <c r="C1274" s="385"/>
      <c r="D1274" s="640"/>
      <c r="E1274" s="3"/>
      <c r="F1274" s="3"/>
      <c r="G1274" s="3"/>
      <c r="H1274" s="3"/>
      <c r="I1274" s="3"/>
      <c r="J1274" s="3"/>
      <c r="K1274" s="3"/>
      <c r="L1274" s="3"/>
      <c r="M1274" s="3"/>
      <c r="N1274" s="3"/>
      <c r="O1274" s="3"/>
      <c r="P1274" s="3"/>
    </row>
    <row r="1275" spans="1:16" s="417" customFormat="1" ht="13.8" x14ac:dyDescent="0.3">
      <c r="A1275" s="374" t="s">
        <v>23</v>
      </c>
      <c r="B1275" s="8"/>
      <c r="C1275" s="8"/>
      <c r="D1275" s="641"/>
      <c r="E1275" s="3"/>
      <c r="F1275" s="3"/>
      <c r="G1275" s="3"/>
      <c r="H1275" s="3"/>
      <c r="I1275" s="3"/>
      <c r="J1275" s="3"/>
      <c r="K1275" s="3"/>
      <c r="L1275" s="3"/>
      <c r="M1275" s="3"/>
      <c r="N1275" s="3"/>
      <c r="O1275" s="3"/>
      <c r="P1275" s="3"/>
    </row>
    <row r="1276" spans="1:16" s="643" customFormat="1" ht="13.8" x14ac:dyDescent="0.3">
      <c r="A1276" s="431" t="s">
        <v>1246</v>
      </c>
      <c r="B1276" s="637"/>
      <c r="C1276" s="637"/>
      <c r="D1276" s="642"/>
      <c r="E1276" s="45"/>
      <c r="F1276" s="45"/>
      <c r="G1276" s="45"/>
      <c r="H1276" s="45"/>
      <c r="I1276" s="45"/>
      <c r="J1276" s="45"/>
      <c r="K1276" s="45"/>
      <c r="L1276" s="45"/>
      <c r="M1276" s="45"/>
      <c r="N1276" s="45"/>
      <c r="O1276" s="45"/>
      <c r="P1276" s="45"/>
    </row>
    <row r="1277" spans="1:16" x14ac:dyDescent="0.25">
      <c r="A1277" s="437"/>
      <c r="C1277" s="353"/>
    </row>
    <row r="1278" spans="1:16" x14ac:dyDescent="0.25">
      <c r="A1278" s="357" t="s">
        <v>14</v>
      </c>
      <c r="B1278" s="411" t="s">
        <v>1056</v>
      </c>
      <c r="C1278" s="411" t="s">
        <v>15</v>
      </c>
      <c r="D1278" s="344"/>
    </row>
    <row r="1279" spans="1:16" x14ac:dyDescent="0.25">
      <c r="A1279" s="365" t="s">
        <v>16</v>
      </c>
      <c r="B1279" s="438">
        <v>2023</v>
      </c>
      <c r="C1279" s="438">
        <v>2024</v>
      </c>
      <c r="D1279" s="438">
        <v>2025</v>
      </c>
      <c r="E1279" s="439"/>
      <c r="F1279" s="438"/>
    </row>
    <row r="1280" spans="1:16" x14ac:dyDescent="0.25">
      <c r="A1280" s="365" t="s">
        <v>17</v>
      </c>
      <c r="B1280" s="366">
        <v>62</v>
      </c>
      <c r="C1280" s="366">
        <v>62</v>
      </c>
      <c r="D1280" s="366">
        <v>62</v>
      </c>
      <c r="E1280" s="440"/>
      <c r="F1280" s="366"/>
    </row>
    <row r="1281" spans="1:16" x14ac:dyDescent="0.25">
      <c r="A1281" s="365" t="s">
        <v>18</v>
      </c>
      <c r="B1281" s="366">
        <v>62</v>
      </c>
      <c r="C1281" s="366">
        <v>62</v>
      </c>
      <c r="D1281" s="366">
        <v>62</v>
      </c>
      <c r="E1281" s="440"/>
      <c r="F1281" s="366"/>
    </row>
    <row r="1282" spans="1:16" x14ac:dyDescent="0.25">
      <c r="A1282" s="365" t="s">
        <v>19</v>
      </c>
      <c r="B1282" s="366"/>
      <c r="C1282" s="366"/>
      <c r="D1282" s="366"/>
      <c r="E1282" s="440"/>
      <c r="F1282" s="366"/>
    </row>
    <row r="1283" spans="1:16" x14ac:dyDescent="0.25">
      <c r="A1283" s="365" t="s">
        <v>20</v>
      </c>
      <c r="B1283" s="366">
        <v>4.4000000000000004</v>
      </c>
      <c r="C1283" s="366">
        <v>6.8</v>
      </c>
      <c r="D1283" s="366"/>
      <c r="E1283" s="440"/>
      <c r="F1283" s="366"/>
    </row>
    <row r="1284" spans="1:16" x14ac:dyDescent="0.25">
      <c r="A1284" s="365" t="s">
        <v>21</v>
      </c>
      <c r="B1284" s="370">
        <f>B1280-B1283</f>
        <v>57.6</v>
      </c>
      <c r="C1284" s="370">
        <f>C1280-C1283</f>
        <v>55.2</v>
      </c>
      <c r="D1284" s="370"/>
      <c r="E1284" s="441"/>
      <c r="F1284" s="366"/>
    </row>
    <row r="1285" spans="1:16" ht="13.8" x14ac:dyDescent="0.3">
      <c r="A1285" s="371" t="s">
        <v>22</v>
      </c>
      <c r="B1285" s="636"/>
      <c r="C1285" s="635"/>
      <c r="D1285" s="635"/>
      <c r="E1285" s="373"/>
      <c r="F1285" s="635"/>
    </row>
    <row r="1286" spans="1:16" x14ac:dyDescent="0.25">
      <c r="A1286" s="371" t="s">
        <v>23</v>
      </c>
      <c r="B1286" s="373"/>
      <c r="C1286" s="373"/>
      <c r="D1286" s="373"/>
      <c r="E1286" s="19"/>
      <c r="F1286" s="63"/>
    </row>
    <row r="1287" spans="1:16" x14ac:dyDescent="0.25">
      <c r="A1287" s="374" t="s">
        <v>1094</v>
      </c>
      <c r="B1287" s="344"/>
      <c r="C1287" s="344"/>
      <c r="D1287" s="344"/>
      <c r="F1287" s="64"/>
    </row>
    <row r="1288" spans="1:16" x14ac:dyDescent="0.25">
      <c r="A1288" s="434" t="s">
        <v>1193</v>
      </c>
      <c r="F1288" s="64"/>
    </row>
    <row r="1289" spans="1:16" s="417" customFormat="1" ht="13.8" x14ac:dyDescent="0.3">
      <c r="A1289" s="431" t="s">
        <v>1244</v>
      </c>
      <c r="B1289" s="43"/>
      <c r="C1289" s="43"/>
      <c r="D1289" s="43"/>
      <c r="E1289" s="43"/>
      <c r="F1289" s="44"/>
      <c r="G1289" s="3"/>
      <c r="H1289" s="3"/>
      <c r="I1289" s="3"/>
      <c r="J1289" s="3"/>
      <c r="K1289" s="3"/>
      <c r="L1289" s="3"/>
      <c r="M1289" s="3"/>
      <c r="N1289" s="3"/>
      <c r="O1289" s="3"/>
      <c r="P1289" s="3"/>
    </row>
    <row r="1290" spans="1:16" x14ac:dyDescent="0.25">
      <c r="A1290" s="437"/>
      <c r="C1290" s="353"/>
    </row>
    <row r="1291" spans="1:16" x14ac:dyDescent="0.25">
      <c r="A1291" s="317"/>
      <c r="C1291" s="353"/>
    </row>
    <row r="1292" spans="1:16" x14ac:dyDescent="0.25">
      <c r="A1292" s="98" t="s">
        <v>674</v>
      </c>
      <c r="B1292" s="66" t="s">
        <v>673</v>
      </c>
      <c r="C1292" s="8"/>
      <c r="D1292" s="8"/>
      <c r="E1292" s="8"/>
      <c r="F1292" s="8"/>
      <c r="G1292" s="8"/>
    </row>
    <row r="1293" spans="1:16" x14ac:dyDescent="0.25">
      <c r="A1293" s="103" t="s">
        <v>14</v>
      </c>
      <c r="B1293" s="104" t="s">
        <v>624</v>
      </c>
      <c r="C1293" s="66" t="s">
        <v>15</v>
      </c>
      <c r="D1293" s="8"/>
      <c r="E1293" s="8"/>
      <c r="F1293" s="8"/>
      <c r="G1293" s="8"/>
    </row>
    <row r="1294" spans="1:16" x14ac:dyDescent="0.25">
      <c r="A1294" s="95" t="s">
        <v>16</v>
      </c>
      <c r="B1294" s="272">
        <v>2014</v>
      </c>
      <c r="C1294" s="264">
        <v>2015</v>
      </c>
      <c r="D1294" s="264">
        <v>2016</v>
      </c>
      <c r="E1294" s="264">
        <v>2017</v>
      </c>
      <c r="F1294" s="346">
        <v>2018</v>
      </c>
      <c r="G1294" s="346">
        <v>2019</v>
      </c>
      <c r="H1294" s="154">
        <v>2020</v>
      </c>
      <c r="I1294" s="154">
        <v>2021</v>
      </c>
      <c r="J1294" s="154">
        <v>2022</v>
      </c>
      <c r="K1294" s="154">
        <v>2023</v>
      </c>
      <c r="L1294" s="154">
        <v>2024</v>
      </c>
      <c r="M1294" s="154">
        <v>2025</v>
      </c>
    </row>
    <row r="1295" spans="1:16" x14ac:dyDescent="0.25">
      <c r="A1295" s="68" t="s">
        <v>17</v>
      </c>
      <c r="B1295" s="72">
        <v>200</v>
      </c>
      <c r="C1295" s="72">
        <v>200</v>
      </c>
      <c r="D1295" s="72">
        <v>200</v>
      </c>
      <c r="E1295" s="72">
        <v>200</v>
      </c>
      <c r="F1295" s="97">
        <v>200</v>
      </c>
      <c r="G1295" s="97">
        <v>215</v>
      </c>
      <c r="H1295" s="97">
        <v>215</v>
      </c>
      <c r="I1295" s="97">
        <v>242</v>
      </c>
      <c r="J1295" s="97">
        <v>242</v>
      </c>
      <c r="K1295" s="97">
        <v>242</v>
      </c>
      <c r="L1295" s="97">
        <v>302</v>
      </c>
      <c r="M1295" s="97">
        <v>302</v>
      </c>
    </row>
    <row r="1296" spans="1:16" x14ac:dyDescent="0.25">
      <c r="A1296" s="68" t="s">
        <v>18</v>
      </c>
      <c r="B1296" s="72">
        <v>250</v>
      </c>
      <c r="C1296" s="72">
        <v>215.6</v>
      </c>
      <c r="D1296" s="72">
        <v>250</v>
      </c>
      <c r="E1296" s="72">
        <v>250</v>
      </c>
      <c r="F1296" s="97">
        <v>250</v>
      </c>
      <c r="G1296" s="97">
        <v>265</v>
      </c>
      <c r="H1296" s="97">
        <v>265</v>
      </c>
      <c r="I1296" s="97">
        <f>I1295+0.25*G1295</f>
        <v>295.75</v>
      </c>
      <c r="J1296" s="97">
        <f>J1295+0.25*H1295</f>
        <v>295.75</v>
      </c>
      <c r="K1296" s="97">
        <f>K1295+I1295*0.25</f>
        <v>302.5</v>
      </c>
      <c r="L1296" s="97">
        <f>L1295+J1295*0.25</f>
        <v>362.5</v>
      </c>
      <c r="M1296" s="97">
        <f>M1295+K1295*0.25</f>
        <v>362.5</v>
      </c>
    </row>
    <row r="1297" spans="1:14" x14ac:dyDescent="0.25">
      <c r="A1297" s="68" t="s">
        <v>19</v>
      </c>
      <c r="B1297" s="442" t="s">
        <v>132</v>
      </c>
      <c r="C1297" s="253" t="s">
        <v>133</v>
      </c>
      <c r="D1297" s="253" t="s">
        <v>134</v>
      </c>
      <c r="E1297" s="253" t="s">
        <v>134</v>
      </c>
      <c r="F1297" s="253" t="s">
        <v>134</v>
      </c>
      <c r="G1297" s="253" t="s">
        <v>497</v>
      </c>
      <c r="H1297" s="253" t="s">
        <v>497</v>
      </c>
      <c r="I1297" s="253" t="s">
        <v>498</v>
      </c>
      <c r="J1297" s="253" t="s">
        <v>498</v>
      </c>
      <c r="K1297" s="253" t="s">
        <v>823</v>
      </c>
      <c r="L1297" s="253" t="s">
        <v>823</v>
      </c>
      <c r="M1297" s="253" t="s">
        <v>823</v>
      </c>
    </row>
    <row r="1298" spans="1:14" x14ac:dyDescent="0.25">
      <c r="A1298" s="68" t="s">
        <v>20</v>
      </c>
      <c r="B1298" s="72">
        <v>63.87</v>
      </c>
      <c r="C1298" s="72">
        <v>4.54</v>
      </c>
      <c r="D1298" s="72">
        <v>13.18</v>
      </c>
      <c r="E1298" s="72">
        <v>7.9</v>
      </c>
      <c r="F1298" s="97">
        <v>27.27</v>
      </c>
      <c r="G1298" s="97">
        <v>48.48</v>
      </c>
      <c r="H1298" s="12">
        <v>115.9</v>
      </c>
      <c r="I1298" s="12">
        <v>114.61</v>
      </c>
      <c r="J1298" s="12">
        <v>124.28</v>
      </c>
      <c r="K1298" s="12">
        <v>105.64</v>
      </c>
      <c r="L1298" s="12">
        <v>127.99</v>
      </c>
      <c r="M1298" s="12"/>
    </row>
    <row r="1299" spans="1:14" x14ac:dyDescent="0.25">
      <c r="A1299" s="68" t="s">
        <v>21</v>
      </c>
      <c r="B1299" s="72">
        <v>186.13</v>
      </c>
      <c r="C1299" s="72">
        <v>211.06</v>
      </c>
      <c r="D1299" s="72">
        <v>236.82</v>
      </c>
      <c r="E1299" s="72">
        <v>242.1</v>
      </c>
      <c r="F1299" s="97">
        <v>222.73</v>
      </c>
      <c r="G1299" s="97">
        <f t="shared" ref="G1299:L1299" si="50">G1296-G1298</f>
        <v>216.52</v>
      </c>
      <c r="H1299" s="12">
        <f t="shared" si="50"/>
        <v>149.1</v>
      </c>
      <c r="I1299" s="12">
        <f t="shared" si="50"/>
        <v>181.14</v>
      </c>
      <c r="J1299" s="12">
        <f t="shared" si="50"/>
        <v>171.47</v>
      </c>
      <c r="K1299" s="12">
        <f t="shared" si="50"/>
        <v>196.86</v>
      </c>
      <c r="L1299" s="12">
        <f t="shared" si="50"/>
        <v>234.51</v>
      </c>
      <c r="M1299" s="12"/>
    </row>
    <row r="1300" spans="1:14" x14ac:dyDescent="0.25">
      <c r="A1300" s="73" t="s">
        <v>22</v>
      </c>
      <c r="B1300" s="254">
        <v>2016</v>
      </c>
      <c r="C1300" s="254">
        <v>2017</v>
      </c>
      <c r="D1300" s="254">
        <v>2018</v>
      </c>
      <c r="E1300" s="254">
        <v>2019</v>
      </c>
      <c r="F1300" s="443">
        <v>2020</v>
      </c>
      <c r="G1300" s="443">
        <v>2021</v>
      </c>
      <c r="H1300" s="159">
        <v>2022</v>
      </c>
      <c r="I1300" s="159">
        <v>2023</v>
      </c>
      <c r="J1300" s="159">
        <v>2024</v>
      </c>
      <c r="K1300" s="159">
        <v>2025</v>
      </c>
      <c r="L1300" s="159">
        <v>2026</v>
      </c>
      <c r="M1300" s="180">
        <v>2027</v>
      </c>
    </row>
    <row r="1301" spans="1:14" x14ac:dyDescent="0.25">
      <c r="A1301" s="444" t="s">
        <v>135</v>
      </c>
      <c r="B1301" s="445"/>
      <c r="C1301" s="445"/>
      <c r="D1301" s="445"/>
      <c r="E1301" s="445"/>
      <c r="F1301" s="445"/>
      <c r="G1301" s="445"/>
      <c r="H1301" s="445"/>
      <c r="I1301" s="445"/>
      <c r="J1301" s="30"/>
      <c r="K1301" s="30"/>
      <c r="L1301" s="30"/>
      <c r="M1301" s="88"/>
    </row>
    <row r="1302" spans="1:14" x14ac:dyDescent="0.25">
      <c r="A1302" s="317"/>
      <c r="C1302" s="353"/>
    </row>
    <row r="1303" spans="1:14" x14ac:dyDescent="0.25">
      <c r="A1303" s="98" t="s">
        <v>14</v>
      </c>
      <c r="B1303" s="66" t="s">
        <v>638</v>
      </c>
      <c r="C1303" s="66" t="s">
        <v>15</v>
      </c>
      <c r="D1303" s="8"/>
      <c r="E1303" s="8"/>
      <c r="F1303" s="8"/>
      <c r="G1303" s="8"/>
    </row>
    <row r="1304" spans="1:14" x14ac:dyDescent="0.25">
      <c r="A1304" s="95" t="s">
        <v>16</v>
      </c>
      <c r="B1304" s="272">
        <v>2014</v>
      </c>
      <c r="C1304" s="264">
        <v>2015</v>
      </c>
      <c r="D1304" s="264">
        <v>2016</v>
      </c>
      <c r="E1304" s="264">
        <v>2017</v>
      </c>
      <c r="F1304" s="346">
        <v>2018</v>
      </c>
      <c r="G1304" s="346">
        <v>2019</v>
      </c>
      <c r="H1304" s="154">
        <v>2020</v>
      </c>
      <c r="I1304" s="154">
        <v>2021</v>
      </c>
      <c r="J1304" s="154">
        <v>2022</v>
      </c>
      <c r="K1304" s="154">
        <v>2023</v>
      </c>
      <c r="L1304" s="154">
        <v>2024</v>
      </c>
      <c r="M1304" s="154">
        <v>2025</v>
      </c>
      <c r="N1304" s="154">
        <v>2026</v>
      </c>
    </row>
    <row r="1305" spans="1:14" x14ac:dyDescent="0.25">
      <c r="A1305" s="68" t="s">
        <v>17</v>
      </c>
      <c r="B1305" s="72">
        <v>140</v>
      </c>
      <c r="C1305" s="72">
        <v>140</v>
      </c>
      <c r="D1305" s="72">
        <v>140</v>
      </c>
      <c r="E1305" s="72">
        <v>140</v>
      </c>
      <c r="F1305" s="97">
        <v>140</v>
      </c>
      <c r="G1305" s="97">
        <v>140</v>
      </c>
      <c r="H1305" s="97">
        <v>140</v>
      </c>
      <c r="I1305" s="97">
        <v>140</v>
      </c>
      <c r="J1305" s="97">
        <v>140</v>
      </c>
      <c r="K1305" s="97">
        <v>170</v>
      </c>
      <c r="L1305" s="97">
        <v>170</v>
      </c>
      <c r="M1305" s="97">
        <v>170</v>
      </c>
      <c r="N1305" s="97">
        <v>170</v>
      </c>
    </row>
    <row r="1306" spans="1:14" x14ac:dyDescent="0.25">
      <c r="A1306" s="68" t="s">
        <v>18</v>
      </c>
      <c r="B1306" s="72">
        <v>140</v>
      </c>
      <c r="C1306" s="72">
        <v>177.5</v>
      </c>
      <c r="D1306" s="72">
        <v>175</v>
      </c>
      <c r="E1306" s="72">
        <v>175</v>
      </c>
      <c r="F1306" s="97">
        <v>175</v>
      </c>
      <c r="G1306" s="97">
        <v>175</v>
      </c>
      <c r="H1306" s="97">
        <v>148.36000000000001</v>
      </c>
      <c r="I1306" s="97">
        <v>144.99</v>
      </c>
      <c r="J1306" s="97">
        <f>J1305+H1309</f>
        <v>156.91000000000003</v>
      </c>
      <c r="K1306" s="97">
        <f>K1305+I1309</f>
        <v>183.97</v>
      </c>
      <c r="L1306" s="97">
        <f>L1305+2.08</f>
        <v>172.08</v>
      </c>
      <c r="M1306" s="97">
        <f>M1305+0.25*K1305</f>
        <v>212.5</v>
      </c>
      <c r="N1306" s="97">
        <f>N1305+0.25*L1305</f>
        <v>212.5</v>
      </c>
    </row>
    <row r="1307" spans="1:14" x14ac:dyDescent="0.25">
      <c r="A1307" s="68" t="s">
        <v>19</v>
      </c>
      <c r="B1307" s="253" t="s">
        <v>136</v>
      </c>
      <c r="C1307" s="253" t="s">
        <v>137</v>
      </c>
      <c r="D1307" s="253" t="s">
        <v>138</v>
      </c>
      <c r="E1307" s="253" t="s">
        <v>138</v>
      </c>
      <c r="F1307" s="253" t="s">
        <v>138</v>
      </c>
      <c r="G1307" s="253" t="s">
        <v>138</v>
      </c>
      <c r="H1307" s="253" t="s">
        <v>285</v>
      </c>
      <c r="I1307" s="253" t="s">
        <v>499</v>
      </c>
      <c r="J1307" s="253" t="s">
        <v>500</v>
      </c>
      <c r="K1307" s="253" t="s">
        <v>734</v>
      </c>
      <c r="L1307" s="253" t="s">
        <v>929</v>
      </c>
      <c r="M1307" s="253" t="s">
        <v>1109</v>
      </c>
      <c r="N1307" s="253" t="s">
        <v>1109</v>
      </c>
    </row>
    <row r="1308" spans="1:14" x14ac:dyDescent="0.25">
      <c r="A1308" s="68" t="s">
        <v>20</v>
      </c>
      <c r="B1308" s="72">
        <v>3.42</v>
      </c>
      <c r="C1308" s="72">
        <v>3.47</v>
      </c>
      <c r="D1308" s="72">
        <v>48.27</v>
      </c>
      <c r="E1308" s="72">
        <v>85.96</v>
      </c>
      <c r="F1308" s="97">
        <v>166.64</v>
      </c>
      <c r="G1308" s="97">
        <v>170.01</v>
      </c>
      <c r="H1308" s="12">
        <v>131.44999999999999</v>
      </c>
      <c r="I1308" s="12">
        <v>131.02000000000001</v>
      </c>
      <c r="J1308" s="12">
        <v>152.91999999999999</v>
      </c>
      <c r="K1308" s="12">
        <v>88</v>
      </c>
      <c r="L1308" s="12">
        <v>168.33</v>
      </c>
      <c r="M1308" s="12"/>
      <c r="N1308" s="12"/>
    </row>
    <row r="1309" spans="1:14" x14ac:dyDescent="0.25">
      <c r="A1309" s="68" t="s">
        <v>21</v>
      </c>
      <c r="B1309" s="446">
        <v>136.58000000000001</v>
      </c>
      <c r="C1309" s="72">
        <v>174.03</v>
      </c>
      <c r="D1309" s="72">
        <v>126.73</v>
      </c>
      <c r="E1309" s="72">
        <v>89.04</v>
      </c>
      <c r="F1309" s="97">
        <v>8.36</v>
      </c>
      <c r="G1309" s="97">
        <f t="shared" ref="G1309:K1309" si="51">G1306-G1308</f>
        <v>4.9900000000000091</v>
      </c>
      <c r="H1309" s="12">
        <f t="shared" si="51"/>
        <v>16.910000000000025</v>
      </c>
      <c r="I1309" s="12">
        <f t="shared" si="51"/>
        <v>13.969999999999999</v>
      </c>
      <c r="J1309" s="12">
        <f t="shared" si="51"/>
        <v>3.9900000000000375</v>
      </c>
      <c r="K1309" s="12">
        <f t="shared" si="51"/>
        <v>95.97</v>
      </c>
      <c r="L1309" s="12">
        <f>L1306-L1308</f>
        <v>3.75</v>
      </c>
      <c r="M1309" s="12"/>
      <c r="N1309" s="12"/>
    </row>
    <row r="1310" spans="1:14" x14ac:dyDescent="0.25">
      <c r="A1310" s="73" t="s">
        <v>22</v>
      </c>
      <c r="B1310" s="254">
        <v>2016</v>
      </c>
      <c r="C1310" s="254">
        <v>2017</v>
      </c>
      <c r="D1310" s="254">
        <v>2018</v>
      </c>
      <c r="E1310" s="254">
        <v>2019</v>
      </c>
      <c r="F1310" s="443">
        <v>2020</v>
      </c>
      <c r="G1310" s="443">
        <v>2021</v>
      </c>
      <c r="H1310" s="159">
        <v>2022</v>
      </c>
      <c r="I1310" s="159">
        <v>2023</v>
      </c>
      <c r="J1310" s="159">
        <v>2024</v>
      </c>
      <c r="K1310" s="159">
        <v>2025</v>
      </c>
      <c r="L1310" s="159">
        <v>2026</v>
      </c>
      <c r="M1310" s="159">
        <v>2027</v>
      </c>
      <c r="N1310" s="197">
        <v>2028</v>
      </c>
    </row>
    <row r="1311" spans="1:14" x14ac:dyDescent="0.25">
      <c r="A1311" s="92" t="s">
        <v>135</v>
      </c>
      <c r="B1311" s="255"/>
      <c r="C1311" s="255"/>
      <c r="D1311" s="255"/>
      <c r="E1311" s="255"/>
      <c r="F1311" s="255"/>
      <c r="G1311" s="255"/>
      <c r="H1311" s="447"/>
      <c r="I1311" s="447"/>
      <c r="J1311" s="447"/>
      <c r="K1311" s="447"/>
      <c r="L1311" s="447"/>
      <c r="M1311" s="447"/>
      <c r="N1311" s="63"/>
    </row>
    <row r="1312" spans="1:14" x14ac:dyDescent="0.25">
      <c r="A1312" s="448" t="s">
        <v>930</v>
      </c>
      <c r="B1312" s="111"/>
      <c r="C1312" s="111"/>
      <c r="D1312" s="111"/>
      <c r="E1312" s="111"/>
      <c r="F1312" s="111"/>
      <c r="G1312" s="111"/>
      <c r="H1312" s="111"/>
      <c r="I1312" s="181"/>
      <c r="J1312" s="181"/>
      <c r="K1312" s="181"/>
      <c r="L1312" s="181"/>
      <c r="M1312" s="181"/>
      <c r="N1312" s="48"/>
    </row>
    <row r="1313" spans="1:14" x14ac:dyDescent="0.25">
      <c r="A1313" s="317"/>
      <c r="C1313" s="353"/>
    </row>
    <row r="1314" spans="1:14" x14ac:dyDescent="0.25">
      <c r="A1314" s="98" t="s">
        <v>14</v>
      </c>
      <c r="B1314" s="66" t="s">
        <v>623</v>
      </c>
      <c r="C1314" s="66" t="s">
        <v>152</v>
      </c>
      <c r="D1314" s="8"/>
      <c r="E1314" s="8"/>
      <c r="F1314" s="8"/>
      <c r="G1314" s="8"/>
    </row>
    <row r="1315" spans="1:14" x14ac:dyDescent="0.25">
      <c r="A1315" s="95" t="s">
        <v>16</v>
      </c>
      <c r="B1315" s="272">
        <v>2014</v>
      </c>
      <c r="C1315" s="264">
        <v>2015</v>
      </c>
      <c r="D1315" s="264">
        <v>2016</v>
      </c>
      <c r="E1315" s="264" t="s">
        <v>242</v>
      </c>
      <c r="F1315" s="264" t="s">
        <v>243</v>
      </c>
      <c r="G1315" s="264" t="s">
        <v>244</v>
      </c>
      <c r="H1315" s="264" t="s">
        <v>286</v>
      </c>
      <c r="I1315" s="264" t="s">
        <v>504</v>
      </c>
      <c r="J1315" s="264" t="s">
        <v>675</v>
      </c>
      <c r="K1315" s="264" t="s">
        <v>824</v>
      </c>
      <c r="L1315" s="264" t="s">
        <v>1046</v>
      </c>
      <c r="M1315" s="449" t="s">
        <v>1194</v>
      </c>
    </row>
    <row r="1316" spans="1:14" x14ac:dyDescent="0.25">
      <c r="A1316" s="68" t="s">
        <v>17</v>
      </c>
      <c r="B1316" s="72">
        <v>50</v>
      </c>
      <c r="C1316" s="72">
        <v>50</v>
      </c>
      <c r="D1316" s="72">
        <v>50</v>
      </c>
      <c r="E1316" s="72">
        <v>50</v>
      </c>
      <c r="F1316" s="72">
        <v>50</v>
      </c>
      <c r="G1316" s="72">
        <v>50</v>
      </c>
      <c r="H1316" s="12">
        <v>50</v>
      </c>
      <c r="I1316" s="12">
        <v>50</v>
      </c>
      <c r="J1316" s="12">
        <v>50</v>
      </c>
      <c r="K1316" s="12">
        <v>50</v>
      </c>
      <c r="L1316" s="12">
        <v>50</v>
      </c>
      <c r="M1316" s="450">
        <v>50</v>
      </c>
    </row>
    <row r="1317" spans="1:14" x14ac:dyDescent="0.25">
      <c r="A1317" s="68" t="s">
        <v>18</v>
      </c>
      <c r="B1317" s="72">
        <v>45.6</v>
      </c>
      <c r="C1317" s="72">
        <v>45.6</v>
      </c>
      <c r="D1317" s="72">
        <v>65.34</v>
      </c>
      <c r="E1317" s="72">
        <v>75</v>
      </c>
      <c r="F1317" s="72">
        <v>70</v>
      </c>
      <c r="G1317" s="72">
        <v>70</v>
      </c>
      <c r="H1317" s="12">
        <v>70</v>
      </c>
      <c r="I1317" s="12">
        <v>70</v>
      </c>
      <c r="J1317" s="12">
        <v>70</v>
      </c>
      <c r="K1317" s="12">
        <v>70</v>
      </c>
      <c r="L1317" s="12">
        <v>70</v>
      </c>
      <c r="M1317" s="450">
        <f>M1316+(K1316*0.4)</f>
        <v>70</v>
      </c>
    </row>
    <row r="1318" spans="1:14" x14ac:dyDescent="0.25">
      <c r="A1318" s="68" t="s">
        <v>19</v>
      </c>
      <c r="B1318" s="251" t="s">
        <v>139</v>
      </c>
      <c r="C1318" s="253" t="s">
        <v>139</v>
      </c>
      <c r="D1318" s="253" t="s">
        <v>140</v>
      </c>
      <c r="E1318" s="253" t="s">
        <v>141</v>
      </c>
      <c r="F1318" s="253" t="s">
        <v>245</v>
      </c>
      <c r="G1318" s="253" t="s">
        <v>245</v>
      </c>
      <c r="H1318" s="11" t="s">
        <v>245</v>
      </c>
      <c r="I1318" s="11" t="s">
        <v>245</v>
      </c>
      <c r="J1318" s="11" t="s">
        <v>245</v>
      </c>
      <c r="K1318" s="11" t="s">
        <v>245</v>
      </c>
      <c r="L1318" s="11" t="s">
        <v>245</v>
      </c>
      <c r="M1318" s="451" t="s">
        <v>1195</v>
      </c>
    </row>
    <row r="1319" spans="1:14" x14ac:dyDescent="0.25">
      <c r="A1319" s="68" t="s">
        <v>20</v>
      </c>
      <c r="B1319" s="72">
        <v>34.659999999999997</v>
      </c>
      <c r="C1319" s="72">
        <v>0</v>
      </c>
      <c r="D1319" s="72">
        <v>9.14</v>
      </c>
      <c r="E1319" s="72">
        <v>18.559999999999999</v>
      </c>
      <c r="F1319" s="72">
        <v>8.7899999999999991</v>
      </c>
      <c r="G1319" s="72">
        <v>9.3699999999999992</v>
      </c>
      <c r="H1319" s="12">
        <v>13.7</v>
      </c>
      <c r="I1319" s="12">
        <v>13.48</v>
      </c>
      <c r="J1319" s="12">
        <v>16.86</v>
      </c>
      <c r="K1319" s="12">
        <v>19.89</v>
      </c>
      <c r="L1319" s="12">
        <v>17.59</v>
      </c>
      <c r="M1319" s="450"/>
    </row>
    <row r="1320" spans="1:14" x14ac:dyDescent="0.25">
      <c r="A1320" s="68" t="s">
        <v>21</v>
      </c>
      <c r="B1320" s="72">
        <v>10.94</v>
      </c>
      <c r="C1320" s="72">
        <v>45.6</v>
      </c>
      <c r="D1320" s="72">
        <v>56.2</v>
      </c>
      <c r="E1320" s="72">
        <v>56.44</v>
      </c>
      <c r="F1320" s="72">
        <v>61.21</v>
      </c>
      <c r="G1320" s="72">
        <f t="shared" ref="G1320:L1320" si="52">G1317-G1319</f>
        <v>60.63</v>
      </c>
      <c r="H1320" s="72">
        <f t="shared" si="52"/>
        <v>56.3</v>
      </c>
      <c r="I1320" s="72">
        <f t="shared" si="52"/>
        <v>56.519999999999996</v>
      </c>
      <c r="J1320" s="72">
        <f t="shared" si="52"/>
        <v>53.14</v>
      </c>
      <c r="K1320" s="72">
        <f t="shared" si="52"/>
        <v>50.11</v>
      </c>
      <c r="L1320" s="72">
        <f t="shared" si="52"/>
        <v>52.41</v>
      </c>
      <c r="M1320" s="450"/>
    </row>
    <row r="1321" spans="1:14" x14ac:dyDescent="0.25">
      <c r="A1321" s="73" t="s">
        <v>22</v>
      </c>
      <c r="B1321" s="254">
        <v>2016</v>
      </c>
      <c r="C1321" s="254">
        <v>2017</v>
      </c>
      <c r="D1321" s="254">
        <v>2018</v>
      </c>
      <c r="E1321" s="254">
        <v>2019</v>
      </c>
      <c r="F1321" s="254">
        <v>2020</v>
      </c>
      <c r="G1321" s="254">
        <v>2021</v>
      </c>
      <c r="H1321" s="159">
        <v>2022</v>
      </c>
      <c r="I1321" s="159">
        <v>2023</v>
      </c>
      <c r="J1321" s="159">
        <v>2024</v>
      </c>
      <c r="K1321" s="159">
        <v>2025</v>
      </c>
      <c r="L1321" s="159">
        <v>2026</v>
      </c>
      <c r="M1321" s="452">
        <v>2026</v>
      </c>
    </row>
    <row r="1322" spans="1:14" x14ac:dyDescent="0.25">
      <c r="A1322" s="92" t="s">
        <v>579</v>
      </c>
      <c r="B1322" s="255"/>
      <c r="C1322" s="255"/>
      <c r="D1322" s="255"/>
      <c r="E1322" s="255"/>
      <c r="F1322" s="255"/>
      <c r="G1322" s="255"/>
      <c r="H1322" s="447"/>
      <c r="I1322" s="447"/>
      <c r="J1322" s="447"/>
      <c r="K1322" s="447"/>
      <c r="L1322" s="447"/>
      <c r="M1322" s="63"/>
    </row>
    <row r="1323" spans="1:14" x14ac:dyDescent="0.25">
      <c r="A1323" s="94" t="s">
        <v>502</v>
      </c>
      <c r="B1323" s="453"/>
      <c r="C1323" s="453"/>
      <c r="D1323" s="453"/>
      <c r="E1323" s="453"/>
      <c r="F1323" s="453"/>
      <c r="G1323" s="453"/>
      <c r="H1323" s="454"/>
      <c r="M1323" s="64"/>
    </row>
    <row r="1324" spans="1:14" x14ac:dyDescent="0.25">
      <c r="A1324" s="95" t="s">
        <v>503</v>
      </c>
      <c r="B1324" s="85"/>
      <c r="C1324" s="85"/>
      <c r="D1324" s="85"/>
      <c r="E1324" s="85"/>
      <c r="F1324" s="85"/>
      <c r="G1324" s="85"/>
      <c r="H1324" s="85"/>
      <c r="I1324" s="34"/>
      <c r="J1324" s="34"/>
      <c r="K1324" s="34"/>
      <c r="L1324" s="34"/>
      <c r="M1324" s="48"/>
    </row>
    <row r="1325" spans="1:14" ht="15.6" customHeight="1" x14ac:dyDescent="0.25">
      <c r="A1325" s="119"/>
      <c r="B1325" s="8"/>
      <c r="C1325" s="8"/>
      <c r="D1325" s="8"/>
      <c r="E1325" s="8"/>
      <c r="F1325" s="8"/>
      <c r="G1325" s="8"/>
    </row>
    <row r="1326" spans="1:14" x14ac:dyDescent="0.25">
      <c r="A1326" s="98" t="s">
        <v>14</v>
      </c>
      <c r="B1326" s="66" t="s">
        <v>641</v>
      </c>
      <c r="C1326" s="137" t="s">
        <v>152</v>
      </c>
      <c r="D1326" s="8"/>
      <c r="E1326" s="8"/>
      <c r="F1326" s="8"/>
      <c r="G1326" s="8"/>
    </row>
    <row r="1327" spans="1:14" x14ac:dyDescent="0.25">
      <c r="A1327" s="95" t="s">
        <v>16</v>
      </c>
      <c r="B1327" s="272">
        <v>2014</v>
      </c>
      <c r="C1327" s="264">
        <v>2015</v>
      </c>
      <c r="D1327" s="264">
        <v>2016</v>
      </c>
      <c r="E1327" s="264">
        <v>2017</v>
      </c>
      <c r="F1327" s="264" t="s">
        <v>243</v>
      </c>
      <c r="G1327" s="264" t="s">
        <v>244</v>
      </c>
      <c r="H1327" s="154" t="s">
        <v>286</v>
      </c>
      <c r="I1327" s="154" t="s">
        <v>504</v>
      </c>
      <c r="J1327" s="154" t="s">
        <v>675</v>
      </c>
      <c r="K1327" s="154">
        <v>2023</v>
      </c>
      <c r="L1327" s="154">
        <v>2023</v>
      </c>
      <c r="M1327" s="455">
        <v>2024</v>
      </c>
      <c r="N1327" s="455">
        <v>2025</v>
      </c>
    </row>
    <row r="1328" spans="1:14" x14ac:dyDescent="0.25">
      <c r="A1328" s="68" t="s">
        <v>17</v>
      </c>
      <c r="B1328" s="72">
        <v>50</v>
      </c>
      <c r="C1328" s="72">
        <v>50</v>
      </c>
      <c r="D1328" s="72">
        <v>50</v>
      </c>
      <c r="E1328" s="72">
        <v>50</v>
      </c>
      <c r="F1328" s="72">
        <v>50</v>
      </c>
      <c r="G1328" s="72">
        <v>50</v>
      </c>
      <c r="H1328" s="12">
        <v>50</v>
      </c>
      <c r="I1328" s="12">
        <v>50</v>
      </c>
      <c r="J1328" s="12">
        <v>50</v>
      </c>
      <c r="K1328" s="12">
        <v>50</v>
      </c>
      <c r="L1328" s="12">
        <v>50</v>
      </c>
      <c r="M1328" s="450">
        <v>50</v>
      </c>
      <c r="N1328" s="450">
        <v>50</v>
      </c>
    </row>
    <row r="1329" spans="1:14" x14ac:dyDescent="0.25">
      <c r="A1329" s="68" t="s">
        <v>18</v>
      </c>
      <c r="B1329" s="72">
        <v>50</v>
      </c>
      <c r="C1329" s="72">
        <v>60.7</v>
      </c>
      <c r="D1329" s="72">
        <v>47.37</v>
      </c>
      <c r="E1329" s="72">
        <v>65</v>
      </c>
      <c r="F1329" s="72">
        <v>60</v>
      </c>
      <c r="G1329" s="72">
        <v>60</v>
      </c>
      <c r="H1329" s="12">
        <f>H1328*1.2</f>
        <v>60</v>
      </c>
      <c r="I1329" s="12">
        <f>I1328*1.2</f>
        <v>60</v>
      </c>
      <c r="J1329" s="12">
        <f>J1328*1.2</f>
        <v>60</v>
      </c>
      <c r="K1329" s="12">
        <v>55</v>
      </c>
      <c r="L1329" s="12">
        <v>55</v>
      </c>
      <c r="M1329" s="450">
        <f>M1328+(K1328*0.1)</f>
        <v>55</v>
      </c>
      <c r="N1329" s="450">
        <f>N1328+(L1328*0.1)</f>
        <v>55</v>
      </c>
    </row>
    <row r="1330" spans="1:14" x14ac:dyDescent="0.25">
      <c r="A1330" s="68" t="s">
        <v>19</v>
      </c>
      <c r="B1330" s="253"/>
      <c r="C1330" s="253" t="s">
        <v>142</v>
      </c>
      <c r="D1330" s="253" t="s">
        <v>143</v>
      </c>
      <c r="E1330" s="253" t="s">
        <v>144</v>
      </c>
      <c r="F1330" s="253" t="s">
        <v>287</v>
      </c>
      <c r="G1330" s="253" t="s">
        <v>287</v>
      </c>
      <c r="H1330" s="253" t="s">
        <v>287</v>
      </c>
      <c r="I1330" s="253" t="s">
        <v>287</v>
      </c>
      <c r="J1330" s="253" t="s">
        <v>287</v>
      </c>
      <c r="K1330" s="253" t="s">
        <v>827</v>
      </c>
      <c r="L1330" s="253" t="s">
        <v>827</v>
      </c>
      <c r="M1330" s="456" t="s">
        <v>1196</v>
      </c>
      <c r="N1330" s="456" t="s">
        <v>1196</v>
      </c>
    </row>
    <row r="1331" spans="1:14" x14ac:dyDescent="0.25">
      <c r="A1331" s="68" t="s">
        <v>20</v>
      </c>
      <c r="B1331" s="72">
        <v>52.63</v>
      </c>
      <c r="C1331" s="72">
        <v>5.45</v>
      </c>
      <c r="D1331" s="72">
        <v>19.25</v>
      </c>
      <c r="E1331" s="72">
        <v>10.92</v>
      </c>
      <c r="F1331" s="72">
        <v>17.18</v>
      </c>
      <c r="G1331" s="72">
        <v>8.6999999999999993</v>
      </c>
      <c r="H1331" s="12">
        <v>15.41</v>
      </c>
      <c r="I1331" s="12">
        <v>5.56</v>
      </c>
      <c r="J1331" s="12">
        <v>6.37</v>
      </c>
      <c r="K1331" s="12">
        <v>4.57</v>
      </c>
      <c r="L1331" s="12"/>
      <c r="M1331" s="450">
        <v>9.85</v>
      </c>
      <c r="N1331" s="450"/>
    </row>
    <row r="1332" spans="1:14" x14ac:dyDescent="0.25">
      <c r="A1332" s="68" t="s">
        <v>21</v>
      </c>
      <c r="B1332" s="72">
        <v>-2.63</v>
      </c>
      <c r="C1332" s="72">
        <v>55.25</v>
      </c>
      <c r="D1332" s="72">
        <v>28.12</v>
      </c>
      <c r="E1332" s="72">
        <v>54.08</v>
      </c>
      <c r="F1332" s="72">
        <f t="shared" ref="F1332:K1332" si="53">F1329-F1331</f>
        <v>42.82</v>
      </c>
      <c r="G1332" s="72">
        <f t="shared" si="53"/>
        <v>51.3</v>
      </c>
      <c r="H1332" s="12">
        <f t="shared" si="53"/>
        <v>44.59</v>
      </c>
      <c r="I1332" s="12">
        <f t="shared" si="53"/>
        <v>54.44</v>
      </c>
      <c r="J1332" s="12">
        <f t="shared" si="53"/>
        <v>53.63</v>
      </c>
      <c r="K1332" s="12">
        <f t="shared" si="53"/>
        <v>50.43</v>
      </c>
      <c r="L1332" s="12"/>
      <c r="M1332" s="450">
        <f>M1329-M1331</f>
        <v>45.15</v>
      </c>
      <c r="N1332" s="450"/>
    </row>
    <row r="1333" spans="1:14" x14ac:dyDescent="0.25">
      <c r="A1333" s="73" t="s">
        <v>22</v>
      </c>
      <c r="B1333" s="254">
        <v>2016</v>
      </c>
      <c r="C1333" s="254">
        <v>2017</v>
      </c>
      <c r="D1333" s="254">
        <v>2018</v>
      </c>
      <c r="E1333" s="254">
        <v>2019</v>
      </c>
      <c r="F1333" s="254">
        <v>2020</v>
      </c>
      <c r="G1333" s="254">
        <v>2021</v>
      </c>
      <c r="H1333" s="159">
        <v>2022</v>
      </c>
      <c r="I1333" s="159">
        <v>2023</v>
      </c>
      <c r="J1333" s="159">
        <v>2024</v>
      </c>
      <c r="K1333" s="159">
        <v>2025</v>
      </c>
      <c r="L1333" s="159">
        <v>2025</v>
      </c>
      <c r="M1333" s="457">
        <v>2026</v>
      </c>
      <c r="N1333" s="457">
        <v>2026</v>
      </c>
    </row>
    <row r="1334" spans="1:14" x14ac:dyDescent="0.25">
      <c r="A1334" s="92" t="s">
        <v>455</v>
      </c>
      <c r="B1334" s="255"/>
      <c r="C1334" s="255"/>
      <c r="D1334" s="255"/>
      <c r="E1334" s="255"/>
      <c r="F1334" s="255"/>
      <c r="G1334" s="255"/>
      <c r="H1334" s="447"/>
      <c r="I1334" s="19"/>
      <c r="J1334" s="19"/>
      <c r="K1334" s="19"/>
      <c r="L1334" s="19"/>
      <c r="M1334" s="19"/>
      <c r="N1334" s="63"/>
    </row>
    <row r="1335" spans="1:14" x14ac:dyDescent="0.25">
      <c r="A1335" s="94" t="s">
        <v>825</v>
      </c>
      <c r="B1335" s="453"/>
      <c r="C1335" s="453"/>
      <c r="D1335" s="453"/>
      <c r="E1335" s="453"/>
      <c r="F1335" s="453"/>
      <c r="G1335" s="453"/>
      <c r="H1335" s="454"/>
      <c r="N1335" s="64"/>
    </row>
    <row r="1336" spans="1:14" x14ac:dyDescent="0.25">
      <c r="A1336" s="95" t="s">
        <v>826</v>
      </c>
      <c r="B1336" s="85"/>
      <c r="C1336" s="85"/>
      <c r="D1336" s="85"/>
      <c r="E1336" s="85"/>
      <c r="F1336" s="85"/>
      <c r="G1336" s="85"/>
      <c r="H1336" s="85"/>
      <c r="I1336" s="34"/>
      <c r="J1336" s="34"/>
      <c r="K1336" s="34"/>
      <c r="L1336" s="34"/>
      <c r="M1336" s="34"/>
      <c r="N1336" s="48"/>
    </row>
    <row r="1337" spans="1:14" ht="14.4" customHeight="1" x14ac:dyDescent="0.25">
      <c r="A1337" s="138"/>
      <c r="B1337" s="138"/>
      <c r="C1337" s="138"/>
      <c r="D1337" s="138"/>
      <c r="E1337" s="138"/>
      <c r="F1337" s="138"/>
      <c r="G1337" s="138"/>
      <c r="H1337" s="138"/>
    </row>
    <row r="1338" spans="1:14" ht="14.4" customHeight="1" x14ac:dyDescent="0.25">
      <c r="A1338" s="98" t="s">
        <v>203</v>
      </c>
      <c r="B1338" s="66" t="s">
        <v>642</v>
      </c>
      <c r="C1338" s="66" t="s">
        <v>152</v>
      </c>
      <c r="D1338" s="8"/>
      <c r="E1338" s="8"/>
      <c r="F1338" s="8"/>
      <c r="G1338" s="8"/>
    </row>
    <row r="1339" spans="1:14" ht="14.4" customHeight="1" x14ac:dyDescent="0.25">
      <c r="A1339" s="95" t="s">
        <v>16</v>
      </c>
      <c r="B1339" s="247"/>
      <c r="C1339" s="69"/>
      <c r="D1339" s="264">
        <v>2016</v>
      </c>
      <c r="E1339" s="264">
        <v>2017</v>
      </c>
      <c r="F1339" s="264">
        <v>2018</v>
      </c>
      <c r="G1339" s="264">
        <v>2019</v>
      </c>
      <c r="H1339" s="154">
        <v>2020</v>
      </c>
      <c r="I1339" s="154">
        <v>2021</v>
      </c>
      <c r="J1339" s="154">
        <v>2022</v>
      </c>
      <c r="K1339" s="154">
        <v>2023</v>
      </c>
      <c r="L1339" s="154">
        <v>2024</v>
      </c>
      <c r="M1339" s="154">
        <v>2025</v>
      </c>
    </row>
    <row r="1340" spans="1:14" ht="14.4" customHeight="1" x14ac:dyDescent="0.25">
      <c r="A1340" s="68" t="s">
        <v>17</v>
      </c>
      <c r="B1340" s="72"/>
      <c r="C1340" s="72"/>
      <c r="D1340" s="72">
        <v>113.66</v>
      </c>
      <c r="E1340" s="72">
        <v>136.46</v>
      </c>
      <c r="F1340" s="72">
        <v>160</v>
      </c>
      <c r="G1340" s="72">
        <v>184</v>
      </c>
      <c r="H1340" s="12">
        <v>200</v>
      </c>
      <c r="I1340" s="12">
        <v>200</v>
      </c>
      <c r="J1340" s="12">
        <v>200</v>
      </c>
      <c r="K1340" s="12">
        <v>221</v>
      </c>
      <c r="L1340" s="12">
        <v>221</v>
      </c>
      <c r="M1340" s="90">
        <v>221</v>
      </c>
    </row>
    <row r="1341" spans="1:14" ht="14.4" customHeight="1" x14ac:dyDescent="0.25">
      <c r="A1341" s="68" t="s">
        <v>18</v>
      </c>
      <c r="B1341" s="72"/>
      <c r="C1341" s="72"/>
      <c r="D1341" s="72">
        <v>163.66</v>
      </c>
      <c r="E1341" s="72">
        <v>181.46</v>
      </c>
      <c r="F1341" s="72">
        <v>210</v>
      </c>
      <c r="G1341" s="72">
        <v>234</v>
      </c>
      <c r="H1341" s="12">
        <v>251.57</v>
      </c>
      <c r="I1341" s="12">
        <f>I1340+50+H1344</f>
        <v>254.29999999999998</v>
      </c>
      <c r="J1341" s="12">
        <f>J1340+50+10</f>
        <v>260</v>
      </c>
      <c r="K1341" s="12">
        <f>K1340+50+J1344</f>
        <v>278.72399999999999</v>
      </c>
      <c r="L1341" s="12">
        <v>276.17</v>
      </c>
      <c r="M1341" s="90">
        <v>279.22000000000003</v>
      </c>
    </row>
    <row r="1342" spans="1:14" ht="14.4" customHeight="1" x14ac:dyDescent="0.25">
      <c r="A1342" s="68" t="s">
        <v>19</v>
      </c>
      <c r="B1342" s="252"/>
      <c r="C1342" s="252"/>
      <c r="D1342" s="253" t="s">
        <v>290</v>
      </c>
      <c r="E1342" s="253" t="s">
        <v>291</v>
      </c>
      <c r="F1342" s="253" t="s">
        <v>292</v>
      </c>
      <c r="G1342" s="253" t="s">
        <v>293</v>
      </c>
      <c r="H1342" s="11" t="s">
        <v>294</v>
      </c>
      <c r="I1342" s="11" t="s">
        <v>506</v>
      </c>
      <c r="J1342" s="11" t="s">
        <v>677</v>
      </c>
      <c r="K1342" s="11" t="s">
        <v>830</v>
      </c>
      <c r="L1342" s="11" t="s">
        <v>1145</v>
      </c>
      <c r="M1342" s="90" t="s">
        <v>1146</v>
      </c>
    </row>
    <row r="1343" spans="1:14" ht="14.4" customHeight="1" x14ac:dyDescent="0.25">
      <c r="A1343" s="68" t="s">
        <v>20</v>
      </c>
      <c r="B1343" s="72"/>
      <c r="C1343" s="72"/>
      <c r="D1343" s="72">
        <v>161.08000000000001</v>
      </c>
      <c r="E1343" s="72">
        <v>181.19</v>
      </c>
      <c r="F1343" s="72">
        <v>207.97</v>
      </c>
      <c r="G1343" s="72">
        <v>232.43299999999999</v>
      </c>
      <c r="H1343" s="12">
        <v>247.27</v>
      </c>
      <c r="I1343" s="12">
        <v>242.24</v>
      </c>
      <c r="J1343" s="12">
        <v>252.27600000000001</v>
      </c>
      <c r="K1343" s="12">
        <v>273.55</v>
      </c>
      <c r="L1343" s="12">
        <v>267.99</v>
      </c>
      <c r="M1343" s="90"/>
    </row>
    <row r="1344" spans="1:14" ht="14.4" customHeight="1" x14ac:dyDescent="0.25">
      <c r="A1344" s="68" t="s">
        <v>21</v>
      </c>
      <c r="B1344" s="72"/>
      <c r="C1344" s="72"/>
      <c r="D1344" s="72">
        <v>2.58</v>
      </c>
      <c r="E1344" s="72">
        <v>0.27</v>
      </c>
      <c r="F1344" s="72">
        <v>2.0299999999999998</v>
      </c>
      <c r="G1344" s="72">
        <v>1.5670000000000073</v>
      </c>
      <c r="H1344" s="12">
        <f>H1341-H1343</f>
        <v>4.2999999999999829</v>
      </c>
      <c r="I1344" s="12">
        <f>I1341-I1343</f>
        <v>12.059999999999974</v>
      </c>
      <c r="J1344" s="12">
        <f>J1341-J1343</f>
        <v>7.7239999999999895</v>
      </c>
      <c r="K1344" s="12">
        <f>K1341-K1343</f>
        <v>5.1739999999999782</v>
      </c>
      <c r="L1344" s="12">
        <v>8.1800000000000068</v>
      </c>
      <c r="M1344" s="90"/>
    </row>
    <row r="1345" spans="1:13" ht="14.4" customHeight="1" x14ac:dyDescent="0.25">
      <c r="A1345" s="73" t="s">
        <v>22</v>
      </c>
      <c r="B1345" s="74"/>
      <c r="C1345" s="74"/>
      <c r="D1345" s="74"/>
      <c r="E1345" s="74"/>
      <c r="F1345" s="74"/>
      <c r="G1345" s="254">
        <v>2020</v>
      </c>
      <c r="H1345" s="159">
        <v>2021</v>
      </c>
      <c r="I1345" s="17">
        <v>2022</v>
      </c>
      <c r="J1345" s="17">
        <v>2023</v>
      </c>
      <c r="K1345" s="17">
        <v>2024</v>
      </c>
      <c r="L1345" s="17">
        <v>2025</v>
      </c>
      <c r="M1345" s="90">
        <v>2026</v>
      </c>
    </row>
    <row r="1346" spans="1:13" ht="14.4" customHeight="1" x14ac:dyDescent="0.25">
      <c r="A1346" s="92" t="s">
        <v>295</v>
      </c>
      <c r="B1346" s="93"/>
      <c r="C1346" s="93"/>
      <c r="D1346" s="93"/>
      <c r="E1346" s="93"/>
      <c r="F1346" s="93"/>
      <c r="G1346" s="93"/>
      <c r="H1346" s="19"/>
      <c r="I1346" s="19"/>
      <c r="J1346" s="19"/>
      <c r="K1346" s="19"/>
      <c r="L1346" s="19"/>
      <c r="M1346" s="63"/>
    </row>
    <row r="1347" spans="1:13" ht="14.4" customHeight="1" x14ac:dyDescent="0.25">
      <c r="A1347" s="94" t="s">
        <v>296</v>
      </c>
      <c r="B1347" s="8"/>
      <c r="C1347" s="8"/>
      <c r="D1347" s="8"/>
      <c r="E1347" s="8"/>
      <c r="F1347" s="8"/>
      <c r="G1347" s="8"/>
      <c r="M1347" s="64"/>
    </row>
    <row r="1348" spans="1:13" ht="14.4" customHeight="1" x14ac:dyDescent="0.25">
      <c r="A1348" s="94" t="s">
        <v>297</v>
      </c>
      <c r="B1348" s="8"/>
      <c r="C1348" s="8"/>
      <c r="D1348" s="8"/>
      <c r="E1348" s="8"/>
      <c r="F1348" s="8"/>
      <c r="G1348" s="8"/>
      <c r="M1348" s="64"/>
    </row>
    <row r="1349" spans="1:13" ht="14.4" customHeight="1" x14ac:dyDescent="0.25">
      <c r="A1349" s="94" t="s">
        <v>298</v>
      </c>
      <c r="B1349" s="8"/>
      <c r="C1349" s="8"/>
      <c r="D1349" s="8"/>
      <c r="E1349" s="8"/>
      <c r="F1349" s="8"/>
      <c r="G1349" s="8"/>
      <c r="M1349" s="64"/>
    </row>
    <row r="1350" spans="1:13" ht="14.4" customHeight="1" x14ac:dyDescent="0.25">
      <c r="A1350" s="94" t="s">
        <v>505</v>
      </c>
      <c r="B1350" s="8"/>
      <c r="C1350" s="8"/>
      <c r="D1350" s="8"/>
      <c r="E1350" s="8"/>
      <c r="F1350" s="8"/>
      <c r="G1350" s="8"/>
      <c r="M1350" s="64"/>
    </row>
    <row r="1351" spans="1:13" ht="14.4" customHeight="1" x14ac:dyDescent="0.25">
      <c r="A1351" s="94" t="s">
        <v>676</v>
      </c>
      <c r="B1351" s="8"/>
      <c r="C1351" s="8"/>
      <c r="D1351" s="8"/>
      <c r="E1351" s="8"/>
      <c r="F1351" s="8"/>
      <c r="G1351" s="8"/>
      <c r="M1351" s="64"/>
    </row>
    <row r="1352" spans="1:13" ht="14.4" customHeight="1" x14ac:dyDescent="0.25">
      <c r="A1352" s="94" t="s">
        <v>828</v>
      </c>
      <c r="B1352" s="8"/>
      <c r="C1352" s="8"/>
      <c r="D1352" s="8"/>
      <c r="E1352" s="8"/>
      <c r="F1352" s="8"/>
      <c r="G1352" s="8"/>
      <c r="M1352" s="64"/>
    </row>
    <row r="1353" spans="1:13" ht="14.4" customHeight="1" x14ac:dyDescent="0.25">
      <c r="A1353" s="95" t="s">
        <v>829</v>
      </c>
      <c r="B1353" s="85"/>
      <c r="C1353" s="85"/>
      <c r="D1353" s="85"/>
      <c r="E1353" s="85"/>
      <c r="F1353" s="85"/>
      <c r="G1353" s="85"/>
      <c r="H1353" s="34"/>
      <c r="I1353" s="34"/>
      <c r="J1353" s="34"/>
      <c r="K1353" s="34"/>
      <c r="L1353" s="34"/>
      <c r="M1353" s="48"/>
    </row>
    <row r="1354" spans="1:13" ht="14.4" customHeight="1" x14ac:dyDescent="0.25">
      <c r="A1354" s="138"/>
      <c r="B1354" s="138"/>
      <c r="C1354" s="138"/>
      <c r="D1354" s="138"/>
      <c r="E1354" s="138"/>
      <c r="F1354" s="138"/>
      <c r="G1354" s="138"/>
      <c r="H1354" s="138"/>
    </row>
    <row r="1355" spans="1:13" x14ac:dyDescent="0.25">
      <c r="A1355" s="98" t="s">
        <v>203</v>
      </c>
      <c r="B1355" s="66" t="s">
        <v>66</v>
      </c>
      <c r="C1355" s="66" t="s">
        <v>152</v>
      </c>
      <c r="D1355" s="8"/>
      <c r="E1355" s="8"/>
      <c r="F1355" s="8"/>
      <c r="G1355" s="8"/>
    </row>
    <row r="1356" spans="1:13" x14ac:dyDescent="0.25">
      <c r="A1356" s="95" t="s">
        <v>16</v>
      </c>
      <c r="B1356" s="272">
        <v>2014</v>
      </c>
      <c r="C1356" s="264">
        <v>2015</v>
      </c>
      <c r="D1356" s="264">
        <v>2016</v>
      </c>
      <c r="E1356" s="264">
        <v>2017</v>
      </c>
      <c r="F1356" s="264">
        <v>2018</v>
      </c>
      <c r="G1356" s="264">
        <v>2019</v>
      </c>
      <c r="H1356" s="154">
        <v>2020</v>
      </c>
      <c r="I1356" s="154">
        <v>2021</v>
      </c>
      <c r="J1356" s="154">
        <v>2022</v>
      </c>
      <c r="K1356" s="154">
        <v>2023</v>
      </c>
      <c r="L1356" s="154">
        <v>2024</v>
      </c>
      <c r="M1356" s="455" t="s">
        <v>1197</v>
      </c>
    </row>
    <row r="1357" spans="1:13" x14ac:dyDescent="0.25">
      <c r="A1357" s="68" t="s">
        <v>17</v>
      </c>
      <c r="B1357" s="72">
        <v>1983</v>
      </c>
      <c r="C1357" s="72">
        <v>1983</v>
      </c>
      <c r="D1357" s="72">
        <v>1486</v>
      </c>
      <c r="E1357" s="72">
        <v>1486</v>
      </c>
      <c r="F1357" s="72">
        <v>1486</v>
      </c>
      <c r="G1357" s="72">
        <v>1486</v>
      </c>
      <c r="H1357" s="12">
        <v>1000</v>
      </c>
      <c r="I1357" s="12">
        <v>984</v>
      </c>
      <c r="J1357" s="12">
        <v>992</v>
      </c>
      <c r="K1357" s="12">
        <v>992</v>
      </c>
      <c r="L1357" s="12">
        <v>992</v>
      </c>
      <c r="M1357" s="450">
        <v>1100</v>
      </c>
    </row>
    <row r="1358" spans="1:13" x14ac:dyDescent="0.25">
      <c r="A1358" s="68" t="s">
        <v>18</v>
      </c>
      <c r="B1358" s="72">
        <v>2557.9</v>
      </c>
      <c r="C1358" s="72">
        <v>2557.9</v>
      </c>
      <c r="D1358" s="72">
        <v>2080.9</v>
      </c>
      <c r="E1358" s="72">
        <v>1708.9</v>
      </c>
      <c r="F1358" s="72">
        <v>1485.9</v>
      </c>
      <c r="G1358" s="72">
        <v>1485.9</v>
      </c>
      <c r="H1358" s="12">
        <f>H1357+F1357*0.15-223</f>
        <v>999.90000000000009</v>
      </c>
      <c r="I1358" s="12">
        <f>I1357-223+G1357*0.1</f>
        <v>909.6</v>
      </c>
      <c r="J1358" s="12">
        <f>J1357-223+H1357*0.1</f>
        <v>869</v>
      </c>
      <c r="K1358" s="12">
        <f>K1357+0.1*I1357-223</f>
        <v>867.40000000000009</v>
      </c>
      <c r="L1358" s="12">
        <f>L1357+0.1*J1357-223</f>
        <v>868.2</v>
      </c>
      <c r="M1358" s="458">
        <v>1010.74</v>
      </c>
    </row>
    <row r="1359" spans="1:13" ht="28.95" customHeight="1" x14ac:dyDescent="0.25">
      <c r="A1359" s="68" t="s">
        <v>19</v>
      </c>
      <c r="B1359" s="252" t="s">
        <v>145</v>
      </c>
      <c r="C1359" s="252" t="s">
        <v>145</v>
      </c>
      <c r="D1359" s="252" t="s">
        <v>146</v>
      </c>
      <c r="E1359" s="252" t="s">
        <v>147</v>
      </c>
      <c r="F1359" s="252" t="s">
        <v>215</v>
      </c>
      <c r="G1359" s="252" t="s">
        <v>216</v>
      </c>
      <c r="H1359" s="195" t="s">
        <v>508</v>
      </c>
      <c r="I1359" s="195" t="s">
        <v>678</v>
      </c>
      <c r="J1359" s="195" t="s">
        <v>679</v>
      </c>
      <c r="K1359" s="195" t="s">
        <v>833</v>
      </c>
      <c r="L1359" s="195" t="s">
        <v>1047</v>
      </c>
      <c r="M1359" s="458"/>
    </row>
    <row r="1360" spans="1:13" x14ac:dyDescent="0.25">
      <c r="A1360" s="68" t="s">
        <v>20</v>
      </c>
      <c r="B1360" s="72">
        <v>1038.83</v>
      </c>
      <c r="C1360" s="72">
        <v>670.7</v>
      </c>
      <c r="D1360" s="72">
        <v>561.97</v>
      </c>
      <c r="E1360" s="72">
        <v>432.09</v>
      </c>
      <c r="F1360" s="72">
        <v>662.7</v>
      </c>
      <c r="G1360" s="72">
        <v>539.84</v>
      </c>
      <c r="H1360" s="12">
        <v>587.15</v>
      </c>
      <c r="I1360" s="12">
        <v>674.38</v>
      </c>
      <c r="J1360" s="12">
        <v>763.45</v>
      </c>
      <c r="K1360" s="12">
        <v>724.12</v>
      </c>
      <c r="L1360" s="12">
        <v>728.31</v>
      </c>
      <c r="M1360" s="450"/>
    </row>
    <row r="1361" spans="1:13" x14ac:dyDescent="0.25">
      <c r="A1361" s="68" t="s">
        <v>21</v>
      </c>
      <c r="B1361" s="72">
        <v>1519.07</v>
      </c>
      <c r="C1361" s="72">
        <v>1887.2</v>
      </c>
      <c r="D1361" s="72">
        <v>1518.93</v>
      </c>
      <c r="E1361" s="72">
        <v>1276.8100000000002</v>
      </c>
      <c r="F1361" s="72">
        <v>823.2</v>
      </c>
      <c r="G1361" s="72">
        <f t="shared" ref="G1361:L1361" si="54">G1358-G1360</f>
        <v>946.06000000000006</v>
      </c>
      <c r="H1361" s="12">
        <f t="shared" si="54"/>
        <v>412.75000000000011</v>
      </c>
      <c r="I1361" s="12">
        <f t="shared" si="54"/>
        <v>235.22000000000003</v>
      </c>
      <c r="J1361" s="12">
        <f t="shared" si="54"/>
        <v>105.54999999999995</v>
      </c>
      <c r="K1361" s="12">
        <f t="shared" si="54"/>
        <v>143.28000000000009</v>
      </c>
      <c r="L1361" s="12">
        <f t="shared" si="54"/>
        <v>139.8900000000001</v>
      </c>
      <c r="M1361" s="450"/>
    </row>
    <row r="1362" spans="1:13" x14ac:dyDescent="0.25">
      <c r="A1362" s="73" t="s">
        <v>22</v>
      </c>
      <c r="B1362" s="254">
        <v>2016</v>
      </c>
      <c r="C1362" s="254">
        <v>2017</v>
      </c>
      <c r="D1362" s="254">
        <v>2018</v>
      </c>
      <c r="E1362" s="254">
        <v>2019</v>
      </c>
      <c r="F1362" s="254">
        <v>2020</v>
      </c>
      <c r="G1362" s="254">
        <v>2021</v>
      </c>
      <c r="H1362" s="159">
        <v>2022</v>
      </c>
      <c r="I1362" s="159">
        <v>2023</v>
      </c>
      <c r="J1362" s="159">
        <v>2024</v>
      </c>
      <c r="K1362" s="159">
        <v>2025</v>
      </c>
      <c r="L1362" s="159">
        <v>2026</v>
      </c>
      <c r="M1362" s="452">
        <v>2027</v>
      </c>
    </row>
    <row r="1363" spans="1:13" x14ac:dyDescent="0.25">
      <c r="A1363" s="92" t="s">
        <v>580</v>
      </c>
      <c r="B1363" s="255"/>
      <c r="C1363" s="255"/>
      <c r="D1363" s="255"/>
      <c r="E1363" s="255"/>
      <c r="F1363" s="255"/>
      <c r="G1363" s="255"/>
      <c r="H1363" s="447"/>
      <c r="I1363" s="447"/>
      <c r="J1363" s="447"/>
      <c r="K1363" s="447"/>
      <c r="L1363" s="447"/>
      <c r="M1363" s="63"/>
    </row>
    <row r="1364" spans="1:13" x14ac:dyDescent="0.25">
      <c r="A1364" s="94" t="s">
        <v>288</v>
      </c>
      <c r="B1364" s="8"/>
      <c r="C1364" s="8"/>
      <c r="D1364" s="8"/>
      <c r="E1364" s="8"/>
      <c r="F1364" s="8"/>
      <c r="G1364" s="8"/>
      <c r="M1364" s="64"/>
    </row>
    <row r="1365" spans="1:13" x14ac:dyDescent="0.25">
      <c r="A1365" s="94" t="s">
        <v>289</v>
      </c>
      <c r="B1365" s="8"/>
      <c r="C1365" s="8"/>
      <c r="D1365" s="8"/>
      <c r="E1365" s="8"/>
      <c r="F1365" s="8"/>
      <c r="G1365" s="8"/>
      <c r="M1365" s="64"/>
    </row>
    <row r="1366" spans="1:13" x14ac:dyDescent="0.25">
      <c r="A1366" s="94" t="s">
        <v>509</v>
      </c>
      <c r="B1366" s="8"/>
      <c r="C1366" s="8"/>
      <c r="D1366" s="8"/>
      <c r="E1366" s="8"/>
      <c r="F1366" s="8"/>
      <c r="G1366" s="8"/>
      <c r="M1366" s="64"/>
    </row>
    <row r="1367" spans="1:13" x14ac:dyDescent="0.25">
      <c r="A1367" s="94" t="s">
        <v>148</v>
      </c>
      <c r="B1367" s="8"/>
      <c r="C1367" s="8"/>
      <c r="D1367" s="8"/>
      <c r="E1367" s="8"/>
      <c r="F1367" s="8"/>
      <c r="G1367" s="8"/>
      <c r="M1367" s="64"/>
    </row>
    <row r="1368" spans="1:13" x14ac:dyDescent="0.25">
      <c r="A1368" s="94" t="s">
        <v>507</v>
      </c>
      <c r="B1368" s="8"/>
      <c r="C1368" s="8"/>
      <c r="D1368" s="8"/>
      <c r="E1368" s="8"/>
      <c r="F1368" s="8"/>
      <c r="G1368" s="8"/>
      <c r="M1368" s="64"/>
    </row>
    <row r="1369" spans="1:13" x14ac:dyDescent="0.25">
      <c r="A1369" s="94" t="s">
        <v>680</v>
      </c>
      <c r="B1369" s="8"/>
      <c r="C1369" s="8"/>
      <c r="D1369" s="8"/>
      <c r="E1369" s="8"/>
      <c r="F1369" s="8"/>
      <c r="G1369" s="8"/>
      <c r="M1369" s="64"/>
    </row>
    <row r="1370" spans="1:13" x14ac:dyDescent="0.25">
      <c r="A1370" s="94" t="s">
        <v>831</v>
      </c>
      <c r="B1370" s="8"/>
      <c r="C1370" s="8"/>
      <c r="D1370" s="8"/>
      <c r="E1370" s="8"/>
      <c r="F1370" s="8"/>
      <c r="G1370" s="8"/>
      <c r="M1370" s="64"/>
    </row>
    <row r="1371" spans="1:13" x14ac:dyDescent="0.25">
      <c r="A1371" s="95" t="s">
        <v>832</v>
      </c>
      <c r="B1371" s="85"/>
      <c r="C1371" s="85"/>
      <c r="D1371" s="85"/>
      <c r="E1371" s="85"/>
      <c r="F1371" s="85"/>
      <c r="G1371" s="85"/>
      <c r="H1371" s="34"/>
      <c r="I1371" s="34"/>
      <c r="J1371" s="34"/>
      <c r="K1371" s="34"/>
      <c r="L1371" s="34"/>
      <c r="M1371" s="48"/>
    </row>
    <row r="1372" spans="1:13" x14ac:dyDescent="0.25">
      <c r="A1372" s="8"/>
      <c r="B1372" s="8"/>
      <c r="C1372" s="8"/>
      <c r="D1372" s="8"/>
      <c r="E1372" s="8"/>
      <c r="F1372" s="8"/>
      <c r="G1372" s="8"/>
    </row>
    <row r="1373" spans="1:13" x14ac:dyDescent="0.25">
      <c r="A1373" s="317"/>
      <c r="C1373" s="353"/>
    </row>
    <row r="1374" spans="1:13" x14ac:dyDescent="0.25">
      <c r="A1374" s="98" t="s">
        <v>203</v>
      </c>
      <c r="B1374" s="66" t="s">
        <v>74</v>
      </c>
      <c r="C1374" s="66" t="s">
        <v>152</v>
      </c>
      <c r="D1374" s="8"/>
      <c r="E1374" s="8"/>
      <c r="F1374" s="8"/>
      <c r="G1374" s="8"/>
    </row>
    <row r="1375" spans="1:13" x14ac:dyDescent="0.25">
      <c r="A1375" s="95" t="s">
        <v>16</v>
      </c>
      <c r="B1375" s="272">
        <v>2014</v>
      </c>
      <c r="C1375" s="264">
        <v>2015</v>
      </c>
      <c r="D1375" s="264">
        <v>2016</v>
      </c>
      <c r="E1375" s="264">
        <v>2017</v>
      </c>
      <c r="F1375" s="264">
        <v>2018</v>
      </c>
      <c r="G1375" s="264">
        <v>2019</v>
      </c>
      <c r="H1375" s="154">
        <v>2020</v>
      </c>
      <c r="I1375" s="154">
        <v>2021</v>
      </c>
      <c r="J1375" s="154">
        <v>2022</v>
      </c>
      <c r="K1375" s="154">
        <v>2023</v>
      </c>
      <c r="L1375" s="154">
        <v>2024</v>
      </c>
      <c r="M1375" s="154">
        <v>2025</v>
      </c>
    </row>
    <row r="1376" spans="1:13" x14ac:dyDescent="0.25">
      <c r="A1376" s="68" t="s">
        <v>17</v>
      </c>
      <c r="B1376" s="72">
        <v>35</v>
      </c>
      <c r="C1376" s="72">
        <v>35</v>
      </c>
      <c r="D1376" s="72">
        <v>35</v>
      </c>
      <c r="E1376" s="72">
        <v>35</v>
      </c>
      <c r="F1376" s="72">
        <v>35</v>
      </c>
      <c r="G1376" s="72">
        <v>35</v>
      </c>
      <c r="H1376" s="12">
        <v>29.4</v>
      </c>
      <c r="I1376" s="12">
        <v>29.4</v>
      </c>
      <c r="J1376" s="12">
        <v>29.4</v>
      </c>
      <c r="K1376" s="12">
        <v>29.4</v>
      </c>
      <c r="L1376" s="12">
        <v>29.4</v>
      </c>
      <c r="M1376" s="12">
        <v>29.4</v>
      </c>
    </row>
    <row r="1377" spans="1:13" x14ac:dyDescent="0.25">
      <c r="A1377" s="68" t="s">
        <v>18</v>
      </c>
      <c r="B1377" s="72">
        <v>35</v>
      </c>
      <c r="C1377" s="72">
        <v>42</v>
      </c>
      <c r="D1377" s="72">
        <v>42</v>
      </c>
      <c r="E1377" s="72">
        <v>42</v>
      </c>
      <c r="F1377" s="72">
        <v>42</v>
      </c>
      <c r="G1377" s="72">
        <v>42</v>
      </c>
      <c r="H1377" s="12">
        <v>36.4</v>
      </c>
      <c r="I1377" s="12">
        <v>36.4</v>
      </c>
      <c r="J1377" s="12"/>
      <c r="K1377" s="12"/>
      <c r="L1377" s="12">
        <v>29.4</v>
      </c>
      <c r="M1377" s="12">
        <v>29.4</v>
      </c>
    </row>
    <row r="1378" spans="1:13" x14ac:dyDescent="0.25">
      <c r="A1378" s="68" t="s">
        <v>19</v>
      </c>
      <c r="B1378" s="265" t="s">
        <v>136</v>
      </c>
      <c r="C1378" s="459" t="s">
        <v>149</v>
      </c>
      <c r="D1378" s="459" t="s">
        <v>149</v>
      </c>
      <c r="E1378" s="459" t="s">
        <v>149</v>
      </c>
      <c r="F1378" s="459" t="s">
        <v>149</v>
      </c>
      <c r="G1378" s="459" t="s">
        <v>149</v>
      </c>
      <c r="H1378" s="286" t="s">
        <v>299</v>
      </c>
      <c r="I1378" s="286" t="s">
        <v>299</v>
      </c>
      <c r="J1378" s="286"/>
      <c r="K1378" s="286"/>
      <c r="L1378" s="12">
        <v>29.4</v>
      </c>
      <c r="M1378" s="12">
        <v>29.4</v>
      </c>
    </row>
    <row r="1379" spans="1:13" x14ac:dyDescent="0.25">
      <c r="A1379" s="68" t="s">
        <v>20</v>
      </c>
      <c r="B1379" s="72">
        <v>9.7799999999999994</v>
      </c>
      <c r="C1379" s="72">
        <v>3.07</v>
      </c>
      <c r="D1379" s="72">
        <v>26.19</v>
      </c>
      <c r="E1379" s="72">
        <v>25.13</v>
      </c>
      <c r="F1379" s="72">
        <v>24.55</v>
      </c>
      <c r="G1379" s="72">
        <v>12.91</v>
      </c>
      <c r="H1379" s="12">
        <v>20.36</v>
      </c>
      <c r="I1379" s="12">
        <v>11.52</v>
      </c>
      <c r="J1379" s="12">
        <v>10.3</v>
      </c>
      <c r="K1379" s="12">
        <v>12.92</v>
      </c>
      <c r="L1379" s="12">
        <v>16.309999999999999</v>
      </c>
      <c r="M1379" s="12"/>
    </row>
    <row r="1380" spans="1:13" x14ac:dyDescent="0.25">
      <c r="A1380" s="68" t="s">
        <v>21</v>
      </c>
      <c r="B1380" s="72">
        <v>25.22</v>
      </c>
      <c r="C1380" s="72">
        <v>38.93</v>
      </c>
      <c r="D1380" s="72">
        <v>15.81</v>
      </c>
      <c r="E1380" s="72">
        <v>16.87</v>
      </c>
      <c r="F1380" s="72">
        <v>17.45</v>
      </c>
      <c r="G1380" s="72">
        <f>G1377-G1379</f>
        <v>29.09</v>
      </c>
      <c r="H1380" s="12">
        <f>H1377-H1379</f>
        <v>16.04</v>
      </c>
      <c r="I1380" s="12">
        <f>I1377-I1379</f>
        <v>24.88</v>
      </c>
      <c r="J1380" s="12">
        <f>J1376-J1379</f>
        <v>19.099999999999998</v>
      </c>
      <c r="K1380" s="12">
        <f>K1376-K1379</f>
        <v>16.479999999999997</v>
      </c>
      <c r="L1380" s="12">
        <f>L1376-L1379</f>
        <v>13.09</v>
      </c>
      <c r="M1380" s="90"/>
    </row>
    <row r="1381" spans="1:13" x14ac:dyDescent="0.25">
      <c r="A1381" s="73" t="s">
        <v>22</v>
      </c>
      <c r="B1381" s="254">
        <v>2016</v>
      </c>
      <c r="C1381" s="254">
        <v>2017</v>
      </c>
      <c r="D1381" s="254">
        <v>2018</v>
      </c>
      <c r="E1381" s="254">
        <v>2019</v>
      </c>
      <c r="F1381" s="254">
        <v>2020</v>
      </c>
      <c r="G1381" s="254">
        <v>2021</v>
      </c>
      <c r="H1381" s="254">
        <v>2022</v>
      </c>
      <c r="I1381" s="254">
        <v>2023</v>
      </c>
      <c r="J1381" s="254">
        <v>2024</v>
      </c>
      <c r="K1381" s="254">
        <v>2025</v>
      </c>
      <c r="L1381" s="254">
        <v>2026</v>
      </c>
      <c r="M1381" s="254">
        <v>2027</v>
      </c>
    </row>
    <row r="1382" spans="1:13" x14ac:dyDescent="0.25">
      <c r="A1382" s="92" t="s">
        <v>150</v>
      </c>
      <c r="B1382" s="255"/>
      <c r="C1382" s="255"/>
      <c r="D1382" s="255"/>
      <c r="E1382" s="255"/>
      <c r="F1382" s="255"/>
      <c r="G1382" s="255"/>
      <c r="H1382" s="255"/>
      <c r="I1382" s="255"/>
      <c r="J1382" s="255"/>
      <c r="K1382" s="255"/>
      <c r="L1382" s="19"/>
      <c r="M1382" s="63"/>
    </row>
    <row r="1383" spans="1:13" x14ac:dyDescent="0.25">
      <c r="A1383" s="94" t="s">
        <v>581</v>
      </c>
      <c r="B1383" s="453"/>
      <c r="C1383" s="453"/>
      <c r="D1383" s="453"/>
      <c r="E1383" s="453"/>
      <c r="F1383" s="453"/>
      <c r="G1383" s="453"/>
      <c r="H1383" s="453"/>
      <c r="I1383" s="453"/>
      <c r="J1383" s="453"/>
      <c r="K1383" s="453"/>
      <c r="M1383" s="64"/>
    </row>
    <row r="1384" spans="1:13" x14ac:dyDescent="0.25">
      <c r="A1384" s="110" t="s">
        <v>510</v>
      </c>
      <c r="B1384" s="111"/>
      <c r="C1384" s="111"/>
      <c r="D1384" s="111"/>
      <c r="E1384" s="111"/>
      <c r="F1384" s="111"/>
      <c r="G1384" s="111"/>
      <c r="H1384" s="111"/>
      <c r="I1384" s="111"/>
      <c r="J1384" s="111"/>
      <c r="K1384" s="111"/>
      <c r="L1384" s="34"/>
      <c r="M1384" s="48"/>
    </row>
    <row r="1385" spans="1:13" x14ac:dyDescent="0.25">
      <c r="A1385" s="317"/>
      <c r="C1385" s="353"/>
    </row>
    <row r="1386" spans="1:13" x14ac:dyDescent="0.25">
      <c r="A1386" s="98" t="s">
        <v>14</v>
      </c>
      <c r="B1386" s="66" t="s">
        <v>79</v>
      </c>
      <c r="C1386" s="66" t="s">
        <v>152</v>
      </c>
      <c r="D1386" s="8"/>
      <c r="E1386" s="8"/>
      <c r="F1386" s="8"/>
      <c r="G1386" s="8"/>
    </row>
    <row r="1387" spans="1:13" x14ac:dyDescent="0.25">
      <c r="A1387" s="95" t="s">
        <v>16</v>
      </c>
      <c r="B1387" s="272">
        <v>2014</v>
      </c>
      <c r="C1387" s="264">
        <v>2015</v>
      </c>
      <c r="D1387" s="264">
        <v>2016</v>
      </c>
      <c r="E1387" s="264">
        <v>2017</v>
      </c>
      <c r="F1387" s="264">
        <v>2018</v>
      </c>
      <c r="G1387" s="264">
        <v>2019</v>
      </c>
      <c r="H1387" s="154">
        <v>2020</v>
      </c>
      <c r="I1387" s="154">
        <v>2021</v>
      </c>
      <c r="J1387" s="154">
        <v>2022</v>
      </c>
      <c r="K1387" s="154">
        <v>2023</v>
      </c>
      <c r="L1387" s="455">
        <v>2024</v>
      </c>
      <c r="M1387" s="455">
        <v>2025</v>
      </c>
    </row>
    <row r="1388" spans="1:13" x14ac:dyDescent="0.25">
      <c r="A1388" s="68" t="s">
        <v>17</v>
      </c>
      <c r="B1388" s="72">
        <v>20</v>
      </c>
      <c r="C1388" s="72">
        <v>20</v>
      </c>
      <c r="D1388" s="72">
        <v>20</v>
      </c>
      <c r="E1388" s="72">
        <v>20</v>
      </c>
      <c r="F1388" s="72">
        <v>20</v>
      </c>
      <c r="G1388" s="72">
        <v>20</v>
      </c>
      <c r="H1388" s="72">
        <v>20</v>
      </c>
      <c r="I1388" s="72">
        <v>20</v>
      </c>
      <c r="J1388" s="72">
        <v>20</v>
      </c>
      <c r="K1388" s="72">
        <v>20</v>
      </c>
      <c r="L1388" s="460">
        <v>20</v>
      </c>
      <c r="M1388" s="460">
        <v>20</v>
      </c>
    </row>
    <row r="1389" spans="1:13" x14ac:dyDescent="0.25">
      <c r="A1389" s="68" t="s">
        <v>18</v>
      </c>
      <c r="B1389" s="72">
        <v>20</v>
      </c>
      <c r="C1389" s="72">
        <v>24</v>
      </c>
      <c r="D1389" s="72">
        <v>24</v>
      </c>
      <c r="E1389" s="72">
        <v>24</v>
      </c>
      <c r="F1389" s="72">
        <v>24</v>
      </c>
      <c r="G1389" s="72">
        <v>24</v>
      </c>
      <c r="H1389" s="72">
        <v>24</v>
      </c>
      <c r="I1389" s="72">
        <v>24</v>
      </c>
      <c r="J1389" s="72"/>
      <c r="K1389" s="72"/>
      <c r="L1389" s="460">
        <v>20</v>
      </c>
      <c r="M1389" s="460">
        <v>20</v>
      </c>
    </row>
    <row r="1390" spans="1:13" x14ac:dyDescent="0.25">
      <c r="A1390" s="68" t="s">
        <v>19</v>
      </c>
      <c r="B1390" s="265" t="s">
        <v>136</v>
      </c>
      <c r="C1390" s="265" t="s">
        <v>151</v>
      </c>
      <c r="D1390" s="265" t="s">
        <v>151</v>
      </c>
      <c r="E1390" s="265" t="s">
        <v>151</v>
      </c>
      <c r="F1390" s="265" t="s">
        <v>151</v>
      </c>
      <c r="G1390" s="265" t="s">
        <v>151</v>
      </c>
      <c r="H1390" s="265" t="s">
        <v>151</v>
      </c>
      <c r="I1390" s="265" t="s">
        <v>151</v>
      </c>
      <c r="J1390" s="265"/>
      <c r="K1390" s="265"/>
      <c r="L1390" s="461">
        <v>20</v>
      </c>
      <c r="M1390" s="461">
        <v>20</v>
      </c>
    </row>
    <row r="1391" spans="1:13" x14ac:dyDescent="0.25">
      <c r="A1391" s="68" t="s">
        <v>20</v>
      </c>
      <c r="B1391" s="72">
        <v>0.15</v>
      </c>
      <c r="C1391" s="72">
        <v>0</v>
      </c>
      <c r="D1391" s="72">
        <v>0</v>
      </c>
      <c r="E1391" s="72">
        <v>0.14000000000000001</v>
      </c>
      <c r="F1391" s="72">
        <v>0</v>
      </c>
      <c r="G1391" s="72">
        <v>0</v>
      </c>
      <c r="H1391" s="12">
        <v>0</v>
      </c>
      <c r="I1391" s="12">
        <v>0</v>
      </c>
      <c r="J1391" s="12">
        <v>0</v>
      </c>
      <c r="K1391" s="12">
        <v>0</v>
      </c>
      <c r="L1391" s="450">
        <v>0</v>
      </c>
      <c r="M1391" s="450"/>
    </row>
    <row r="1392" spans="1:13" x14ac:dyDescent="0.25">
      <c r="A1392" s="68" t="s">
        <v>21</v>
      </c>
      <c r="B1392" s="72">
        <v>19.850000000000001</v>
      </c>
      <c r="C1392" s="72">
        <v>24</v>
      </c>
      <c r="D1392" s="72">
        <v>24</v>
      </c>
      <c r="E1392" s="72">
        <v>23.86</v>
      </c>
      <c r="F1392" s="72">
        <v>24</v>
      </c>
      <c r="G1392" s="72">
        <f>G1389-G1391</f>
        <v>24</v>
      </c>
      <c r="H1392" s="72">
        <f>H1389-H1391</f>
        <v>24</v>
      </c>
      <c r="I1392" s="12">
        <v>24</v>
      </c>
      <c r="J1392" s="12">
        <v>20</v>
      </c>
      <c r="K1392" s="12">
        <v>20</v>
      </c>
      <c r="L1392" s="450">
        <v>20</v>
      </c>
      <c r="M1392" s="450"/>
    </row>
    <row r="1393" spans="1:13" x14ac:dyDescent="0.25">
      <c r="A1393" s="73" t="s">
        <v>22</v>
      </c>
      <c r="B1393" s="254">
        <v>2016</v>
      </c>
      <c r="C1393" s="254">
        <v>2017</v>
      </c>
      <c r="D1393" s="254">
        <v>2018</v>
      </c>
      <c r="E1393" s="254">
        <v>2019</v>
      </c>
      <c r="F1393" s="254">
        <v>2020</v>
      </c>
      <c r="G1393" s="254">
        <v>2021</v>
      </c>
      <c r="H1393" s="254"/>
      <c r="I1393" s="254"/>
      <c r="J1393" s="254"/>
      <c r="K1393" s="254"/>
      <c r="L1393" s="254"/>
      <c r="M1393" s="254"/>
    </row>
    <row r="1394" spans="1:13" x14ac:dyDescent="0.25">
      <c r="A1394" s="92" t="s">
        <v>150</v>
      </c>
      <c r="B1394" s="255"/>
      <c r="C1394" s="255"/>
      <c r="D1394" s="255"/>
      <c r="E1394" s="255"/>
      <c r="F1394" s="255"/>
      <c r="G1394" s="255"/>
      <c r="H1394" s="255"/>
      <c r="I1394" s="255"/>
      <c r="J1394" s="255"/>
      <c r="K1394" s="255"/>
      <c r="L1394" s="19"/>
      <c r="M1394" s="63"/>
    </row>
    <row r="1395" spans="1:13" x14ac:dyDescent="0.25">
      <c r="A1395" s="110" t="s">
        <v>510</v>
      </c>
      <c r="B1395" s="111"/>
      <c r="C1395" s="111"/>
      <c r="D1395" s="111"/>
      <c r="E1395" s="111"/>
      <c r="F1395" s="111"/>
      <c r="G1395" s="111"/>
      <c r="H1395" s="111"/>
      <c r="I1395" s="111"/>
      <c r="J1395" s="111"/>
      <c r="K1395" s="111"/>
      <c r="L1395" s="34"/>
      <c r="M1395" s="48"/>
    </row>
    <row r="1396" spans="1:13" x14ac:dyDescent="0.25">
      <c r="A1396" s="317"/>
      <c r="C1396" s="353"/>
    </row>
    <row r="1397" spans="1:13" x14ac:dyDescent="0.25">
      <c r="A1397" s="317"/>
      <c r="C1397" s="353"/>
    </row>
    <row r="1398" spans="1:13" x14ac:dyDescent="0.25">
      <c r="A1398" s="6" t="s">
        <v>12</v>
      </c>
      <c r="B1398" s="7" t="s">
        <v>398</v>
      </c>
    </row>
    <row r="1399" spans="1:13" s="202" customFormat="1" x14ac:dyDescent="0.25">
      <c r="A1399" s="6" t="s">
        <v>14</v>
      </c>
      <c r="B1399" s="7" t="s">
        <v>623</v>
      </c>
      <c r="C1399" s="7" t="s">
        <v>152</v>
      </c>
      <c r="D1399" s="3"/>
      <c r="E1399" s="3"/>
      <c r="F1399" s="3"/>
      <c r="G1399" s="3"/>
      <c r="H1399" s="3"/>
      <c r="I1399" s="3"/>
      <c r="J1399" s="3"/>
    </row>
    <row r="1400" spans="1:13" s="202" customFormat="1" x14ac:dyDescent="0.25">
      <c r="A1400" s="41" t="s">
        <v>16</v>
      </c>
      <c r="B1400" s="276">
        <v>2016</v>
      </c>
      <c r="C1400" s="154">
        <v>2017</v>
      </c>
      <c r="D1400" s="154">
        <v>2018</v>
      </c>
      <c r="E1400" s="154">
        <v>2019</v>
      </c>
      <c r="F1400" s="154">
        <v>2020</v>
      </c>
      <c r="G1400" s="154">
        <v>2021</v>
      </c>
      <c r="H1400" s="154">
        <v>2022</v>
      </c>
      <c r="I1400" s="154">
        <v>2023</v>
      </c>
      <c r="J1400" s="154">
        <v>2024</v>
      </c>
      <c r="K1400" s="154">
        <v>2025</v>
      </c>
    </row>
    <row r="1401" spans="1:13" s="202" customFormat="1" x14ac:dyDescent="0.25">
      <c r="A1401" s="10" t="s">
        <v>17</v>
      </c>
      <c r="B1401" s="12"/>
      <c r="C1401" s="12"/>
      <c r="D1401" s="12"/>
      <c r="E1401" s="12"/>
      <c r="F1401" s="12"/>
      <c r="G1401" s="12"/>
      <c r="H1401" s="12"/>
      <c r="I1401" s="12"/>
      <c r="J1401" s="12"/>
      <c r="K1401" s="12"/>
    </row>
    <row r="1402" spans="1:13" s="202" customFormat="1" x14ac:dyDescent="0.25">
      <c r="A1402" s="10" t="s">
        <v>18</v>
      </c>
      <c r="B1402" s="12"/>
      <c r="C1402" s="12"/>
      <c r="D1402" s="12">
        <f>D1401-C1404</f>
        <v>-94.685890000000001</v>
      </c>
      <c r="E1402" s="12">
        <f t="shared" ref="E1402:I1402" si="55">E1401+D1405</f>
        <v>-97.335890000000006</v>
      </c>
      <c r="F1402" s="12">
        <f t="shared" si="55"/>
        <v>-104.01589000000001</v>
      </c>
      <c r="G1402" s="12">
        <f t="shared" si="55"/>
        <v>-110.74589000000002</v>
      </c>
      <c r="H1402" s="12">
        <f t="shared" si="55"/>
        <v>-114.20589000000001</v>
      </c>
      <c r="I1402" s="12">
        <f t="shared" si="55"/>
        <v>-114.69860000000001</v>
      </c>
      <c r="J1402" s="12">
        <f>J1401+I1405</f>
        <v>-115.27760000000001</v>
      </c>
      <c r="K1402" s="12">
        <f>K1401+J1405</f>
        <v>-118.1876</v>
      </c>
    </row>
    <row r="1403" spans="1:13" s="202" customFormat="1" x14ac:dyDescent="0.25">
      <c r="A1403" s="10" t="s">
        <v>19</v>
      </c>
      <c r="B1403" s="156"/>
      <c r="C1403" s="672" t="s">
        <v>866</v>
      </c>
      <c r="D1403" s="673"/>
      <c r="E1403" s="673"/>
      <c r="F1403" s="673"/>
      <c r="G1403" s="673"/>
      <c r="H1403" s="673"/>
      <c r="I1403" s="673"/>
      <c r="J1403" s="674"/>
      <c r="K1403" s="219"/>
    </row>
    <row r="1404" spans="1:13" s="202" customFormat="1" x14ac:dyDescent="0.25">
      <c r="A1404" s="10" t="s">
        <v>20</v>
      </c>
      <c r="B1404" s="156"/>
      <c r="C1404" s="462">
        <v>94.685890000000001</v>
      </c>
      <c r="D1404" s="462">
        <v>2.65</v>
      </c>
      <c r="E1404" s="463">
        <v>6.68</v>
      </c>
      <c r="F1404" s="156">
        <v>6.73</v>
      </c>
      <c r="G1404" s="156">
        <v>3.46</v>
      </c>
      <c r="H1404" s="12">
        <v>0.49270999999999998</v>
      </c>
      <c r="I1404" s="12">
        <v>0.57899999999999996</v>
      </c>
      <c r="J1404" s="15">
        <v>2.91</v>
      </c>
      <c r="K1404" s="219"/>
    </row>
    <row r="1405" spans="1:13" s="202" customFormat="1" x14ac:dyDescent="0.25">
      <c r="A1405" s="10" t="s">
        <v>21</v>
      </c>
      <c r="B1405" s="12"/>
      <c r="C1405" s="12">
        <f>C1401-C1404</f>
        <v>-94.685890000000001</v>
      </c>
      <c r="D1405" s="12">
        <f t="shared" ref="D1405:I1405" si="56">D1402-D1404</f>
        <v>-97.335890000000006</v>
      </c>
      <c r="E1405" s="12">
        <f t="shared" si="56"/>
        <v>-104.01589000000001</v>
      </c>
      <c r="F1405" s="12">
        <f t="shared" si="56"/>
        <v>-110.74589000000002</v>
      </c>
      <c r="G1405" s="12">
        <f t="shared" si="56"/>
        <v>-114.20589000000001</v>
      </c>
      <c r="H1405" s="12">
        <f t="shared" si="56"/>
        <v>-114.69860000000001</v>
      </c>
      <c r="I1405" s="12">
        <f t="shared" si="56"/>
        <v>-115.27760000000001</v>
      </c>
      <c r="J1405" s="12">
        <f>J1402-J1404</f>
        <v>-118.1876</v>
      </c>
      <c r="K1405" s="219"/>
    </row>
    <row r="1406" spans="1:13" s="202" customFormat="1" x14ac:dyDescent="0.25">
      <c r="A1406" s="16" t="s">
        <v>22</v>
      </c>
      <c r="B1406" s="654">
        <v>2017</v>
      </c>
      <c r="C1406" s="654">
        <v>2018</v>
      </c>
      <c r="D1406" s="654">
        <v>2019</v>
      </c>
      <c r="E1406" s="654">
        <v>2020</v>
      </c>
      <c r="F1406" s="654">
        <v>2021</v>
      </c>
      <c r="G1406" s="654">
        <v>2022</v>
      </c>
      <c r="H1406" s="654">
        <v>2023</v>
      </c>
      <c r="I1406" s="654">
        <v>2024</v>
      </c>
      <c r="J1406" s="654">
        <v>2025</v>
      </c>
      <c r="K1406" s="654">
        <v>2026</v>
      </c>
    </row>
    <row r="1407" spans="1:13" s="202" customFormat="1" x14ac:dyDescent="0.25">
      <c r="A1407" s="18" t="s">
        <v>179</v>
      </c>
      <c r="B1407" s="19"/>
      <c r="C1407" s="19"/>
      <c r="D1407" s="19"/>
      <c r="E1407" s="19"/>
      <c r="F1407" s="19"/>
      <c r="G1407" s="19"/>
      <c r="H1407" s="19"/>
      <c r="I1407" s="19"/>
      <c r="J1407" s="19"/>
      <c r="K1407" s="232"/>
    </row>
    <row r="1408" spans="1:13" s="202" customFormat="1" x14ac:dyDescent="0.25">
      <c r="A1408" s="29" t="s">
        <v>1019</v>
      </c>
      <c r="B1408" s="30"/>
      <c r="C1408" s="30"/>
      <c r="D1408" s="30"/>
      <c r="E1408" s="30"/>
      <c r="F1408" s="30"/>
      <c r="G1408" s="30"/>
      <c r="H1408" s="30"/>
      <c r="I1408" s="30"/>
      <c r="J1408" s="30"/>
      <c r="K1408" s="228"/>
    </row>
    <row r="1409" spans="1:11" s="202" customFormat="1" x14ac:dyDescent="0.25">
      <c r="A1409" s="39"/>
      <c r="B1409" s="3"/>
      <c r="C1409" s="3"/>
      <c r="D1409" s="3"/>
      <c r="E1409" s="3"/>
      <c r="F1409" s="3"/>
      <c r="G1409" s="3"/>
      <c r="H1409" s="3"/>
      <c r="I1409" s="3"/>
      <c r="J1409" s="3"/>
    </row>
    <row r="1410" spans="1:11" s="202" customFormat="1" x14ac:dyDescent="0.25">
      <c r="A1410" s="39"/>
      <c r="B1410" s="3"/>
      <c r="C1410" s="3"/>
      <c r="D1410" s="3"/>
      <c r="E1410" s="3"/>
      <c r="F1410" s="3"/>
      <c r="G1410" s="3"/>
      <c r="H1410" s="3"/>
      <c r="I1410" s="3"/>
      <c r="J1410" s="3"/>
    </row>
    <row r="1411" spans="1:11" x14ac:dyDescent="0.25">
      <c r="A1411" s="6" t="s">
        <v>14</v>
      </c>
      <c r="B1411" s="7" t="s">
        <v>74</v>
      </c>
      <c r="C1411" s="9" t="s">
        <v>152</v>
      </c>
    </row>
    <row r="1412" spans="1:11" x14ac:dyDescent="0.25">
      <c r="A1412" s="41" t="s">
        <v>16</v>
      </c>
      <c r="B1412" s="276">
        <v>2016</v>
      </c>
      <c r="C1412" s="154">
        <v>2017</v>
      </c>
      <c r="D1412" s="154">
        <v>2018</v>
      </c>
      <c r="E1412" s="154">
        <v>2019</v>
      </c>
      <c r="F1412" s="154">
        <v>2020</v>
      </c>
      <c r="G1412" s="154">
        <v>2021</v>
      </c>
      <c r="H1412" s="154">
        <v>2022</v>
      </c>
      <c r="I1412" s="154">
        <v>2023</v>
      </c>
      <c r="J1412" s="154">
        <v>2024</v>
      </c>
      <c r="K1412" s="154">
        <v>2025</v>
      </c>
    </row>
    <row r="1413" spans="1:11" x14ac:dyDescent="0.25">
      <c r="A1413" s="10" t="s">
        <v>17</v>
      </c>
      <c r="B1413" s="12">
        <v>10</v>
      </c>
      <c r="C1413" s="12">
        <v>10</v>
      </c>
      <c r="D1413" s="12">
        <v>10</v>
      </c>
      <c r="E1413" s="12">
        <v>10</v>
      </c>
      <c r="F1413" s="12">
        <v>10</v>
      </c>
      <c r="G1413" s="12">
        <v>10</v>
      </c>
      <c r="H1413" s="12">
        <v>10</v>
      </c>
      <c r="I1413" s="12">
        <v>10</v>
      </c>
      <c r="J1413" s="12">
        <v>10</v>
      </c>
      <c r="K1413" s="12">
        <v>10</v>
      </c>
    </row>
    <row r="1414" spans="1:11" x14ac:dyDescent="0.25">
      <c r="A1414" s="10" t="s">
        <v>18</v>
      </c>
      <c r="B1414" s="12">
        <v>10</v>
      </c>
      <c r="C1414" s="12">
        <f>C1413+B1417</f>
        <v>-106.85</v>
      </c>
      <c r="D1414" s="12">
        <f>D1413+C1417</f>
        <v>-107.18599999999999</v>
      </c>
      <c r="E1414" s="12">
        <f>E1413+D1417</f>
        <v>-97.965349999999987</v>
      </c>
      <c r="F1414" s="12">
        <f>F1413+E1417</f>
        <v>-89.945349999999991</v>
      </c>
      <c r="G1414" s="12">
        <f>F1417+G1413</f>
        <v>-81.765349999999984</v>
      </c>
      <c r="H1414" s="12">
        <f xml:space="preserve"> 1.25*G1417+H1413</f>
        <v>-94.519187499999973</v>
      </c>
      <c r="I1414" s="12">
        <f xml:space="preserve"> 1.25*H1417+I1413</f>
        <v>-115.64898437499997</v>
      </c>
      <c r="J1414" s="12">
        <f xml:space="preserve"> 1.25*I1417+J1413</f>
        <v>-136.97123046874995</v>
      </c>
      <c r="K1414" s="12">
        <f xml:space="preserve"> 1.25*J1417+K1413</f>
        <v>10</v>
      </c>
    </row>
    <row r="1415" spans="1:11" x14ac:dyDescent="0.25">
      <c r="A1415" s="10" t="s">
        <v>19</v>
      </c>
      <c r="B1415" s="156"/>
      <c r="C1415" s="156" t="s">
        <v>399</v>
      </c>
      <c r="D1415" s="156" t="s">
        <v>400</v>
      </c>
      <c r="E1415" s="156" t="s">
        <v>401</v>
      </c>
      <c r="F1415" s="156" t="s">
        <v>402</v>
      </c>
      <c r="G1415" s="156" t="s">
        <v>566</v>
      </c>
      <c r="H1415" s="156" t="s">
        <v>604</v>
      </c>
      <c r="I1415" s="156" t="s">
        <v>625</v>
      </c>
      <c r="J1415" s="156" t="s">
        <v>785</v>
      </c>
      <c r="K1415" s="156" t="s">
        <v>1002</v>
      </c>
    </row>
    <row r="1416" spans="1:11" x14ac:dyDescent="0.25">
      <c r="A1416" s="10" t="s">
        <v>20</v>
      </c>
      <c r="B1416" s="156">
        <v>126.85</v>
      </c>
      <c r="C1416" s="156">
        <v>10.336</v>
      </c>
      <c r="D1416" s="156">
        <v>0.77934999999999999</v>
      </c>
      <c r="E1416" s="156">
        <v>1.98</v>
      </c>
      <c r="F1416" s="156">
        <v>1.82</v>
      </c>
      <c r="G1416" s="156">
        <v>1.85</v>
      </c>
      <c r="H1416" s="156">
        <v>6</v>
      </c>
      <c r="I1416" s="156">
        <v>1.9279999999999999</v>
      </c>
      <c r="J1416" s="156"/>
      <c r="K1416" s="156"/>
    </row>
    <row r="1417" spans="1:11" x14ac:dyDescent="0.25">
      <c r="A1417" s="10" t="s">
        <v>21</v>
      </c>
      <c r="B1417" s="12">
        <f t="shared" ref="B1417:I1417" si="57">B1414-B1416</f>
        <v>-116.85</v>
      </c>
      <c r="C1417" s="12">
        <f t="shared" si="57"/>
        <v>-117.18599999999999</v>
      </c>
      <c r="D1417" s="12">
        <f t="shared" si="57"/>
        <v>-107.96534999999999</v>
      </c>
      <c r="E1417" s="12">
        <f t="shared" si="57"/>
        <v>-99.945349999999991</v>
      </c>
      <c r="F1417" s="12">
        <f t="shared" si="57"/>
        <v>-91.765349999999984</v>
      </c>
      <c r="G1417" s="12">
        <f t="shared" si="57"/>
        <v>-83.615349999999978</v>
      </c>
      <c r="H1417" s="12">
        <f t="shared" si="57"/>
        <v>-100.51918749999997</v>
      </c>
      <c r="I1417" s="12">
        <f t="shared" si="57"/>
        <v>-117.57698437499997</v>
      </c>
      <c r="J1417" s="12"/>
      <c r="K1417" s="12"/>
    </row>
    <row r="1418" spans="1:11" x14ac:dyDescent="0.25">
      <c r="A1418" s="16" t="s">
        <v>22</v>
      </c>
      <c r="B1418" s="464">
        <v>2017</v>
      </c>
      <c r="C1418" s="464">
        <v>2018</v>
      </c>
      <c r="D1418" s="464">
        <v>2019</v>
      </c>
      <c r="E1418" s="464">
        <v>2020</v>
      </c>
      <c r="F1418" s="464">
        <v>2021</v>
      </c>
      <c r="G1418" s="464">
        <v>2022</v>
      </c>
      <c r="H1418" s="464">
        <v>2023</v>
      </c>
      <c r="I1418" s="464">
        <v>2024</v>
      </c>
      <c r="J1418" s="464">
        <v>2025</v>
      </c>
      <c r="K1418" s="464">
        <v>2026</v>
      </c>
    </row>
    <row r="1419" spans="1:11" x14ac:dyDescent="0.25">
      <c r="A1419" s="16" t="s">
        <v>179</v>
      </c>
      <c r="B1419" s="46"/>
      <c r="C1419" s="46"/>
      <c r="D1419" s="46"/>
      <c r="E1419" s="46"/>
      <c r="F1419" s="46"/>
      <c r="G1419" s="46"/>
      <c r="H1419" s="46"/>
      <c r="I1419" s="46"/>
      <c r="J1419" s="47"/>
    </row>
    <row r="1420" spans="1:11" x14ac:dyDescent="0.25">
      <c r="A1420" s="56" t="s">
        <v>403</v>
      </c>
      <c r="J1420" s="64"/>
    </row>
    <row r="1421" spans="1:11" x14ac:dyDescent="0.25">
      <c r="A1421" s="56" t="s">
        <v>404</v>
      </c>
      <c r="J1421" s="64"/>
    </row>
    <row r="1422" spans="1:11" x14ac:dyDescent="0.25">
      <c r="A1422" s="56" t="s">
        <v>405</v>
      </c>
      <c r="J1422" s="64"/>
    </row>
    <row r="1423" spans="1:11" x14ac:dyDescent="0.25">
      <c r="A1423" s="56" t="s">
        <v>565</v>
      </c>
      <c r="C1423" s="353"/>
      <c r="J1423" s="64"/>
    </row>
    <row r="1424" spans="1:11" x14ac:dyDescent="0.25">
      <c r="A1424" s="56" t="s">
        <v>567</v>
      </c>
      <c r="C1424" s="353"/>
      <c r="J1424" s="64"/>
    </row>
    <row r="1425" spans="1:10" s="3" customFormat="1" x14ac:dyDescent="0.25">
      <c r="A1425" s="56" t="s">
        <v>898</v>
      </c>
      <c r="C1425" s="353"/>
      <c r="J1425" s="64"/>
    </row>
    <row r="1426" spans="1:10" s="3" customFormat="1" x14ac:dyDescent="0.25">
      <c r="A1426" s="56" t="s">
        <v>899</v>
      </c>
      <c r="C1426" s="353"/>
      <c r="J1426" s="64"/>
    </row>
    <row r="1427" spans="1:10" s="3" customFormat="1" x14ac:dyDescent="0.25">
      <c r="A1427" s="49" t="s">
        <v>1029</v>
      </c>
      <c r="C1427" s="353"/>
    </row>
    <row r="1428" spans="1:10" s="34" customFormat="1" x14ac:dyDescent="0.25">
      <c r="A1428" s="314" t="s">
        <v>1135</v>
      </c>
      <c r="C1428" s="315"/>
    </row>
    <row r="1429" spans="1:10" s="3" customFormat="1" x14ac:dyDescent="0.25">
      <c r="A1429" s="317"/>
      <c r="C1429" s="353"/>
    </row>
    <row r="1430" spans="1:10" s="3" customFormat="1" x14ac:dyDescent="0.25">
      <c r="A1430" s="6" t="s">
        <v>12</v>
      </c>
      <c r="B1430" s="7" t="s">
        <v>1254</v>
      </c>
    </row>
    <row r="1431" spans="1:10" s="3" customFormat="1" x14ac:dyDescent="0.25">
      <c r="A1431" s="710" t="s">
        <v>14</v>
      </c>
      <c r="B1431" s="711" t="s">
        <v>1249</v>
      </c>
      <c r="C1431" s="66" t="s">
        <v>152</v>
      </c>
      <c r="D1431" s="138"/>
      <c r="E1431" s="119"/>
      <c r="F1431" s="119"/>
    </row>
    <row r="1432" spans="1:10" s="3" customFormat="1" x14ac:dyDescent="0.25">
      <c r="A1432" s="95" t="s">
        <v>16</v>
      </c>
      <c r="B1432" s="264"/>
      <c r="C1432" s="264">
        <v>2018</v>
      </c>
      <c r="D1432" s="264">
        <v>2019</v>
      </c>
      <c r="E1432" s="264">
        <v>2020</v>
      </c>
      <c r="F1432" s="264">
        <v>2021</v>
      </c>
      <c r="G1432" s="264">
        <v>2022</v>
      </c>
      <c r="H1432" s="264">
        <v>2023</v>
      </c>
      <c r="I1432" s="264">
        <v>2024</v>
      </c>
      <c r="J1432" s="264">
        <v>2025</v>
      </c>
    </row>
    <row r="1433" spans="1:10" s="3" customFormat="1" x14ac:dyDescent="0.25">
      <c r="A1433" s="68" t="s">
        <v>17</v>
      </c>
      <c r="B1433" s="72"/>
      <c r="C1433" s="130"/>
      <c r="D1433" s="130"/>
      <c r="E1433" s="130"/>
      <c r="F1433" s="130"/>
      <c r="G1433" s="712"/>
      <c r="H1433" s="712"/>
      <c r="I1433" s="713"/>
      <c r="J1433" s="720">
        <v>125</v>
      </c>
    </row>
    <row r="1434" spans="1:10" s="3" customFormat="1" x14ac:dyDescent="0.25">
      <c r="A1434" s="68" t="s">
        <v>18</v>
      </c>
      <c r="B1434" s="72"/>
      <c r="C1434" s="130"/>
      <c r="D1434" s="130"/>
      <c r="E1434" s="130">
        <v>-4.5005962749999959</v>
      </c>
      <c r="F1434" s="130">
        <v>-95.627388774999986</v>
      </c>
      <c r="G1434" s="714">
        <v>-275.36213877500001</v>
      </c>
      <c r="H1434" s="715">
        <v>-555.68713877499999</v>
      </c>
      <c r="I1434" s="715">
        <v>-786.01213877500004</v>
      </c>
      <c r="J1434" s="715">
        <v>-761.33713877500008</v>
      </c>
    </row>
    <row r="1435" spans="1:10" s="3" customFormat="1" ht="26.4" x14ac:dyDescent="0.25">
      <c r="A1435" s="68" t="s">
        <v>19</v>
      </c>
      <c r="B1435" s="265"/>
      <c r="C1435" s="132"/>
      <c r="D1435" s="716" t="s">
        <v>1255</v>
      </c>
      <c r="E1435" s="716" t="s">
        <v>1256</v>
      </c>
      <c r="F1435" s="716" t="s">
        <v>1257</v>
      </c>
      <c r="G1435" s="716" t="s">
        <v>1258</v>
      </c>
      <c r="H1435" s="716" t="s">
        <v>1251</v>
      </c>
      <c r="I1435" s="716" t="s">
        <v>1250</v>
      </c>
      <c r="J1435" s="716"/>
    </row>
    <row r="1436" spans="1:10" s="3" customFormat="1" x14ac:dyDescent="0.25">
      <c r="A1436" s="68" t="s">
        <v>20</v>
      </c>
      <c r="B1436" s="72"/>
      <c r="C1436" s="130">
        <v>70</v>
      </c>
      <c r="D1436" s="130">
        <v>26</v>
      </c>
      <c r="E1436" s="130">
        <v>112</v>
      </c>
      <c r="F1436" s="130">
        <v>200</v>
      </c>
      <c r="G1436" s="130">
        <v>300</v>
      </c>
      <c r="H1436" s="130">
        <v>250</v>
      </c>
      <c r="I1436" s="130">
        <v>120</v>
      </c>
      <c r="J1436" s="130"/>
    </row>
    <row r="1437" spans="1:10" s="3" customFormat="1" x14ac:dyDescent="0.25">
      <c r="A1437" s="68" t="s">
        <v>21</v>
      </c>
      <c r="B1437" s="72"/>
      <c r="C1437" s="130"/>
      <c r="D1437" s="130">
        <v>-4.5005962749999959</v>
      </c>
      <c r="E1437" s="130">
        <v>-95.627388774999986</v>
      </c>
      <c r="F1437" s="130">
        <v>-275.36213877500001</v>
      </c>
      <c r="G1437" s="130">
        <v>-555.68713877499999</v>
      </c>
      <c r="H1437" s="130">
        <v>-786.01213877500004</v>
      </c>
      <c r="I1437" s="130">
        <v>-886.33713877500008</v>
      </c>
      <c r="J1437" s="713"/>
    </row>
    <row r="1438" spans="1:10" s="3" customFormat="1" x14ac:dyDescent="0.25">
      <c r="A1438" s="92" t="s">
        <v>22</v>
      </c>
      <c r="B1438" s="274"/>
      <c r="C1438" s="274"/>
      <c r="D1438" s="274"/>
      <c r="E1438" s="274"/>
      <c r="F1438" s="274"/>
      <c r="G1438" s="721"/>
      <c r="H1438" s="721"/>
      <c r="I1438" s="722"/>
      <c r="J1438" s="722"/>
    </row>
    <row r="1439" spans="1:10" s="3" customFormat="1" x14ac:dyDescent="0.25">
      <c r="A1439" s="444" t="s">
        <v>23</v>
      </c>
      <c r="B1439" s="718"/>
      <c r="C1439" s="659"/>
      <c r="D1439" s="659"/>
      <c r="E1439" s="718"/>
      <c r="F1439" s="718"/>
      <c r="G1439" s="30"/>
      <c r="H1439" s="30"/>
      <c r="I1439" s="30"/>
      <c r="J1439" s="88"/>
    </row>
    <row r="1440" spans="1:10" s="3" customFormat="1" ht="12.6" customHeight="1" x14ac:dyDescent="0.25">
      <c r="A1440" s="317"/>
      <c r="C1440" s="353"/>
    </row>
    <row r="1441" spans="1:11" s="3" customFormat="1" x14ac:dyDescent="0.25"/>
    <row r="1442" spans="1:11" s="3" customFormat="1" x14ac:dyDescent="0.25">
      <c r="A1442" s="6" t="s">
        <v>11</v>
      </c>
      <c r="B1442" s="7" t="s">
        <v>0</v>
      </c>
    </row>
    <row r="1443" spans="1:11" s="202" customFormat="1" x14ac:dyDescent="0.25">
      <c r="A1443" s="6" t="s">
        <v>1</v>
      </c>
      <c r="B1443" s="7" t="s">
        <v>624</v>
      </c>
      <c r="C1443" s="9" t="s">
        <v>2</v>
      </c>
      <c r="D1443" s="3"/>
      <c r="E1443" s="3"/>
      <c r="F1443" s="3"/>
      <c r="G1443" s="3"/>
    </row>
    <row r="1444" spans="1:11" s="202" customFormat="1" x14ac:dyDescent="0.25">
      <c r="A1444" s="10" t="s">
        <v>3</v>
      </c>
      <c r="B1444" s="154">
        <v>2017</v>
      </c>
      <c r="C1444" s="154">
        <v>2018</v>
      </c>
      <c r="D1444" s="172">
        <v>2019</v>
      </c>
      <c r="E1444" s="154">
        <v>2020</v>
      </c>
      <c r="F1444" s="154">
        <v>2021</v>
      </c>
      <c r="G1444" s="154">
        <v>2022</v>
      </c>
      <c r="H1444" s="154">
        <v>2023</v>
      </c>
      <c r="I1444" s="154">
        <v>2024</v>
      </c>
      <c r="J1444" s="154">
        <v>2025</v>
      </c>
      <c r="K1444" s="465">
        <v>2026</v>
      </c>
    </row>
    <row r="1445" spans="1:11" s="202" customFormat="1" x14ac:dyDescent="0.25">
      <c r="A1445" s="10" t="s">
        <v>4</v>
      </c>
      <c r="B1445" s="156">
        <v>200</v>
      </c>
      <c r="C1445" s="156">
        <v>200</v>
      </c>
      <c r="D1445" s="174">
        <v>215</v>
      </c>
      <c r="E1445" s="156">
        <v>215</v>
      </c>
      <c r="F1445" s="175">
        <v>242</v>
      </c>
      <c r="G1445" s="175">
        <v>242</v>
      </c>
      <c r="H1445" s="175">
        <v>242</v>
      </c>
      <c r="I1445" s="175">
        <v>302</v>
      </c>
      <c r="J1445" s="175">
        <v>302</v>
      </c>
      <c r="K1445" s="466">
        <v>302</v>
      </c>
    </row>
    <row r="1446" spans="1:11" s="202" customFormat="1" x14ac:dyDescent="0.25">
      <c r="A1446" s="10" t="s">
        <v>5</v>
      </c>
      <c r="B1446" s="156">
        <v>250</v>
      </c>
      <c r="C1446" s="156">
        <v>250</v>
      </c>
      <c r="D1446" s="174">
        <v>265</v>
      </c>
      <c r="E1446" s="156">
        <v>265</v>
      </c>
      <c r="F1446" s="175">
        <f>F1445+0.25*D1445</f>
        <v>295.75</v>
      </c>
      <c r="G1446" s="175">
        <f>G1445+0.25*E1445</f>
        <v>295.75</v>
      </c>
      <c r="H1446" s="175">
        <f>H1445+0.25*F1445</f>
        <v>302.5</v>
      </c>
      <c r="I1446" s="175">
        <f>I1445+0.25*G1445</f>
        <v>362.5</v>
      </c>
      <c r="J1446" s="175">
        <f>J1445+0.25*H1445</f>
        <v>362.5</v>
      </c>
      <c r="K1446" s="466">
        <f t="shared" ref="K1446" si="58">K1445+0.25*I1445</f>
        <v>377.5</v>
      </c>
    </row>
    <row r="1447" spans="1:11" s="202" customFormat="1" x14ac:dyDescent="0.25">
      <c r="A1447" s="10" t="s">
        <v>6</v>
      </c>
      <c r="B1447" s="156"/>
      <c r="C1447" s="156"/>
      <c r="D1447" s="156"/>
      <c r="E1447" s="156"/>
      <c r="F1447" s="175"/>
      <c r="G1447" s="175"/>
      <c r="H1447" s="175"/>
      <c r="I1447" s="175"/>
      <c r="J1447" s="175"/>
      <c r="K1447" s="466"/>
    </row>
    <row r="1448" spans="1:11" s="202" customFormat="1" x14ac:dyDescent="0.25">
      <c r="A1448" s="10" t="s">
        <v>7</v>
      </c>
      <c r="B1448" s="156">
        <v>20</v>
      </c>
      <c r="C1448" s="156">
        <v>20</v>
      </c>
      <c r="D1448" s="156">
        <v>25</v>
      </c>
      <c r="E1448" s="156">
        <v>29</v>
      </c>
      <c r="F1448" s="175">
        <v>40</v>
      </c>
      <c r="G1448" s="175">
        <v>60</v>
      </c>
      <c r="H1448" s="175">
        <v>90</v>
      </c>
      <c r="I1448" s="175">
        <v>120</v>
      </c>
      <c r="J1448" s="175"/>
      <c r="K1448" s="466"/>
    </row>
    <row r="1449" spans="1:11" s="202" customFormat="1" x14ac:dyDescent="0.25">
      <c r="A1449" s="10" t="s">
        <v>8</v>
      </c>
      <c r="B1449" s="156">
        <v>230</v>
      </c>
      <c r="C1449" s="156">
        <v>230</v>
      </c>
      <c r="D1449" s="156">
        <v>240</v>
      </c>
      <c r="E1449" s="156">
        <v>236</v>
      </c>
      <c r="F1449" s="175">
        <f>F1446-F1448</f>
        <v>255.75</v>
      </c>
      <c r="G1449" s="175">
        <f>G1446-G1448</f>
        <v>235.75</v>
      </c>
      <c r="H1449" s="175">
        <f>H1446-H1448</f>
        <v>212.5</v>
      </c>
      <c r="I1449" s="175">
        <f>I1446-I1448</f>
        <v>242.5</v>
      </c>
      <c r="J1449" s="175"/>
      <c r="K1449" s="466"/>
    </row>
    <row r="1450" spans="1:11" s="202" customFormat="1" x14ac:dyDescent="0.25">
      <c r="A1450" s="16" t="s">
        <v>9</v>
      </c>
      <c r="B1450" s="159">
        <v>2019</v>
      </c>
      <c r="C1450" s="159">
        <v>2020</v>
      </c>
      <c r="D1450" s="178">
        <v>2021</v>
      </c>
      <c r="E1450" s="159">
        <v>2022</v>
      </c>
      <c r="F1450" s="179">
        <v>2023</v>
      </c>
      <c r="G1450" s="179">
        <v>2024</v>
      </c>
      <c r="H1450" s="179">
        <v>2025</v>
      </c>
      <c r="I1450" s="179">
        <v>2026</v>
      </c>
      <c r="J1450" s="179">
        <v>2027</v>
      </c>
      <c r="K1450" s="467">
        <v>2028</v>
      </c>
    </row>
    <row r="1451" spans="1:11" s="202" customFormat="1" x14ac:dyDescent="0.25">
      <c r="A1451" s="29" t="s">
        <v>10</v>
      </c>
      <c r="B1451" s="30"/>
      <c r="C1451" s="30"/>
      <c r="D1451" s="30"/>
      <c r="E1451" s="30"/>
      <c r="F1451" s="30"/>
      <c r="G1451" s="30"/>
      <c r="H1451" s="468"/>
      <c r="I1451" s="468"/>
      <c r="J1451" s="468"/>
      <c r="K1451" s="228"/>
    </row>
    <row r="1452" spans="1:11" s="202" customFormat="1" x14ac:dyDescent="0.25">
      <c r="A1452" s="708" t="s">
        <v>738</v>
      </c>
      <c r="B1452" s="709"/>
      <c r="C1452" s="709"/>
      <c r="D1452" s="709"/>
      <c r="E1452" s="709"/>
      <c r="F1452" s="709"/>
      <c r="G1452" s="709"/>
      <c r="H1452" s="469"/>
      <c r="I1452" s="469"/>
      <c r="J1452" s="469"/>
      <c r="K1452" s="232"/>
    </row>
    <row r="1453" spans="1:11" s="202" customFormat="1" x14ac:dyDescent="0.25">
      <c r="A1453" s="666" t="s">
        <v>739</v>
      </c>
      <c r="B1453" s="667"/>
      <c r="C1453" s="667"/>
      <c r="D1453" s="667"/>
      <c r="E1453" s="667"/>
      <c r="F1453" s="667"/>
      <c r="G1453" s="667"/>
      <c r="K1453" s="234"/>
    </row>
    <row r="1454" spans="1:11" s="202" customFormat="1" x14ac:dyDescent="0.25">
      <c r="A1454" s="666" t="s">
        <v>740</v>
      </c>
      <c r="B1454" s="667"/>
      <c r="C1454" s="667"/>
      <c r="D1454" s="667"/>
      <c r="E1454" s="667"/>
      <c r="F1454" s="667"/>
      <c r="G1454" s="667"/>
      <c r="K1454" s="234"/>
    </row>
    <row r="1455" spans="1:11" s="3" customFormat="1" x14ac:dyDescent="0.25">
      <c r="A1455" s="666" t="s">
        <v>741</v>
      </c>
      <c r="B1455" s="667"/>
      <c r="C1455" s="667"/>
      <c r="D1455" s="667"/>
      <c r="E1455" s="667"/>
      <c r="F1455" s="667"/>
      <c r="G1455" s="667"/>
      <c r="K1455" s="64"/>
    </row>
    <row r="1456" spans="1:11" s="3" customFormat="1" x14ac:dyDescent="0.25">
      <c r="A1456" s="470" t="s">
        <v>942</v>
      </c>
      <c r="B1456" s="317"/>
      <c r="C1456" s="317"/>
      <c r="D1456" s="317"/>
      <c r="E1456" s="317"/>
      <c r="F1456" s="317"/>
      <c r="G1456" s="317"/>
      <c r="K1456" s="64"/>
    </row>
    <row r="1457" spans="1:11" s="3" customFormat="1" x14ac:dyDescent="0.25">
      <c r="A1457" s="470" t="s">
        <v>962</v>
      </c>
      <c r="B1457" s="317"/>
      <c r="C1457" s="317"/>
      <c r="D1457" s="317"/>
      <c r="E1457" s="317"/>
      <c r="F1457" s="317"/>
      <c r="G1457" s="317"/>
      <c r="K1457" s="64"/>
    </row>
    <row r="1458" spans="1:11" s="3" customFormat="1" x14ac:dyDescent="0.25">
      <c r="A1458" s="436" t="s">
        <v>1198</v>
      </c>
      <c r="B1458" s="471"/>
      <c r="C1458" s="471"/>
      <c r="D1458" s="471"/>
      <c r="E1458" s="471"/>
      <c r="F1458" s="471"/>
      <c r="G1458" s="471"/>
      <c r="H1458" s="34"/>
      <c r="I1458" s="34"/>
      <c r="J1458" s="34"/>
      <c r="K1458" s="48"/>
    </row>
    <row r="1459" spans="1:11" s="3" customFormat="1" x14ac:dyDescent="0.25">
      <c r="A1459" s="2"/>
      <c r="B1459" s="2"/>
    </row>
    <row r="1460" spans="1:11" s="3" customFormat="1" x14ac:dyDescent="0.25">
      <c r="A1460" s="6" t="s">
        <v>1</v>
      </c>
      <c r="B1460" s="7" t="s">
        <v>623</v>
      </c>
      <c r="C1460" s="9" t="s">
        <v>2</v>
      </c>
    </row>
    <row r="1461" spans="1:11" s="3" customFormat="1" x14ac:dyDescent="0.25">
      <c r="A1461" s="10" t="s">
        <v>3</v>
      </c>
      <c r="B1461" s="154">
        <v>2017</v>
      </c>
      <c r="C1461" s="154">
        <v>2018</v>
      </c>
      <c r="D1461" s="172">
        <v>2019</v>
      </c>
      <c r="E1461" s="154">
        <v>2020</v>
      </c>
      <c r="F1461" s="154">
        <v>2021</v>
      </c>
      <c r="G1461" s="154">
        <v>2022</v>
      </c>
      <c r="H1461" s="154">
        <v>2023</v>
      </c>
      <c r="I1461" s="154">
        <v>2024</v>
      </c>
      <c r="J1461" s="154">
        <v>2025</v>
      </c>
      <c r="K1461" s="465">
        <v>2026</v>
      </c>
    </row>
    <row r="1462" spans="1:11" s="3" customFormat="1" x14ac:dyDescent="0.25">
      <c r="A1462" s="10" t="s">
        <v>4</v>
      </c>
      <c r="B1462" s="156">
        <v>850</v>
      </c>
      <c r="C1462" s="156">
        <v>850</v>
      </c>
      <c r="D1462" s="174">
        <v>850</v>
      </c>
      <c r="E1462" s="156">
        <v>850</v>
      </c>
      <c r="F1462" s="175">
        <v>850</v>
      </c>
      <c r="G1462" s="175">
        <v>850</v>
      </c>
      <c r="H1462" s="175">
        <v>850</v>
      </c>
      <c r="I1462" s="175">
        <v>850</v>
      </c>
      <c r="J1462" s="175">
        <v>850</v>
      </c>
      <c r="K1462" s="472">
        <v>1186</v>
      </c>
    </row>
    <row r="1463" spans="1:11" s="3" customFormat="1" x14ac:dyDescent="0.25">
      <c r="A1463" s="10" t="s">
        <v>5</v>
      </c>
      <c r="B1463" s="156">
        <v>950</v>
      </c>
      <c r="C1463" s="156">
        <v>900</v>
      </c>
      <c r="D1463" s="174">
        <v>1000</v>
      </c>
      <c r="E1463" s="156">
        <v>995</v>
      </c>
      <c r="F1463" s="175">
        <v>1095</v>
      </c>
      <c r="G1463" s="175">
        <f>G1462+E1466+150+20+25</f>
        <v>1104.1799999999998</v>
      </c>
      <c r="H1463" s="175">
        <f>H1462+0.15*F1462+150+20+25</f>
        <v>1172.5</v>
      </c>
      <c r="I1463" s="175">
        <f>I1462+G1466+150+20+25+200</f>
        <v>1263.81</v>
      </c>
      <c r="J1463" s="175">
        <f>J1462+H1466+150+20+25+200</f>
        <v>1272.43</v>
      </c>
      <c r="K1463" s="472">
        <f>K1462+I1462*0.15+150+25</f>
        <v>1488.5</v>
      </c>
    </row>
    <row r="1464" spans="1:11" s="3" customFormat="1" x14ac:dyDescent="0.25">
      <c r="A1464" s="10" t="s">
        <v>6</v>
      </c>
      <c r="B1464" s="156"/>
      <c r="C1464" s="156"/>
      <c r="D1464" s="174"/>
      <c r="E1464" s="156"/>
      <c r="F1464" s="175"/>
      <c r="G1464" s="175"/>
      <c r="H1464" s="175"/>
      <c r="I1464" s="175"/>
      <c r="J1464" s="175"/>
      <c r="K1464" s="466"/>
    </row>
    <row r="1465" spans="1:11" s="3" customFormat="1" x14ac:dyDescent="0.25">
      <c r="A1465" s="10" t="s">
        <v>7</v>
      </c>
      <c r="B1465" s="156">
        <v>900</v>
      </c>
      <c r="C1465" s="156">
        <v>950</v>
      </c>
      <c r="D1465" s="174">
        <v>950</v>
      </c>
      <c r="E1465" s="156">
        <v>935.82</v>
      </c>
      <c r="F1465" s="175">
        <v>955.3</v>
      </c>
      <c r="G1465" s="175">
        <v>1085.3699999999999</v>
      </c>
      <c r="H1465" s="175">
        <v>1145.07</v>
      </c>
      <c r="I1465" s="175">
        <v>886.85</v>
      </c>
      <c r="J1465" s="175"/>
      <c r="K1465" s="466"/>
    </row>
    <row r="1466" spans="1:11" s="3" customFormat="1" x14ac:dyDescent="0.25">
      <c r="A1466" s="10" t="s">
        <v>8</v>
      </c>
      <c r="B1466" s="156">
        <f t="shared" ref="B1466:I1466" si="59">B1463-B1465</f>
        <v>50</v>
      </c>
      <c r="C1466" s="156">
        <f t="shared" si="59"/>
        <v>-50</v>
      </c>
      <c r="D1466" s="156">
        <f t="shared" si="59"/>
        <v>50</v>
      </c>
      <c r="E1466" s="156">
        <f t="shared" si="59"/>
        <v>59.17999999999995</v>
      </c>
      <c r="F1466" s="175">
        <f t="shared" si="59"/>
        <v>139.70000000000005</v>
      </c>
      <c r="G1466" s="175">
        <f t="shared" si="59"/>
        <v>18.809999999999945</v>
      </c>
      <c r="H1466" s="175">
        <f t="shared" si="59"/>
        <v>27.430000000000064</v>
      </c>
      <c r="I1466" s="175">
        <f t="shared" si="59"/>
        <v>376.95999999999992</v>
      </c>
      <c r="J1466" s="175"/>
      <c r="K1466" s="466"/>
    </row>
    <row r="1467" spans="1:11" s="3" customFormat="1" ht="13.2" customHeight="1" x14ac:dyDescent="0.25">
      <c r="A1467" s="16" t="s">
        <v>9</v>
      </c>
      <c r="B1467" s="159">
        <v>2019</v>
      </c>
      <c r="C1467" s="159">
        <v>2020</v>
      </c>
      <c r="D1467" s="178">
        <v>2021</v>
      </c>
      <c r="E1467" s="159">
        <v>2022</v>
      </c>
      <c r="F1467" s="179">
        <v>2023</v>
      </c>
      <c r="G1467" s="179">
        <v>2024</v>
      </c>
      <c r="H1467" s="179">
        <v>2025</v>
      </c>
      <c r="I1467" s="179">
        <v>2026</v>
      </c>
      <c r="J1467" s="179">
        <v>2027</v>
      </c>
      <c r="K1467" s="467">
        <v>2028</v>
      </c>
    </row>
    <row r="1468" spans="1:11" s="3" customFormat="1" ht="13.2" customHeight="1" x14ac:dyDescent="0.25">
      <c r="A1468" s="29" t="s">
        <v>10</v>
      </c>
      <c r="B1468" s="30"/>
      <c r="C1468" s="30"/>
      <c r="D1468" s="30"/>
      <c r="E1468" s="30"/>
      <c r="F1468" s="30"/>
      <c r="G1468" s="30"/>
      <c r="H1468" s="30"/>
      <c r="I1468" s="30"/>
      <c r="J1468" s="30"/>
      <c r="K1468" s="88"/>
    </row>
    <row r="1469" spans="1:11" s="3" customFormat="1" x14ac:dyDescent="0.25">
      <c r="A1469" s="18" t="s">
        <v>742</v>
      </c>
      <c r="B1469" s="19"/>
      <c r="C1469" s="19"/>
      <c r="D1469" s="19"/>
      <c r="E1469" s="19"/>
      <c r="F1469" s="19"/>
      <c r="G1469" s="19"/>
      <c r="H1469" s="19"/>
      <c r="I1469" s="19"/>
      <c r="J1469" s="19"/>
      <c r="K1469" s="63"/>
    </row>
    <row r="1470" spans="1:11" s="3" customFormat="1" x14ac:dyDescent="0.25">
      <c r="A1470" s="39" t="s">
        <v>743</v>
      </c>
      <c r="K1470" s="64"/>
    </row>
    <row r="1471" spans="1:11" s="3" customFormat="1" x14ac:dyDescent="0.25">
      <c r="A1471" s="56" t="s">
        <v>744</v>
      </c>
      <c r="B1471" s="49"/>
      <c r="C1471" s="49"/>
      <c r="D1471" s="49"/>
      <c r="E1471" s="49"/>
      <c r="F1471" s="49"/>
      <c r="G1471" s="49"/>
      <c r="H1471" s="49"/>
      <c r="K1471" s="64"/>
    </row>
    <row r="1472" spans="1:11" s="3" customFormat="1" x14ac:dyDescent="0.25">
      <c r="A1472" s="39" t="s">
        <v>745</v>
      </c>
      <c r="K1472" s="64"/>
    </row>
    <row r="1473" spans="1:11" s="3" customFormat="1" x14ac:dyDescent="0.25">
      <c r="A1473" s="39" t="s">
        <v>746</v>
      </c>
      <c r="K1473" s="64"/>
    </row>
    <row r="1474" spans="1:11" s="3" customFormat="1" x14ac:dyDescent="0.25">
      <c r="A1474" s="39" t="s">
        <v>747</v>
      </c>
      <c r="K1474" s="64"/>
    </row>
    <row r="1475" spans="1:11" s="3" customFormat="1" x14ac:dyDescent="0.25">
      <c r="A1475" s="161" t="s">
        <v>963</v>
      </c>
      <c r="B1475" s="32"/>
      <c r="C1475" s="32"/>
      <c r="D1475" s="32"/>
      <c r="E1475" s="32"/>
      <c r="F1475" s="32"/>
      <c r="G1475" s="32"/>
      <c r="H1475" s="32"/>
      <c r="K1475" s="64"/>
    </row>
    <row r="1476" spans="1:11" s="3" customFormat="1" x14ac:dyDescent="0.25">
      <c r="A1476" s="161" t="s">
        <v>964</v>
      </c>
      <c r="B1476" s="32"/>
      <c r="C1476" s="32"/>
      <c r="D1476" s="32"/>
      <c r="E1476" s="32"/>
      <c r="F1476" s="32"/>
      <c r="G1476" s="32"/>
      <c r="H1476" s="32"/>
      <c r="K1476" s="64"/>
    </row>
    <row r="1477" spans="1:11" s="3" customFormat="1" x14ac:dyDescent="0.25">
      <c r="A1477" s="162" t="s">
        <v>1199</v>
      </c>
      <c r="B1477" s="22"/>
      <c r="C1477" s="22"/>
      <c r="D1477" s="22"/>
      <c r="E1477" s="22"/>
      <c r="F1477" s="22"/>
      <c r="G1477" s="22"/>
      <c r="H1477" s="22"/>
      <c r="I1477" s="34"/>
      <c r="J1477" s="34"/>
      <c r="K1477" s="48"/>
    </row>
    <row r="1478" spans="1:11" s="3" customFormat="1" x14ac:dyDescent="0.25"/>
    <row r="1479" spans="1:11" s="3" customFormat="1" x14ac:dyDescent="0.25">
      <c r="A1479" s="6" t="s">
        <v>1</v>
      </c>
      <c r="B1479" s="7" t="s">
        <v>642</v>
      </c>
      <c r="C1479" s="9" t="s">
        <v>2</v>
      </c>
    </row>
    <row r="1480" spans="1:11" s="3" customFormat="1" x14ac:dyDescent="0.25">
      <c r="A1480" s="10" t="s">
        <v>3</v>
      </c>
      <c r="B1480" s="11"/>
      <c r="C1480" s="197"/>
      <c r="D1480" s="36"/>
      <c r="E1480" s="154">
        <v>2020</v>
      </c>
      <c r="F1480" s="154">
        <v>2021</v>
      </c>
      <c r="G1480" s="154">
        <v>2022</v>
      </c>
      <c r="H1480" s="154">
        <v>2023</v>
      </c>
      <c r="I1480" s="473">
        <v>2024</v>
      </c>
      <c r="J1480" s="473">
        <v>2025</v>
      </c>
    </row>
    <row r="1481" spans="1:11" s="3" customFormat="1" x14ac:dyDescent="0.25">
      <c r="A1481" s="10" t="s">
        <v>4</v>
      </c>
      <c r="B1481" s="11"/>
      <c r="C1481" s="474"/>
      <c r="D1481" s="188"/>
      <c r="E1481" s="12">
        <v>3284</v>
      </c>
      <c r="F1481" s="189">
        <v>3284</v>
      </c>
      <c r="G1481" s="189">
        <v>3284</v>
      </c>
      <c r="H1481" s="189">
        <v>3700</v>
      </c>
      <c r="I1481" s="475">
        <v>3700</v>
      </c>
      <c r="J1481" s="475">
        <v>3700</v>
      </c>
    </row>
    <row r="1482" spans="1:11" s="3" customFormat="1" x14ac:dyDescent="0.25">
      <c r="A1482" s="10" t="s">
        <v>5</v>
      </c>
      <c r="B1482" s="11"/>
      <c r="C1482" s="474"/>
      <c r="D1482" s="188"/>
      <c r="E1482" s="12">
        <v>3488.62</v>
      </c>
      <c r="F1482" s="189">
        <v>3318.91</v>
      </c>
      <c r="G1482" s="189">
        <f>G1481+F1485+259.62</f>
        <v>3568.2699999999995</v>
      </c>
      <c r="H1482" s="189">
        <f>H1481+3</f>
        <v>3703</v>
      </c>
      <c r="I1482" s="475">
        <f>I1481+H1485</f>
        <v>3739</v>
      </c>
      <c r="J1482" s="476">
        <f>J1481+I1485+50</f>
        <v>3870.13</v>
      </c>
    </row>
    <row r="1483" spans="1:11" s="3" customFormat="1" x14ac:dyDescent="0.25">
      <c r="A1483" s="10" t="s">
        <v>6</v>
      </c>
      <c r="B1483" s="11"/>
      <c r="C1483" s="474"/>
      <c r="D1483" s="188"/>
      <c r="E1483" s="12"/>
      <c r="F1483" s="189"/>
      <c r="G1483" s="189"/>
      <c r="H1483" s="189"/>
      <c r="I1483" s="475"/>
      <c r="J1483" s="475"/>
    </row>
    <row r="1484" spans="1:11" s="3" customFormat="1" x14ac:dyDescent="0.25">
      <c r="A1484" s="10" t="s">
        <v>7</v>
      </c>
      <c r="B1484" s="11"/>
      <c r="C1484" s="474"/>
      <c r="D1484" s="188"/>
      <c r="E1484" s="12">
        <v>3453.71</v>
      </c>
      <c r="F1484" s="189">
        <v>3294.26</v>
      </c>
      <c r="G1484" s="189">
        <v>3565.05</v>
      </c>
      <c r="H1484" s="189">
        <v>3664</v>
      </c>
      <c r="I1484" s="475">
        <v>3618.87</v>
      </c>
      <c r="J1484" s="475"/>
    </row>
    <row r="1485" spans="1:11" s="3" customFormat="1" x14ac:dyDescent="0.25">
      <c r="A1485" s="10" t="s">
        <v>8</v>
      </c>
      <c r="B1485" s="11"/>
      <c r="C1485" s="474"/>
      <c r="D1485" s="188"/>
      <c r="E1485" s="12">
        <v>34.909999999999997</v>
      </c>
      <c r="F1485" s="189">
        <f>F1482-F1484</f>
        <v>24.649999999999636</v>
      </c>
      <c r="G1485" s="189">
        <f>G1482-G1484</f>
        <v>3.2199999999993452</v>
      </c>
      <c r="H1485" s="189">
        <f>H1482-H1484</f>
        <v>39</v>
      </c>
      <c r="I1485" s="475">
        <f>I1482-I1484</f>
        <v>120.13000000000011</v>
      </c>
      <c r="J1485" s="475"/>
    </row>
    <row r="1486" spans="1:11" s="3" customFormat="1" x14ac:dyDescent="0.25">
      <c r="A1486" s="16" t="s">
        <v>9</v>
      </c>
      <c r="B1486" s="17"/>
      <c r="C1486" s="159"/>
      <c r="D1486" s="46"/>
      <c r="E1486" s="159">
        <v>2021</v>
      </c>
      <c r="F1486" s="179">
        <v>2022</v>
      </c>
      <c r="G1486" s="179">
        <v>2023</v>
      </c>
      <c r="H1486" s="179">
        <v>2024</v>
      </c>
      <c r="I1486" s="179">
        <v>2025</v>
      </c>
      <c r="J1486" s="179">
        <v>2026</v>
      </c>
    </row>
    <row r="1487" spans="1:11" s="3" customFormat="1" x14ac:dyDescent="0.25">
      <c r="A1487" s="29" t="s">
        <v>10</v>
      </c>
      <c r="B1487" s="30"/>
      <c r="C1487" s="30"/>
      <c r="D1487" s="30"/>
      <c r="E1487" s="30"/>
      <c r="F1487" s="30"/>
      <c r="G1487" s="30"/>
      <c r="H1487" s="30"/>
      <c r="I1487" s="30"/>
      <c r="J1487" s="88"/>
    </row>
    <row r="1488" spans="1:11" s="3" customFormat="1" x14ac:dyDescent="0.25">
      <c r="A1488" s="56" t="s">
        <v>749</v>
      </c>
      <c r="I1488" s="64"/>
    </row>
    <row r="1489" spans="1:10" s="3" customFormat="1" x14ac:dyDescent="0.25">
      <c r="A1489" s="470" t="s">
        <v>750</v>
      </c>
      <c r="I1489" s="64"/>
    </row>
    <row r="1490" spans="1:10" s="3" customFormat="1" x14ac:dyDescent="0.25">
      <c r="A1490" s="470" t="s">
        <v>751</v>
      </c>
      <c r="B1490" s="437"/>
      <c r="C1490" s="437"/>
      <c r="D1490" s="437"/>
      <c r="E1490" s="437"/>
      <c r="F1490" s="437"/>
      <c r="G1490" s="437"/>
      <c r="I1490" s="64"/>
    </row>
    <row r="1491" spans="1:10" s="3" customFormat="1" x14ac:dyDescent="0.25">
      <c r="A1491" s="39" t="s">
        <v>748</v>
      </c>
      <c r="I1491" s="64"/>
    </row>
    <row r="1492" spans="1:10" s="3" customFormat="1" x14ac:dyDescent="0.25">
      <c r="A1492" s="39" t="s">
        <v>965</v>
      </c>
      <c r="I1492" s="64"/>
    </row>
    <row r="1493" spans="1:10" s="34" customFormat="1" x14ac:dyDescent="0.25">
      <c r="A1493" s="43" t="s">
        <v>1147</v>
      </c>
    </row>
    <row r="1494" spans="1:10" s="3" customFormat="1" x14ac:dyDescent="0.25">
      <c r="A1494" s="41"/>
      <c r="B1494" s="34"/>
      <c r="C1494" s="34"/>
    </row>
    <row r="1495" spans="1:10" s="3" customFormat="1" x14ac:dyDescent="0.25">
      <c r="A1495" s="151" t="s">
        <v>1</v>
      </c>
      <c r="B1495" s="24" t="s">
        <v>74</v>
      </c>
      <c r="C1495" s="477" t="s">
        <v>2</v>
      </c>
    </row>
    <row r="1496" spans="1:10" s="3" customFormat="1" x14ac:dyDescent="0.25">
      <c r="A1496" s="10" t="s">
        <v>3</v>
      </c>
      <c r="B1496" s="154">
        <v>2017</v>
      </c>
      <c r="C1496" s="154">
        <v>2018</v>
      </c>
      <c r="D1496" s="172">
        <v>2019</v>
      </c>
      <c r="E1496" s="154">
        <v>2020</v>
      </c>
      <c r="F1496" s="154">
        <v>2021</v>
      </c>
      <c r="G1496" s="154">
        <v>2022</v>
      </c>
      <c r="H1496" s="154">
        <v>2023</v>
      </c>
      <c r="I1496" s="154">
        <v>2024</v>
      </c>
      <c r="J1496" s="465">
        <v>2025</v>
      </c>
    </row>
    <row r="1497" spans="1:10" s="3" customFormat="1" x14ac:dyDescent="0.25">
      <c r="A1497" s="10" t="s">
        <v>4</v>
      </c>
      <c r="B1497" s="12">
        <v>10</v>
      </c>
      <c r="C1497" s="474">
        <v>10</v>
      </c>
      <c r="D1497" s="188">
        <v>10</v>
      </c>
      <c r="E1497" s="12">
        <v>10</v>
      </c>
      <c r="F1497" s="189">
        <v>10</v>
      </c>
      <c r="G1497" s="189">
        <v>10</v>
      </c>
      <c r="H1497" s="189">
        <v>10</v>
      </c>
      <c r="I1497" s="189">
        <v>10</v>
      </c>
      <c r="J1497" s="478">
        <v>10</v>
      </c>
    </row>
    <row r="1498" spans="1:10" s="3" customFormat="1" x14ac:dyDescent="0.25">
      <c r="A1498" s="10" t="s">
        <v>5</v>
      </c>
      <c r="B1498" s="12">
        <v>10</v>
      </c>
      <c r="C1498" s="474">
        <v>-62</v>
      </c>
      <c r="D1498" s="188">
        <v>-52</v>
      </c>
      <c r="E1498" s="12">
        <v>-42</v>
      </c>
      <c r="F1498" s="189">
        <v>-32</v>
      </c>
      <c r="G1498" s="189">
        <v>-22</v>
      </c>
      <c r="H1498" s="189">
        <v>-12</v>
      </c>
      <c r="I1498" s="189">
        <f>H1501+I1497</f>
        <v>-2</v>
      </c>
      <c r="J1498" s="478">
        <f>I1501+J1497</f>
        <v>8</v>
      </c>
    </row>
    <row r="1499" spans="1:10" s="3" customFormat="1" x14ac:dyDescent="0.25">
      <c r="A1499" s="10" t="s">
        <v>6</v>
      </c>
      <c r="B1499" s="12"/>
      <c r="C1499" s="474"/>
      <c r="D1499" s="188"/>
      <c r="E1499" s="12"/>
      <c r="F1499" s="189"/>
      <c r="G1499" s="189"/>
      <c r="H1499" s="189"/>
      <c r="I1499" s="189"/>
      <c r="J1499" s="478"/>
    </row>
    <row r="1500" spans="1:10" s="3" customFormat="1" x14ac:dyDescent="0.25">
      <c r="A1500" s="10" t="s">
        <v>7</v>
      </c>
      <c r="B1500" s="12">
        <v>82</v>
      </c>
      <c r="C1500" s="474">
        <v>0</v>
      </c>
      <c r="D1500" s="188">
        <v>0</v>
      </c>
      <c r="E1500" s="12">
        <v>0</v>
      </c>
      <c r="F1500" s="189">
        <v>0</v>
      </c>
      <c r="G1500" s="189">
        <v>0</v>
      </c>
      <c r="H1500" s="189">
        <v>0</v>
      </c>
      <c r="I1500" s="189">
        <v>0</v>
      </c>
      <c r="J1500" s="478"/>
    </row>
    <row r="1501" spans="1:10" s="3" customFormat="1" x14ac:dyDescent="0.25">
      <c r="A1501" s="10" t="s">
        <v>8</v>
      </c>
      <c r="B1501" s="12">
        <v>-72</v>
      </c>
      <c r="C1501" s="474">
        <v>-62</v>
      </c>
      <c r="D1501" s="188">
        <v>-52</v>
      </c>
      <c r="E1501" s="12">
        <v>-42</v>
      </c>
      <c r="F1501" s="189">
        <v>-32</v>
      </c>
      <c r="G1501" s="189">
        <v>-22</v>
      </c>
      <c r="H1501" s="189">
        <f>H1498-H1500</f>
        <v>-12</v>
      </c>
      <c r="I1501" s="189">
        <f>I1498-I1500</f>
        <v>-2</v>
      </c>
      <c r="J1501" s="478"/>
    </row>
    <row r="1502" spans="1:10" s="3" customFormat="1" x14ac:dyDescent="0.25">
      <c r="A1502" s="16" t="s">
        <v>9</v>
      </c>
      <c r="B1502" s="159">
        <v>2018</v>
      </c>
      <c r="C1502" s="159">
        <v>2019</v>
      </c>
      <c r="D1502" s="159">
        <v>2020</v>
      </c>
      <c r="E1502" s="159">
        <v>2021</v>
      </c>
      <c r="F1502" s="159">
        <v>2022</v>
      </c>
      <c r="G1502" s="159">
        <v>2023</v>
      </c>
      <c r="H1502" s="159">
        <v>2024</v>
      </c>
      <c r="I1502" s="159">
        <v>2025</v>
      </c>
      <c r="J1502" s="297">
        <v>2026</v>
      </c>
    </row>
    <row r="1503" spans="1:10" s="3" customFormat="1" x14ac:dyDescent="0.25">
      <c r="A1503" s="18" t="s">
        <v>10</v>
      </c>
      <c r="B1503" s="19"/>
      <c r="C1503" s="19"/>
      <c r="D1503" s="19"/>
      <c r="E1503" s="19"/>
      <c r="F1503" s="19"/>
      <c r="G1503" s="19"/>
      <c r="H1503" s="19"/>
      <c r="I1503" s="63"/>
      <c r="J1503" s="479"/>
    </row>
    <row r="1504" spans="1:10" s="3" customFormat="1" x14ac:dyDescent="0.25">
      <c r="A1504" s="480" t="s">
        <v>753</v>
      </c>
      <c r="B1504" s="53"/>
      <c r="C1504" s="53"/>
      <c r="D1504" s="53"/>
      <c r="E1504" s="53"/>
      <c r="F1504" s="53"/>
      <c r="G1504" s="19"/>
      <c r="H1504" s="19"/>
      <c r="I1504" s="19"/>
      <c r="J1504" s="63"/>
    </row>
    <row r="1505" spans="1:11" s="3" customFormat="1" x14ac:dyDescent="0.25">
      <c r="A1505" s="39" t="s">
        <v>754</v>
      </c>
      <c r="B1505" s="49"/>
      <c r="C1505" s="49"/>
      <c r="D1505" s="49"/>
      <c r="E1505" s="49"/>
      <c r="F1505" s="49"/>
      <c r="J1505" s="64"/>
    </row>
    <row r="1506" spans="1:11" s="3" customFormat="1" x14ac:dyDescent="0.25">
      <c r="A1506" s="56" t="s">
        <v>755</v>
      </c>
      <c r="B1506" s="49"/>
      <c r="C1506" s="49"/>
      <c r="D1506" s="49"/>
      <c r="E1506" s="49"/>
      <c r="F1506" s="49"/>
      <c r="J1506" s="64"/>
    </row>
    <row r="1507" spans="1:11" s="3" customFormat="1" x14ac:dyDescent="0.25">
      <c r="A1507" s="39" t="s">
        <v>756</v>
      </c>
      <c r="J1507" s="64"/>
    </row>
    <row r="1508" spans="1:11" s="3" customFormat="1" x14ac:dyDescent="0.25">
      <c r="A1508" s="41" t="s">
        <v>752</v>
      </c>
      <c r="J1508" s="64"/>
    </row>
    <row r="1509" spans="1:11" s="3" customFormat="1" x14ac:dyDescent="0.25">
      <c r="A1509" s="42" t="s">
        <v>1200</v>
      </c>
      <c r="B1509" s="34"/>
      <c r="C1509" s="34"/>
      <c r="D1509" s="34"/>
      <c r="E1509" s="34"/>
      <c r="F1509" s="34"/>
      <c r="G1509" s="34"/>
      <c r="H1509" s="34"/>
      <c r="I1509" s="34"/>
      <c r="J1509" s="48"/>
    </row>
    <row r="1510" spans="1:11" s="3" customFormat="1" x14ac:dyDescent="0.25"/>
    <row r="1511" spans="1:11" s="3" customFormat="1" x14ac:dyDescent="0.25"/>
    <row r="1512" spans="1:11" s="3" customFormat="1" x14ac:dyDescent="0.25">
      <c r="A1512" s="6" t="s">
        <v>24</v>
      </c>
      <c r="B1512" s="7" t="s">
        <v>25</v>
      </c>
    </row>
    <row r="1513" spans="1:11" s="3" customFormat="1" x14ac:dyDescent="0.25">
      <c r="A1513" s="151" t="s">
        <v>14</v>
      </c>
      <c r="B1513" s="24" t="s">
        <v>624</v>
      </c>
      <c r="C1513" s="481" t="s">
        <v>26</v>
      </c>
    </row>
    <row r="1514" spans="1:11" s="3" customFormat="1" x14ac:dyDescent="0.25">
      <c r="A1514" s="170" t="s">
        <v>27</v>
      </c>
      <c r="B1514" s="276">
        <v>2016</v>
      </c>
      <c r="C1514" s="154">
        <v>2017</v>
      </c>
      <c r="D1514" s="482">
        <v>2018</v>
      </c>
      <c r="E1514" s="154">
        <v>2019</v>
      </c>
      <c r="F1514" s="154">
        <v>2020</v>
      </c>
      <c r="G1514" s="154">
        <v>2021</v>
      </c>
      <c r="H1514" s="154">
        <v>2022</v>
      </c>
      <c r="I1514" s="154">
        <v>2023</v>
      </c>
      <c r="J1514" s="154">
        <v>2024</v>
      </c>
      <c r="K1514" s="154">
        <v>2025</v>
      </c>
    </row>
    <row r="1515" spans="1:11" s="3" customFormat="1" x14ac:dyDescent="0.25">
      <c r="A1515" s="11" t="s">
        <v>28</v>
      </c>
      <c r="B1515" s="72">
        <v>200</v>
      </c>
      <c r="C1515" s="72">
        <v>200</v>
      </c>
      <c r="D1515" s="72">
        <v>200</v>
      </c>
      <c r="E1515" s="72">
        <v>215</v>
      </c>
      <c r="F1515" s="12">
        <v>215</v>
      </c>
      <c r="G1515" s="11">
        <v>242</v>
      </c>
      <c r="H1515" s="11">
        <v>242</v>
      </c>
      <c r="I1515" s="11">
        <v>242</v>
      </c>
      <c r="J1515" s="11">
        <v>302</v>
      </c>
      <c r="K1515" s="11">
        <v>302</v>
      </c>
    </row>
    <row r="1516" spans="1:11" s="3" customFormat="1" x14ac:dyDescent="0.25">
      <c r="A1516" s="11" t="s">
        <v>29</v>
      </c>
      <c r="B1516" s="72">
        <f>200+200*0.25</f>
        <v>250</v>
      </c>
      <c r="C1516" s="72">
        <f>200+200*0.25</f>
        <v>250</v>
      </c>
      <c r="D1516" s="72">
        <f t="shared" ref="D1516:K1516" si="60">D1515+B1515*0.25</f>
        <v>250</v>
      </c>
      <c r="E1516" s="72">
        <f t="shared" si="60"/>
        <v>265</v>
      </c>
      <c r="F1516" s="72">
        <f t="shared" si="60"/>
        <v>265</v>
      </c>
      <c r="G1516" s="72">
        <f t="shared" si="60"/>
        <v>295.75</v>
      </c>
      <c r="H1516" s="72">
        <f t="shared" si="60"/>
        <v>295.75</v>
      </c>
      <c r="I1516" s="72">
        <f t="shared" si="60"/>
        <v>302.5</v>
      </c>
      <c r="J1516" s="72">
        <f t="shared" si="60"/>
        <v>362.5</v>
      </c>
      <c r="K1516" s="72">
        <f t="shared" si="60"/>
        <v>362.5</v>
      </c>
    </row>
    <row r="1517" spans="1:11" s="3" customFormat="1" x14ac:dyDescent="0.25">
      <c r="A1517" s="11" t="s">
        <v>30</v>
      </c>
      <c r="B1517" s="252" t="s">
        <v>410</v>
      </c>
      <c r="C1517" s="252" t="s">
        <v>410</v>
      </c>
      <c r="D1517" s="252" t="s">
        <v>410</v>
      </c>
      <c r="E1517" s="252" t="s">
        <v>411</v>
      </c>
      <c r="F1517" s="252" t="s">
        <v>411</v>
      </c>
      <c r="G1517" s="252" t="s">
        <v>430</v>
      </c>
      <c r="H1517" s="252" t="s">
        <v>430</v>
      </c>
      <c r="I1517" s="252" t="s">
        <v>804</v>
      </c>
      <c r="J1517" s="252" t="s">
        <v>1052</v>
      </c>
      <c r="K1517" s="252" t="s">
        <v>1052</v>
      </c>
    </row>
    <row r="1518" spans="1:11" s="3" customFormat="1" x14ac:dyDescent="0.25">
      <c r="A1518" s="11" t="s">
        <v>31</v>
      </c>
      <c r="B1518" s="72">
        <v>2.19</v>
      </c>
      <c r="C1518" s="72">
        <v>0.38</v>
      </c>
      <c r="D1518" s="72">
        <v>7.19</v>
      </c>
      <c r="E1518" s="72">
        <v>0.28999999999999998</v>
      </c>
      <c r="F1518" s="12">
        <v>1.45</v>
      </c>
      <c r="G1518" s="11">
        <v>0.72</v>
      </c>
      <c r="H1518" s="11">
        <v>0.64</v>
      </c>
      <c r="I1518" s="11">
        <v>0.2</v>
      </c>
      <c r="J1518" s="11">
        <v>0</v>
      </c>
      <c r="K1518" s="11"/>
    </row>
    <row r="1519" spans="1:11" s="3" customFormat="1" x14ac:dyDescent="0.25">
      <c r="A1519" s="11" t="s">
        <v>32</v>
      </c>
      <c r="B1519" s="72">
        <f t="shared" ref="B1519:J1519" si="61">B1516-B1518</f>
        <v>247.81</v>
      </c>
      <c r="C1519" s="72">
        <f t="shared" si="61"/>
        <v>249.62</v>
      </c>
      <c r="D1519" s="72">
        <f t="shared" si="61"/>
        <v>242.81</v>
      </c>
      <c r="E1519" s="72">
        <f t="shared" si="61"/>
        <v>264.70999999999998</v>
      </c>
      <c r="F1519" s="72">
        <f t="shared" si="61"/>
        <v>263.55</v>
      </c>
      <c r="G1519" s="12">
        <f t="shared" si="61"/>
        <v>295.02999999999997</v>
      </c>
      <c r="H1519" s="12">
        <f t="shared" si="61"/>
        <v>295.11</v>
      </c>
      <c r="I1519" s="12">
        <f t="shared" si="61"/>
        <v>302.3</v>
      </c>
      <c r="J1519" s="12">
        <f t="shared" si="61"/>
        <v>362.5</v>
      </c>
      <c r="K1519" s="12"/>
    </row>
    <row r="1520" spans="1:11" s="3" customFormat="1" x14ac:dyDescent="0.25">
      <c r="A1520" s="16" t="s">
        <v>33</v>
      </c>
      <c r="B1520" s="159">
        <v>2018</v>
      </c>
      <c r="C1520" s="159">
        <v>2019</v>
      </c>
      <c r="D1520" s="483">
        <v>2020</v>
      </c>
      <c r="E1520" s="159">
        <v>2021</v>
      </c>
      <c r="F1520" s="159">
        <v>2022</v>
      </c>
      <c r="G1520" s="17">
        <v>2023</v>
      </c>
      <c r="H1520" s="17">
        <v>2024</v>
      </c>
      <c r="I1520" s="17">
        <v>2025</v>
      </c>
      <c r="J1520" s="17">
        <v>2026</v>
      </c>
      <c r="K1520" s="17">
        <v>2027</v>
      </c>
    </row>
    <row r="1521" spans="1:17" s="3" customFormat="1" ht="13.2" customHeight="1" x14ac:dyDescent="0.25">
      <c r="A1521" s="10" t="s">
        <v>135</v>
      </c>
      <c r="B1521" s="36"/>
      <c r="C1521" s="36"/>
      <c r="D1521" s="36"/>
      <c r="E1521" s="36"/>
      <c r="F1521" s="36"/>
      <c r="G1521" s="36"/>
      <c r="H1521" s="37"/>
      <c r="I1521" s="37"/>
      <c r="J1521" s="37"/>
      <c r="K1521" s="37"/>
    </row>
    <row r="1522" spans="1:17" s="3" customFormat="1" x14ac:dyDescent="0.25">
      <c r="A1522" s="2"/>
      <c r="B1522" s="2"/>
    </row>
    <row r="1523" spans="1:17" s="3" customFormat="1" x14ac:dyDescent="0.25">
      <c r="A1523" s="6" t="s">
        <v>14</v>
      </c>
      <c r="B1523" s="7" t="s">
        <v>623</v>
      </c>
      <c r="C1523" s="481" t="s">
        <v>26</v>
      </c>
    </row>
    <row r="1524" spans="1:17" s="3" customFormat="1" x14ac:dyDescent="0.25">
      <c r="A1524" s="170" t="s">
        <v>27</v>
      </c>
      <c r="B1524" s="276">
        <v>2013</v>
      </c>
      <c r="C1524" s="154">
        <v>2014</v>
      </c>
      <c r="D1524" s="482">
        <v>2015</v>
      </c>
      <c r="E1524" s="154">
        <v>2016</v>
      </c>
      <c r="F1524" s="154">
        <v>2017</v>
      </c>
      <c r="G1524" s="482">
        <v>2018</v>
      </c>
      <c r="H1524" s="154">
        <v>2019</v>
      </c>
      <c r="I1524" s="154">
        <v>2020</v>
      </c>
      <c r="J1524" s="154">
        <v>2021</v>
      </c>
      <c r="K1524" s="154">
        <v>2022</v>
      </c>
      <c r="L1524" s="154">
        <v>2023</v>
      </c>
      <c r="M1524" s="154">
        <v>2024</v>
      </c>
      <c r="N1524" s="154">
        <v>2025</v>
      </c>
    </row>
    <row r="1525" spans="1:17" s="3" customFormat="1" x14ac:dyDescent="0.25">
      <c r="A1525" s="11" t="s">
        <v>28</v>
      </c>
      <c r="B1525" s="12">
        <v>200</v>
      </c>
      <c r="C1525" s="12">
        <v>200</v>
      </c>
      <c r="D1525" s="72">
        <v>200</v>
      </c>
      <c r="E1525" s="72">
        <v>200</v>
      </c>
      <c r="F1525" s="72">
        <v>200</v>
      </c>
      <c r="G1525" s="72">
        <v>200</v>
      </c>
      <c r="H1525" s="72">
        <v>200</v>
      </c>
      <c r="I1525" s="12">
        <v>200</v>
      </c>
      <c r="J1525" s="12">
        <v>200</v>
      </c>
      <c r="K1525" s="12">
        <v>200</v>
      </c>
      <c r="L1525" s="12">
        <v>200</v>
      </c>
      <c r="M1525" s="12">
        <v>200</v>
      </c>
      <c r="N1525" s="12">
        <v>200</v>
      </c>
    </row>
    <row r="1526" spans="1:17" s="3" customFormat="1" x14ac:dyDescent="0.25">
      <c r="A1526" s="11" t="s">
        <v>29</v>
      </c>
      <c r="B1526" s="156">
        <f>(B1527)</f>
        <v>300</v>
      </c>
      <c r="C1526" s="156">
        <f>(C1527)</f>
        <v>300</v>
      </c>
      <c r="D1526" s="72">
        <v>300</v>
      </c>
      <c r="E1526" s="72">
        <v>300</v>
      </c>
      <c r="F1526" s="72">
        <v>300</v>
      </c>
      <c r="G1526" s="72">
        <v>280</v>
      </c>
      <c r="H1526" s="72">
        <v>280</v>
      </c>
      <c r="I1526" s="12">
        <v>280</v>
      </c>
      <c r="J1526" s="12">
        <v>280</v>
      </c>
      <c r="K1526" s="12">
        <v>280</v>
      </c>
      <c r="L1526" s="12">
        <v>280</v>
      </c>
      <c r="M1526" s="12">
        <v>280</v>
      </c>
      <c r="N1526" s="12">
        <f>(200+(200*0.4))</f>
        <v>280</v>
      </c>
    </row>
    <row r="1527" spans="1:17" s="3" customFormat="1" x14ac:dyDescent="0.25">
      <c r="A1527" s="11" t="s">
        <v>30</v>
      </c>
      <c r="B1527" s="12">
        <f>(B1525*50%)+B1525</f>
        <v>300</v>
      </c>
      <c r="C1527" s="12">
        <f>(C1525*50%)+C1525</f>
        <v>300</v>
      </c>
      <c r="D1527" s="252" t="s">
        <v>247</v>
      </c>
      <c r="E1527" s="252" t="s">
        <v>247</v>
      </c>
      <c r="F1527" s="252" t="s">
        <v>247</v>
      </c>
      <c r="G1527" s="252" t="s">
        <v>248</v>
      </c>
      <c r="H1527" s="252" t="s">
        <v>248</v>
      </c>
      <c r="I1527" s="252" t="s">
        <v>248</v>
      </c>
      <c r="J1527" s="252" t="s">
        <v>248</v>
      </c>
      <c r="K1527" s="252" t="s">
        <v>248</v>
      </c>
      <c r="L1527" s="252" t="s">
        <v>248</v>
      </c>
      <c r="M1527" s="252" t="s">
        <v>248</v>
      </c>
      <c r="N1527" s="156" t="s">
        <v>248</v>
      </c>
    </row>
    <row r="1528" spans="1:17" s="3" customFormat="1" x14ac:dyDescent="0.25">
      <c r="A1528" s="11" t="s">
        <v>31</v>
      </c>
      <c r="B1528" s="12">
        <v>32</v>
      </c>
      <c r="C1528" s="12">
        <v>32</v>
      </c>
      <c r="D1528" s="72">
        <v>31</v>
      </c>
      <c r="E1528" s="72">
        <v>36</v>
      </c>
      <c r="F1528" s="72">
        <v>64</v>
      </c>
      <c r="G1528" s="72">
        <v>45</v>
      </c>
      <c r="H1528" s="72">
        <v>30</v>
      </c>
      <c r="I1528" s="12">
        <v>21</v>
      </c>
      <c r="J1528" s="12">
        <v>25</v>
      </c>
      <c r="K1528" s="12">
        <v>22</v>
      </c>
      <c r="L1528" s="12">
        <v>26</v>
      </c>
      <c r="M1528" s="12">
        <v>20</v>
      </c>
      <c r="N1528" s="12"/>
    </row>
    <row r="1529" spans="1:17" s="3" customFormat="1" x14ac:dyDescent="0.25">
      <c r="A1529" s="11" t="s">
        <v>32</v>
      </c>
      <c r="B1529" s="156">
        <f>(B1526-B1528)</f>
        <v>268</v>
      </c>
      <c r="C1529" s="156">
        <f>(C1526-C1528)</f>
        <v>268</v>
      </c>
      <c r="D1529" s="72">
        <f t="shared" ref="D1529:M1529" si="62">D1526-D1528</f>
        <v>269</v>
      </c>
      <c r="E1529" s="72">
        <f t="shared" si="62"/>
        <v>264</v>
      </c>
      <c r="F1529" s="72">
        <f t="shared" si="62"/>
        <v>236</v>
      </c>
      <c r="G1529" s="72">
        <f t="shared" si="62"/>
        <v>235</v>
      </c>
      <c r="H1529" s="72">
        <f t="shared" si="62"/>
        <v>250</v>
      </c>
      <c r="I1529" s="72">
        <f t="shared" si="62"/>
        <v>259</v>
      </c>
      <c r="J1529" s="72">
        <f t="shared" si="62"/>
        <v>255</v>
      </c>
      <c r="K1529" s="72">
        <f t="shared" si="62"/>
        <v>258</v>
      </c>
      <c r="L1529" s="72">
        <f t="shared" si="62"/>
        <v>254</v>
      </c>
      <c r="M1529" s="72">
        <f t="shared" si="62"/>
        <v>260</v>
      </c>
      <c r="N1529" s="12"/>
    </row>
    <row r="1530" spans="1:17" s="3" customFormat="1" ht="13.2" customHeight="1" x14ac:dyDescent="0.25">
      <c r="A1530" s="16" t="s">
        <v>33</v>
      </c>
      <c r="B1530" s="159">
        <v>2015</v>
      </c>
      <c r="C1530" s="159">
        <v>2016</v>
      </c>
      <c r="D1530" s="159">
        <v>2017</v>
      </c>
      <c r="E1530" s="159">
        <v>2018</v>
      </c>
      <c r="F1530" s="159">
        <v>2019</v>
      </c>
      <c r="G1530" s="483">
        <v>2020</v>
      </c>
      <c r="H1530" s="159">
        <v>2021</v>
      </c>
      <c r="I1530" s="159">
        <v>2022</v>
      </c>
      <c r="J1530" s="159">
        <v>2023</v>
      </c>
      <c r="K1530" s="159">
        <v>2024</v>
      </c>
      <c r="L1530" s="159">
        <v>2025</v>
      </c>
      <c r="M1530" s="159">
        <v>2026</v>
      </c>
      <c r="N1530" s="180">
        <v>2027</v>
      </c>
    </row>
    <row r="1531" spans="1:17" s="3" customFormat="1" ht="13.2" customHeight="1" x14ac:dyDescent="0.25">
      <c r="A1531" s="18" t="s">
        <v>502</v>
      </c>
      <c r="B1531" s="447"/>
      <c r="C1531" s="447"/>
      <c r="D1531" s="447"/>
      <c r="E1531" s="447"/>
      <c r="F1531" s="447"/>
      <c r="G1531" s="447"/>
      <c r="H1531" s="447"/>
      <c r="I1531" s="447"/>
      <c r="J1531" s="447"/>
      <c r="K1531" s="447"/>
      <c r="L1531" s="447"/>
      <c r="M1531" s="447"/>
      <c r="N1531" s="63"/>
    </row>
    <row r="1532" spans="1:17" s="3" customFormat="1" x14ac:dyDescent="0.25">
      <c r="A1532" s="41" t="s">
        <v>503</v>
      </c>
      <c r="B1532" s="342"/>
      <c r="C1532" s="342"/>
      <c r="D1532" s="342"/>
      <c r="E1532" s="342"/>
      <c r="F1532" s="342"/>
      <c r="G1532" s="342"/>
      <c r="H1532" s="342"/>
      <c r="I1532" s="342"/>
      <c r="J1532" s="342"/>
      <c r="K1532" s="342"/>
      <c r="L1532" s="342"/>
      <c r="M1532" s="342"/>
      <c r="N1532" s="48"/>
    </row>
    <row r="1533" spans="1:17" s="3" customFormat="1" x14ac:dyDescent="0.25"/>
    <row r="1534" spans="1:17" s="3" customFormat="1" ht="13.8" x14ac:dyDescent="0.25">
      <c r="A1534" s="6" t="s">
        <v>14</v>
      </c>
      <c r="B1534" s="7" t="s">
        <v>645</v>
      </c>
      <c r="C1534" s="7" t="s">
        <v>26</v>
      </c>
      <c r="O1534" s="484"/>
    </row>
    <row r="1535" spans="1:17" s="3" customFormat="1" x14ac:dyDescent="0.25">
      <c r="A1535" s="41" t="s">
        <v>27</v>
      </c>
      <c r="B1535" s="276">
        <v>2010</v>
      </c>
      <c r="C1535" s="154">
        <v>2011</v>
      </c>
      <c r="D1535" s="154">
        <v>2012</v>
      </c>
      <c r="E1535" s="154">
        <v>2013</v>
      </c>
      <c r="F1535" s="154">
        <v>2014</v>
      </c>
      <c r="G1535" s="154">
        <v>2015</v>
      </c>
      <c r="H1535" s="154">
        <v>2016</v>
      </c>
      <c r="I1535" s="482">
        <v>2017</v>
      </c>
      <c r="J1535" s="154">
        <v>2018</v>
      </c>
      <c r="K1535" s="154">
        <v>2019</v>
      </c>
      <c r="L1535" s="154">
        <v>2020</v>
      </c>
      <c r="M1535" s="154">
        <v>2021</v>
      </c>
      <c r="N1535" s="154">
        <v>2022</v>
      </c>
      <c r="O1535" s="154">
        <v>2023</v>
      </c>
      <c r="P1535" s="154">
        <v>2024</v>
      </c>
      <c r="Q1535" s="154">
        <v>2025</v>
      </c>
    </row>
    <row r="1536" spans="1:17" s="3" customFormat="1" x14ac:dyDescent="0.25">
      <c r="A1536" s="10" t="s">
        <v>28</v>
      </c>
      <c r="B1536" s="12">
        <v>95</v>
      </c>
      <c r="C1536" s="12">
        <v>95</v>
      </c>
      <c r="D1536" s="12">
        <v>95</v>
      </c>
      <c r="E1536" s="12">
        <v>95</v>
      </c>
      <c r="F1536" s="156">
        <v>95</v>
      </c>
      <c r="G1536" s="155">
        <v>108.98</v>
      </c>
      <c r="H1536" s="155">
        <v>108.98</v>
      </c>
      <c r="I1536" s="485">
        <v>108.98</v>
      </c>
      <c r="J1536" s="155">
        <v>128.44</v>
      </c>
      <c r="K1536" s="155">
        <v>128.44</v>
      </c>
      <c r="L1536" s="155">
        <v>128.44</v>
      </c>
      <c r="M1536" s="155">
        <v>128.44</v>
      </c>
      <c r="N1536" s="155">
        <v>149.34</v>
      </c>
      <c r="O1536" s="155">
        <v>149.34</v>
      </c>
      <c r="P1536" s="155">
        <v>149.34</v>
      </c>
      <c r="Q1536" s="155">
        <v>149.34</v>
      </c>
    </row>
    <row r="1537" spans="1:17" s="3" customFormat="1" x14ac:dyDescent="0.25">
      <c r="A1537" s="10" t="s">
        <v>29</v>
      </c>
      <c r="B1537" s="156">
        <f>(B1538)</f>
        <v>56</v>
      </c>
      <c r="C1537" s="156">
        <f t="shared" ref="C1537:J1537" si="63">(C1538)</f>
        <v>137</v>
      </c>
      <c r="D1537" s="156">
        <f t="shared" si="63"/>
        <v>103.5</v>
      </c>
      <c r="E1537" s="156">
        <f t="shared" si="63"/>
        <v>147.9</v>
      </c>
      <c r="F1537" s="156">
        <f t="shared" si="63"/>
        <v>103.5</v>
      </c>
      <c r="G1537" s="155">
        <f t="shared" si="63"/>
        <v>74.980000000000018</v>
      </c>
      <c r="H1537" s="155">
        <f t="shared" si="63"/>
        <v>78.980000000000047</v>
      </c>
      <c r="I1537" s="485">
        <f t="shared" si="63"/>
        <v>76.980000000000047</v>
      </c>
      <c r="J1537" s="155">
        <f t="shared" si="63"/>
        <v>97.44000000000004</v>
      </c>
      <c r="K1537" s="155">
        <f t="shared" ref="K1537:P1537" si="64">K1538</f>
        <v>85.440000000000055</v>
      </c>
      <c r="L1537" s="12">
        <f t="shared" si="64"/>
        <v>95.440000000000055</v>
      </c>
      <c r="M1537" s="12">
        <f t="shared" si="64"/>
        <v>95.440000000000055</v>
      </c>
      <c r="N1537" s="12">
        <f t="shared" si="64"/>
        <v>122.78000000000006</v>
      </c>
      <c r="O1537" s="12">
        <f t="shared" si="64"/>
        <v>152.12000000000006</v>
      </c>
      <c r="P1537" s="12">
        <f t="shared" si="64"/>
        <v>202.46000000000006</v>
      </c>
      <c r="Q1537" s="155">
        <v>335.8</v>
      </c>
    </row>
    <row r="1538" spans="1:17" s="3" customFormat="1" x14ac:dyDescent="0.25">
      <c r="A1538" s="10" t="s">
        <v>30</v>
      </c>
      <c r="B1538" s="155">
        <f>(B1536+47.5)-86.5</f>
        <v>56</v>
      </c>
      <c r="C1538" s="155">
        <f>(C1536+B1540)</f>
        <v>137</v>
      </c>
      <c r="D1538" s="155">
        <f>D1536+95-86.5</f>
        <v>103.5</v>
      </c>
      <c r="E1538" s="155">
        <f>E1536+D1540</f>
        <v>147.9</v>
      </c>
      <c r="F1538" s="155">
        <f>(F1536+95)-86.5</f>
        <v>103.5</v>
      </c>
      <c r="G1538" s="155">
        <f>(G1536+F1540)-86.5</f>
        <v>74.980000000000018</v>
      </c>
      <c r="H1538" s="155">
        <f>(H1536+G1540)-51.98</f>
        <v>78.980000000000047</v>
      </c>
      <c r="I1538" s="485">
        <f>(I1536+H1540)-55.98</f>
        <v>76.980000000000047</v>
      </c>
      <c r="J1538" s="155">
        <f>(J1536+I1540)-73.98</f>
        <v>97.44000000000004</v>
      </c>
      <c r="K1538" s="155">
        <f>K1536+J1540-60.44</f>
        <v>85.440000000000055</v>
      </c>
      <c r="L1538" s="12">
        <f>L1536+K1540-79.44</f>
        <v>95.440000000000055</v>
      </c>
      <c r="M1538" s="12">
        <f>M1536+L1540-100.44</f>
        <v>95.440000000000055</v>
      </c>
      <c r="N1538" s="12">
        <f>N1536+M1540-60</f>
        <v>122.78000000000006</v>
      </c>
      <c r="O1538" s="12">
        <f>O1536+N1540-60</f>
        <v>152.12000000000006</v>
      </c>
      <c r="P1538" s="12">
        <f>P1536-60+O1540</f>
        <v>202.46000000000006</v>
      </c>
      <c r="Q1538" s="155" t="s">
        <v>1201</v>
      </c>
    </row>
    <row r="1539" spans="1:17" s="3" customFormat="1" x14ac:dyDescent="0.25">
      <c r="A1539" s="10" t="s">
        <v>31</v>
      </c>
      <c r="B1539" s="156">
        <v>14</v>
      </c>
      <c r="C1539" s="156">
        <v>14</v>
      </c>
      <c r="D1539" s="156">
        <v>50.6</v>
      </c>
      <c r="E1539" s="156">
        <v>22</v>
      </c>
      <c r="F1539" s="156">
        <v>51</v>
      </c>
      <c r="G1539" s="156">
        <v>53</v>
      </c>
      <c r="H1539" s="156">
        <v>55</v>
      </c>
      <c r="I1539" s="486">
        <v>34</v>
      </c>
      <c r="J1539" s="156">
        <v>80</v>
      </c>
      <c r="K1539" s="156">
        <v>39</v>
      </c>
      <c r="L1539" s="12">
        <v>28</v>
      </c>
      <c r="M1539" s="12">
        <v>62</v>
      </c>
      <c r="N1539" s="12">
        <v>60</v>
      </c>
      <c r="O1539" s="12">
        <v>39</v>
      </c>
      <c r="P1539" s="12">
        <v>16</v>
      </c>
      <c r="Q1539" s="155"/>
    </row>
    <row r="1540" spans="1:17" s="3" customFormat="1" x14ac:dyDescent="0.25">
      <c r="A1540" s="10" t="s">
        <v>32</v>
      </c>
      <c r="B1540" s="156">
        <f>(B1537-B1539)</f>
        <v>42</v>
      </c>
      <c r="C1540" s="156">
        <f t="shared" ref="C1540:J1540" si="65">(C1537-C1539)</f>
        <v>123</v>
      </c>
      <c r="D1540" s="156">
        <f t="shared" si="65"/>
        <v>52.9</v>
      </c>
      <c r="E1540" s="156">
        <f t="shared" si="65"/>
        <v>125.9</v>
      </c>
      <c r="F1540" s="156">
        <f t="shared" si="65"/>
        <v>52.5</v>
      </c>
      <c r="G1540" s="156">
        <f t="shared" si="65"/>
        <v>21.980000000000018</v>
      </c>
      <c r="H1540" s="156">
        <f t="shared" si="65"/>
        <v>23.980000000000047</v>
      </c>
      <c r="I1540" s="486">
        <f t="shared" si="65"/>
        <v>42.980000000000047</v>
      </c>
      <c r="J1540" s="156">
        <f t="shared" si="65"/>
        <v>17.44000000000004</v>
      </c>
      <c r="K1540" s="156">
        <f t="shared" ref="K1540:P1540" si="66">K1537-K1539</f>
        <v>46.440000000000055</v>
      </c>
      <c r="L1540" s="12">
        <f t="shared" si="66"/>
        <v>67.440000000000055</v>
      </c>
      <c r="M1540" s="12">
        <f t="shared" si="66"/>
        <v>33.440000000000055</v>
      </c>
      <c r="N1540" s="12">
        <f t="shared" si="66"/>
        <v>62.780000000000058</v>
      </c>
      <c r="O1540" s="12">
        <f t="shared" si="66"/>
        <v>113.12000000000006</v>
      </c>
      <c r="P1540" s="12">
        <f t="shared" si="66"/>
        <v>186.46000000000006</v>
      </c>
      <c r="Q1540" s="155"/>
    </row>
    <row r="1541" spans="1:17" s="3" customFormat="1" x14ac:dyDescent="0.25">
      <c r="A1541" s="16" t="s">
        <v>33</v>
      </c>
      <c r="B1541" s="159">
        <v>2011</v>
      </c>
      <c r="C1541" s="159">
        <v>2012</v>
      </c>
      <c r="D1541" s="159">
        <v>2013</v>
      </c>
      <c r="E1541" s="159">
        <v>2014</v>
      </c>
      <c r="F1541" s="159">
        <v>2015</v>
      </c>
      <c r="G1541" s="159">
        <v>2016</v>
      </c>
      <c r="H1541" s="159">
        <v>2017</v>
      </c>
      <c r="I1541" s="483">
        <v>2018</v>
      </c>
      <c r="J1541" s="159">
        <v>2019</v>
      </c>
      <c r="K1541" s="159">
        <v>2020</v>
      </c>
      <c r="L1541" s="159">
        <v>2021</v>
      </c>
      <c r="M1541" s="159">
        <v>2022</v>
      </c>
      <c r="N1541" s="159">
        <v>2023</v>
      </c>
      <c r="O1541" s="159">
        <v>2024</v>
      </c>
      <c r="P1541" s="159">
        <v>2025</v>
      </c>
      <c r="Q1541" s="180">
        <v>2026</v>
      </c>
    </row>
    <row r="1542" spans="1:17" s="3" customFormat="1" x14ac:dyDescent="0.25">
      <c r="A1542" s="29" t="s">
        <v>34</v>
      </c>
      <c r="B1542" s="30"/>
      <c r="C1542" s="30"/>
      <c r="D1542" s="30"/>
      <c r="E1542" s="30"/>
      <c r="F1542" s="30"/>
      <c r="G1542" s="30"/>
      <c r="H1542" s="30"/>
      <c r="I1542" s="30"/>
      <c r="J1542" s="30"/>
      <c r="K1542" s="30"/>
      <c r="L1542" s="30"/>
      <c r="M1542" s="30"/>
      <c r="N1542" s="30"/>
      <c r="O1542" s="30"/>
      <c r="P1542" s="30"/>
      <c r="Q1542" s="88"/>
    </row>
    <row r="1543" spans="1:17" s="3" customFormat="1" x14ac:dyDescent="0.25">
      <c r="A1543" s="480" t="s">
        <v>35</v>
      </c>
      <c r="B1543" s="19"/>
      <c r="C1543" s="19"/>
      <c r="D1543" s="19"/>
      <c r="E1543" s="19"/>
      <c r="F1543" s="19"/>
      <c r="G1543" s="19"/>
      <c r="H1543" s="19"/>
      <c r="I1543" s="19"/>
      <c r="J1543" s="19"/>
      <c r="K1543" s="19"/>
      <c r="L1543" s="19"/>
      <c r="M1543" s="19"/>
      <c r="N1543" s="19"/>
      <c r="O1543" s="19"/>
      <c r="P1543" s="19"/>
      <c r="Q1543" s="63"/>
    </row>
    <row r="1544" spans="1:17" s="3" customFormat="1" x14ac:dyDescent="0.25">
      <c r="A1544" s="56" t="s">
        <v>718</v>
      </c>
      <c r="Q1544" s="64"/>
    </row>
    <row r="1545" spans="1:17" s="3" customFormat="1" x14ac:dyDescent="0.25">
      <c r="A1545" s="56" t="s">
        <v>719</v>
      </c>
      <c r="Q1545" s="64"/>
    </row>
    <row r="1546" spans="1:17" s="3" customFormat="1" x14ac:dyDescent="0.25">
      <c r="A1546" s="56" t="s">
        <v>720</v>
      </c>
      <c r="Q1546" s="64"/>
    </row>
    <row r="1547" spans="1:17" s="3" customFormat="1" x14ac:dyDescent="0.25">
      <c r="A1547" s="56" t="s">
        <v>721</v>
      </c>
      <c r="Q1547" s="64"/>
    </row>
    <row r="1548" spans="1:17" s="3" customFormat="1" x14ac:dyDescent="0.25">
      <c r="A1548" s="39" t="s">
        <v>722</v>
      </c>
      <c r="Q1548" s="64"/>
    </row>
    <row r="1549" spans="1:17" s="3" customFormat="1" x14ac:dyDescent="0.25">
      <c r="A1549" s="39" t="s">
        <v>723</v>
      </c>
      <c r="Q1549" s="64"/>
    </row>
    <row r="1550" spans="1:17" s="3" customFormat="1" x14ac:dyDescent="0.25">
      <c r="A1550" s="39" t="s">
        <v>724</v>
      </c>
      <c r="Q1550" s="64"/>
    </row>
    <row r="1551" spans="1:17" s="3" customFormat="1" x14ac:dyDescent="0.25">
      <c r="A1551" s="39" t="s">
        <v>725</v>
      </c>
      <c r="Q1551" s="64"/>
    </row>
    <row r="1552" spans="1:17" s="3" customFormat="1" x14ac:dyDescent="0.25">
      <c r="A1552" s="39" t="s">
        <v>726</v>
      </c>
      <c r="Q1552" s="64"/>
    </row>
    <row r="1553" spans="1:17" s="3" customFormat="1" x14ac:dyDescent="0.25">
      <c r="A1553" s="39" t="s">
        <v>727</v>
      </c>
      <c r="Q1553" s="64"/>
    </row>
    <row r="1554" spans="1:17" s="3" customFormat="1" x14ac:dyDescent="0.25">
      <c r="A1554" s="39" t="s">
        <v>728</v>
      </c>
      <c r="Q1554" s="64"/>
    </row>
    <row r="1555" spans="1:17" s="3" customFormat="1" x14ac:dyDescent="0.25">
      <c r="A1555" s="39" t="s">
        <v>805</v>
      </c>
      <c r="Q1555" s="64"/>
    </row>
    <row r="1556" spans="1:17" s="3" customFormat="1" x14ac:dyDescent="0.25">
      <c r="A1556" s="39" t="s">
        <v>888</v>
      </c>
      <c r="Q1556" s="64"/>
    </row>
    <row r="1557" spans="1:17" s="3" customFormat="1" x14ac:dyDescent="0.25">
      <c r="A1557" s="39" t="s">
        <v>1053</v>
      </c>
      <c r="Q1557" s="64"/>
    </row>
    <row r="1558" spans="1:17" s="3" customFormat="1" x14ac:dyDescent="0.25">
      <c r="A1558" s="42" t="s">
        <v>1202</v>
      </c>
      <c r="B1558" s="34"/>
      <c r="C1558" s="34"/>
      <c r="D1558" s="34"/>
      <c r="E1558" s="34"/>
      <c r="F1558" s="34"/>
      <c r="G1558" s="34"/>
      <c r="H1558" s="34"/>
      <c r="I1558" s="34"/>
      <c r="J1558" s="34"/>
      <c r="K1558" s="34"/>
      <c r="L1558" s="34"/>
      <c r="M1558" s="34"/>
      <c r="N1558" s="34"/>
      <c r="O1558" s="34"/>
      <c r="P1558" s="34"/>
      <c r="Q1558" s="48"/>
    </row>
    <row r="1559" spans="1:17" s="3" customFormat="1" x14ac:dyDescent="0.25"/>
    <row r="1560" spans="1:17" s="3" customFormat="1" x14ac:dyDescent="0.25">
      <c r="A1560" s="6" t="s">
        <v>14</v>
      </c>
      <c r="B1560" s="7" t="s">
        <v>74</v>
      </c>
      <c r="C1560" s="7" t="s">
        <v>26</v>
      </c>
    </row>
    <row r="1561" spans="1:17" s="3" customFormat="1" x14ac:dyDescent="0.25">
      <c r="A1561" s="41" t="s">
        <v>27</v>
      </c>
      <c r="B1561" s="276">
        <v>2013</v>
      </c>
      <c r="C1561" s="154">
        <v>2014</v>
      </c>
      <c r="D1561" s="154">
        <v>2015</v>
      </c>
      <c r="E1561" s="482">
        <v>2016</v>
      </c>
      <c r="F1561" s="154">
        <v>2017</v>
      </c>
      <c r="G1561" s="482">
        <v>2018</v>
      </c>
      <c r="H1561" s="154">
        <v>2019</v>
      </c>
      <c r="I1561" s="154">
        <v>2020</v>
      </c>
      <c r="J1561" s="154">
        <v>2021</v>
      </c>
      <c r="K1561" s="154">
        <v>2022</v>
      </c>
      <c r="L1561" s="154">
        <v>2023</v>
      </c>
      <c r="M1561" s="154">
        <v>2024</v>
      </c>
      <c r="N1561" s="154">
        <v>2025</v>
      </c>
    </row>
    <row r="1562" spans="1:17" s="3" customFormat="1" x14ac:dyDescent="0.25">
      <c r="A1562" s="10" t="s">
        <v>28</v>
      </c>
      <c r="B1562" s="12">
        <v>70</v>
      </c>
      <c r="C1562" s="12">
        <v>70</v>
      </c>
      <c r="D1562" s="12">
        <v>70</v>
      </c>
      <c r="E1562" s="12">
        <v>70</v>
      </c>
      <c r="F1562" s="156">
        <v>70</v>
      </c>
      <c r="G1562" s="156">
        <v>70</v>
      </c>
      <c r="H1562" s="156">
        <v>70</v>
      </c>
      <c r="I1562" s="12">
        <v>58.9</v>
      </c>
      <c r="J1562" s="12">
        <v>58.9</v>
      </c>
      <c r="K1562" s="12">
        <v>58.9</v>
      </c>
      <c r="L1562" s="12">
        <v>58.9</v>
      </c>
      <c r="M1562" s="12">
        <v>58.9</v>
      </c>
      <c r="N1562" s="12">
        <v>58.9</v>
      </c>
    </row>
    <row r="1563" spans="1:17" s="3" customFormat="1" x14ac:dyDescent="0.25">
      <c r="A1563" s="10" t="s">
        <v>29</v>
      </c>
      <c r="B1563" s="12">
        <f>(B1564)</f>
        <v>-15</v>
      </c>
      <c r="C1563" s="12">
        <f t="shared" ref="C1563:H1563" si="67">(C1564)</f>
        <v>3</v>
      </c>
      <c r="D1563" s="12">
        <v>55</v>
      </c>
      <c r="E1563" s="12">
        <f t="shared" si="67"/>
        <v>56</v>
      </c>
      <c r="F1563" s="12">
        <f t="shared" si="67"/>
        <v>61</v>
      </c>
      <c r="G1563" s="156">
        <f t="shared" si="67"/>
        <v>71</v>
      </c>
      <c r="H1563" s="156">
        <f t="shared" si="67"/>
        <v>73</v>
      </c>
      <c r="I1563" s="12">
        <v>65.900000000000006</v>
      </c>
      <c r="J1563" s="12"/>
      <c r="K1563" s="12"/>
      <c r="L1563" s="12"/>
      <c r="M1563" s="12"/>
      <c r="N1563" s="12"/>
    </row>
    <row r="1564" spans="1:17" s="3" customFormat="1" x14ac:dyDescent="0.25">
      <c r="A1564" s="10" t="s">
        <v>30</v>
      </c>
      <c r="B1564" s="156">
        <f>(B1562-B1565)</f>
        <v>-15</v>
      </c>
      <c r="C1564" s="156">
        <f>(C1562-C1565)</f>
        <v>3</v>
      </c>
      <c r="D1564" s="156">
        <f>D1562+B1566</f>
        <v>55</v>
      </c>
      <c r="E1564" s="156">
        <f>E1562+D1566+C1566</f>
        <v>56</v>
      </c>
      <c r="F1564" s="156">
        <f>F1562+E1566</f>
        <v>61</v>
      </c>
      <c r="G1564" s="156">
        <f>G1562+F1566</f>
        <v>71</v>
      </c>
      <c r="H1564" s="156">
        <f>H1562+G1566</f>
        <v>73</v>
      </c>
      <c r="I1564" s="12">
        <f>I1562+0.1*H1562</f>
        <v>65.900000000000006</v>
      </c>
      <c r="J1564" s="12"/>
      <c r="K1564" s="12"/>
      <c r="L1564" s="12"/>
      <c r="M1564" s="12"/>
      <c r="N1564" s="12"/>
    </row>
    <row r="1565" spans="1:17" s="3" customFormat="1" x14ac:dyDescent="0.25">
      <c r="A1565" s="10" t="s">
        <v>36</v>
      </c>
      <c r="B1565" s="156">
        <v>85</v>
      </c>
      <c r="C1565" s="156">
        <v>67</v>
      </c>
      <c r="D1565" s="156">
        <v>72</v>
      </c>
      <c r="E1565" s="156">
        <v>65</v>
      </c>
      <c r="F1565" s="156">
        <v>60</v>
      </c>
      <c r="G1565" s="156">
        <v>68</v>
      </c>
      <c r="H1565" s="156">
        <v>51</v>
      </c>
      <c r="I1565" s="12">
        <v>39</v>
      </c>
      <c r="J1565" s="12">
        <v>43</v>
      </c>
      <c r="K1565" s="12">
        <v>29</v>
      </c>
      <c r="L1565" s="12">
        <v>43</v>
      </c>
      <c r="M1565" s="12">
        <v>35</v>
      </c>
      <c r="N1565" s="12"/>
    </row>
    <row r="1566" spans="1:17" s="3" customFormat="1" x14ac:dyDescent="0.25">
      <c r="A1566" s="10" t="s">
        <v>37</v>
      </c>
      <c r="B1566" s="12">
        <f>(B1564)</f>
        <v>-15</v>
      </c>
      <c r="C1566" s="12">
        <f>(C1564)</f>
        <v>3</v>
      </c>
      <c r="D1566" s="12">
        <f t="shared" ref="D1566:I1566" si="68">D1563-D1565</f>
        <v>-17</v>
      </c>
      <c r="E1566" s="12">
        <f t="shared" si="68"/>
        <v>-9</v>
      </c>
      <c r="F1566" s="12">
        <f t="shared" si="68"/>
        <v>1</v>
      </c>
      <c r="G1566" s="156">
        <f t="shared" si="68"/>
        <v>3</v>
      </c>
      <c r="H1566" s="156">
        <f t="shared" si="68"/>
        <v>22</v>
      </c>
      <c r="I1566" s="12">
        <f t="shared" si="68"/>
        <v>26.900000000000006</v>
      </c>
      <c r="J1566" s="12">
        <f>J1562-J1565</f>
        <v>15.899999999999999</v>
      </c>
      <c r="K1566" s="12">
        <f>K1562-K1565</f>
        <v>29.9</v>
      </c>
      <c r="L1566" s="12">
        <f>L1562-L1565</f>
        <v>15.899999999999999</v>
      </c>
      <c r="M1566" s="12">
        <f>M1562-M1565</f>
        <v>23.9</v>
      </c>
      <c r="N1566" s="12"/>
    </row>
    <row r="1567" spans="1:17" s="3" customFormat="1" x14ac:dyDescent="0.25">
      <c r="A1567" s="16" t="s">
        <v>33</v>
      </c>
      <c r="B1567" s="464">
        <v>2015</v>
      </c>
      <c r="C1567" s="464">
        <v>2016</v>
      </c>
      <c r="D1567" s="464">
        <v>2016</v>
      </c>
      <c r="E1567" s="464">
        <v>2017</v>
      </c>
      <c r="F1567" s="464">
        <v>2018</v>
      </c>
      <c r="G1567" s="464">
        <v>2019</v>
      </c>
      <c r="H1567" s="464">
        <v>2020</v>
      </c>
      <c r="I1567" s="159"/>
      <c r="J1567" s="159"/>
      <c r="K1567" s="159"/>
      <c r="L1567" s="159">
        <v>2024</v>
      </c>
      <c r="M1567" s="487">
        <v>2025</v>
      </c>
      <c r="N1567" s="487">
        <v>2026</v>
      </c>
    </row>
    <row r="1568" spans="1:17" s="3" customFormat="1" x14ac:dyDescent="0.25">
      <c r="A1568" s="29" t="s">
        <v>34</v>
      </c>
      <c r="B1568" s="30"/>
      <c r="C1568" s="30"/>
      <c r="D1568" s="30"/>
      <c r="E1568" s="30"/>
      <c r="F1568" s="30"/>
      <c r="G1568" s="30"/>
      <c r="H1568" s="30"/>
      <c r="I1568" s="30"/>
      <c r="J1568" s="30"/>
      <c r="K1568" s="30"/>
      <c r="L1568" s="30"/>
      <c r="M1568" s="30"/>
      <c r="N1568" s="88"/>
    </row>
    <row r="1569" spans="1:14" s="3" customFormat="1" x14ac:dyDescent="0.25">
      <c r="A1569" s="480" t="s">
        <v>311</v>
      </c>
      <c r="B1569" s="19"/>
      <c r="C1569" s="19"/>
      <c r="D1569" s="19"/>
      <c r="E1569" s="19"/>
      <c r="F1569" s="19"/>
      <c r="G1569" s="19"/>
      <c r="H1569" s="19"/>
      <c r="I1569" s="19"/>
      <c r="J1569" s="19"/>
      <c r="K1569" s="19"/>
      <c r="L1569" s="19"/>
      <c r="M1569" s="19"/>
      <c r="N1569" s="63"/>
    </row>
    <row r="1570" spans="1:14" s="3" customFormat="1" x14ac:dyDescent="0.25">
      <c r="A1570" s="39" t="s">
        <v>312</v>
      </c>
      <c r="N1570" s="64"/>
    </row>
    <row r="1571" spans="1:14" s="3" customFormat="1" x14ac:dyDescent="0.25">
      <c r="A1571" s="56" t="s">
        <v>313</v>
      </c>
      <c r="N1571" s="64"/>
    </row>
    <row r="1572" spans="1:14" s="3" customFormat="1" x14ac:dyDescent="0.25">
      <c r="A1572" s="56" t="s">
        <v>314</v>
      </c>
      <c r="N1572" s="64"/>
    </row>
    <row r="1573" spans="1:14" s="3" customFormat="1" x14ac:dyDescent="0.25">
      <c r="A1573" s="39" t="s">
        <v>305</v>
      </c>
      <c r="N1573" s="64"/>
    </row>
    <row r="1574" spans="1:14" s="3" customFormat="1" x14ac:dyDescent="0.25">
      <c r="A1574" s="39" t="s">
        <v>407</v>
      </c>
      <c r="N1574" s="64"/>
    </row>
    <row r="1575" spans="1:14" s="3" customFormat="1" x14ac:dyDescent="0.25">
      <c r="A1575" s="150" t="s">
        <v>1203</v>
      </c>
      <c r="N1575" s="64"/>
    </row>
    <row r="1576" spans="1:14" s="3" customFormat="1" x14ac:dyDescent="0.25">
      <c r="A1576" s="150" t="s">
        <v>1204</v>
      </c>
      <c r="N1576" s="64"/>
    </row>
    <row r="1577" spans="1:14" s="3" customFormat="1" x14ac:dyDescent="0.25">
      <c r="A1577" s="150" t="s">
        <v>1205</v>
      </c>
      <c r="N1577" s="64"/>
    </row>
    <row r="1578" spans="1:14" s="3" customFormat="1" x14ac:dyDescent="0.25">
      <c r="A1578" s="42" t="s">
        <v>1206</v>
      </c>
      <c r="B1578" s="34"/>
      <c r="C1578" s="34"/>
      <c r="D1578" s="34"/>
      <c r="E1578" s="34"/>
      <c r="F1578" s="34"/>
      <c r="G1578" s="34"/>
      <c r="H1578" s="34"/>
      <c r="I1578" s="34"/>
      <c r="J1578" s="34"/>
      <c r="K1578" s="34"/>
      <c r="L1578" s="34"/>
      <c r="M1578" s="34"/>
      <c r="N1578" s="48"/>
    </row>
    <row r="1579" spans="1:14" s="3" customFormat="1" x14ac:dyDescent="0.25"/>
    <row r="1580" spans="1:14" s="3" customFormat="1" x14ac:dyDescent="0.25">
      <c r="A1580" s="6" t="s">
        <v>14</v>
      </c>
      <c r="B1580" s="7" t="s">
        <v>79</v>
      </c>
      <c r="C1580" s="7" t="s">
        <v>26</v>
      </c>
    </row>
    <row r="1581" spans="1:14" s="3" customFormat="1" x14ac:dyDescent="0.25">
      <c r="A1581" s="170" t="s">
        <v>27</v>
      </c>
      <c r="B1581" s="276">
        <v>2013</v>
      </c>
      <c r="C1581" s="154">
        <v>2014</v>
      </c>
      <c r="D1581" s="154">
        <v>2015</v>
      </c>
      <c r="E1581" s="154">
        <v>2016</v>
      </c>
      <c r="F1581" s="154">
        <v>2017</v>
      </c>
      <c r="G1581" s="482">
        <v>2018</v>
      </c>
      <c r="H1581" s="482">
        <v>2019</v>
      </c>
      <c r="I1581" s="154">
        <v>2020</v>
      </c>
      <c r="J1581" s="154">
        <v>2021</v>
      </c>
      <c r="K1581" s="154">
        <v>2022</v>
      </c>
      <c r="L1581" s="154">
        <v>2023</v>
      </c>
      <c r="M1581" s="154">
        <v>2024</v>
      </c>
      <c r="N1581" s="154">
        <v>2025</v>
      </c>
    </row>
    <row r="1582" spans="1:14" s="3" customFormat="1" x14ac:dyDescent="0.25">
      <c r="A1582" s="11" t="s">
        <v>28</v>
      </c>
      <c r="B1582" s="12">
        <v>25</v>
      </c>
      <c r="C1582" s="12">
        <v>25</v>
      </c>
      <c r="D1582" s="12">
        <v>25</v>
      </c>
      <c r="E1582" s="12">
        <v>25</v>
      </c>
      <c r="F1582" s="156">
        <v>25</v>
      </c>
      <c r="G1582" s="485">
        <v>25</v>
      </c>
      <c r="H1582" s="485">
        <v>25</v>
      </c>
      <c r="I1582" s="12">
        <v>25</v>
      </c>
      <c r="J1582" s="12">
        <v>25</v>
      </c>
      <c r="K1582" s="12">
        <v>25</v>
      </c>
      <c r="L1582" s="12">
        <v>25</v>
      </c>
      <c r="M1582" s="12">
        <v>25</v>
      </c>
      <c r="N1582" s="12">
        <v>25</v>
      </c>
    </row>
    <row r="1583" spans="1:14" s="3" customFormat="1" x14ac:dyDescent="0.25">
      <c r="A1583" s="11" t="s">
        <v>29</v>
      </c>
      <c r="B1583" s="12">
        <f>(B1584)</f>
        <v>-5</v>
      </c>
      <c r="C1583" s="12">
        <v>25</v>
      </c>
      <c r="D1583" s="12">
        <f>(D1584)</f>
        <v>25</v>
      </c>
      <c r="E1583" s="12">
        <f>(E1584)</f>
        <v>24</v>
      </c>
      <c r="F1583" s="12">
        <f>F1582</f>
        <v>25</v>
      </c>
      <c r="G1583" s="485">
        <v>29</v>
      </c>
      <c r="H1583" s="485">
        <f>H1582+5</f>
        <v>30</v>
      </c>
      <c r="I1583" s="12">
        <f>I1584</f>
        <v>30</v>
      </c>
      <c r="J1583" s="12">
        <f>J1584</f>
        <v>30</v>
      </c>
      <c r="K1583" s="12"/>
      <c r="L1583" s="12"/>
      <c r="M1583" s="90"/>
      <c r="N1583" s="90"/>
    </row>
    <row r="1584" spans="1:14" s="3" customFormat="1" x14ac:dyDescent="0.25">
      <c r="A1584" s="11" t="s">
        <v>30</v>
      </c>
      <c r="B1584" s="156">
        <f>(B1582-B1585)</f>
        <v>-5</v>
      </c>
      <c r="C1584" s="156">
        <v>25</v>
      </c>
      <c r="D1584" s="156">
        <f>D1582+B1586+C1586</f>
        <v>25</v>
      </c>
      <c r="E1584" s="156">
        <f>E1582+D1586</f>
        <v>24</v>
      </c>
      <c r="F1584" s="156">
        <v>25</v>
      </c>
      <c r="G1584" s="485">
        <v>29</v>
      </c>
      <c r="H1584" s="485">
        <f>H1582+5</f>
        <v>30</v>
      </c>
      <c r="I1584" s="12">
        <f>I1582+0.2*G1582</f>
        <v>30</v>
      </c>
      <c r="J1584" s="12">
        <f>J1582+0.2*H1582</f>
        <v>30</v>
      </c>
      <c r="K1584" s="12"/>
      <c r="L1584" s="12"/>
      <c r="M1584" s="90"/>
      <c r="N1584" s="90"/>
    </row>
    <row r="1585" spans="1:14" s="3" customFormat="1" x14ac:dyDescent="0.25">
      <c r="A1585" s="11" t="s">
        <v>36</v>
      </c>
      <c r="B1585" s="156">
        <v>30</v>
      </c>
      <c r="C1585" s="156">
        <v>20</v>
      </c>
      <c r="D1585" s="156">
        <v>26</v>
      </c>
      <c r="E1585" s="156">
        <v>20</v>
      </c>
      <c r="F1585" s="156">
        <v>12</v>
      </c>
      <c r="G1585" s="485">
        <v>15.89</v>
      </c>
      <c r="H1585" s="485">
        <v>9</v>
      </c>
      <c r="I1585" s="12">
        <v>10</v>
      </c>
      <c r="J1585" s="12">
        <v>12</v>
      </c>
      <c r="K1585" s="12">
        <v>8</v>
      </c>
      <c r="L1585" s="12">
        <v>8</v>
      </c>
      <c r="M1585" s="131">
        <v>9</v>
      </c>
      <c r="N1585" s="90"/>
    </row>
    <row r="1586" spans="1:14" s="3" customFormat="1" x14ac:dyDescent="0.25">
      <c r="A1586" s="11" t="s">
        <v>37</v>
      </c>
      <c r="B1586" s="12">
        <v>-5</v>
      </c>
      <c r="C1586" s="12">
        <v>5</v>
      </c>
      <c r="D1586" s="12">
        <f>D1583-D1585</f>
        <v>-1</v>
      </c>
      <c r="E1586" s="288">
        <f>E1583-E1585</f>
        <v>4</v>
      </c>
      <c r="F1586" s="12">
        <f>F1583-F1585</f>
        <v>13</v>
      </c>
      <c r="G1586" s="485">
        <v>13.11</v>
      </c>
      <c r="H1586" s="485">
        <f>H1583-H1585</f>
        <v>21</v>
      </c>
      <c r="I1586" s="485">
        <f>I1583-I1585</f>
        <v>20</v>
      </c>
      <c r="J1586" s="12">
        <f>J1583-J1585</f>
        <v>18</v>
      </c>
      <c r="K1586" s="12">
        <f>K1582-K1585</f>
        <v>17</v>
      </c>
      <c r="L1586" s="12">
        <f>L1582-L1585</f>
        <v>17</v>
      </c>
      <c r="M1586" s="131">
        <f>M1582-M1585</f>
        <v>16</v>
      </c>
      <c r="N1586" s="90"/>
    </row>
    <row r="1587" spans="1:14" s="3" customFormat="1" x14ac:dyDescent="0.25">
      <c r="A1587" s="17" t="s">
        <v>33</v>
      </c>
      <c r="B1587" s="464">
        <v>2015</v>
      </c>
      <c r="C1587" s="464">
        <v>2016</v>
      </c>
      <c r="D1587" s="464">
        <v>2017</v>
      </c>
      <c r="E1587" s="464">
        <v>2018</v>
      </c>
      <c r="F1587" s="159">
        <v>2019</v>
      </c>
      <c r="G1587" s="159">
        <v>2020</v>
      </c>
      <c r="H1587" s="483">
        <v>2021</v>
      </c>
      <c r="I1587" s="90">
        <v>2022</v>
      </c>
      <c r="J1587" s="90">
        <v>2023</v>
      </c>
      <c r="K1587" s="90">
        <v>2024</v>
      </c>
      <c r="L1587" s="90">
        <v>2025</v>
      </c>
      <c r="M1587" s="90">
        <v>2026</v>
      </c>
      <c r="N1587" s="90">
        <v>2027</v>
      </c>
    </row>
    <row r="1588" spans="1:14" s="3" customFormat="1" x14ac:dyDescent="0.25">
      <c r="A1588" s="29" t="s">
        <v>34</v>
      </c>
      <c r="B1588" s="30"/>
      <c r="C1588" s="30"/>
      <c r="D1588" s="30"/>
      <c r="E1588" s="30"/>
      <c r="F1588" s="30"/>
      <c r="G1588" s="30"/>
      <c r="H1588" s="30"/>
      <c r="I1588" s="30"/>
      <c r="J1588" s="30"/>
      <c r="K1588" s="30"/>
      <c r="L1588" s="30"/>
      <c r="M1588" s="30"/>
      <c r="N1588" s="88"/>
    </row>
    <row r="1589" spans="1:14" s="3" customFormat="1" x14ac:dyDescent="0.25">
      <c r="A1589" s="480" t="s">
        <v>306</v>
      </c>
      <c r="B1589" s="19"/>
      <c r="C1589" s="19"/>
      <c r="D1589" s="19"/>
      <c r="E1589" s="19"/>
      <c r="F1589" s="19"/>
      <c r="G1589" s="19"/>
      <c r="H1589" s="19"/>
      <c r="I1589" s="19"/>
      <c r="J1589" s="19"/>
      <c r="K1589" s="19"/>
      <c r="L1589" s="19"/>
      <c r="M1589" s="19"/>
      <c r="N1589" s="63"/>
    </row>
    <row r="1590" spans="1:14" s="3" customFormat="1" x14ac:dyDescent="0.25">
      <c r="A1590" s="39" t="s">
        <v>307</v>
      </c>
      <c r="N1590" s="64"/>
    </row>
    <row r="1591" spans="1:14" s="3" customFormat="1" x14ac:dyDescent="0.25">
      <c r="A1591" s="56" t="s">
        <v>308</v>
      </c>
      <c r="N1591" s="64"/>
    </row>
    <row r="1592" spans="1:14" s="3" customFormat="1" x14ac:dyDescent="0.25">
      <c r="A1592" s="56" t="s">
        <v>309</v>
      </c>
      <c r="N1592" s="64"/>
    </row>
    <row r="1593" spans="1:14" s="3" customFormat="1" x14ac:dyDescent="0.25">
      <c r="A1593" s="39" t="s">
        <v>310</v>
      </c>
      <c r="N1593" s="64"/>
    </row>
    <row r="1594" spans="1:14" s="3" customFormat="1" x14ac:dyDescent="0.25">
      <c r="A1594" s="39" t="s">
        <v>408</v>
      </c>
      <c r="N1594" s="64"/>
    </row>
    <row r="1595" spans="1:14" s="3" customFormat="1" x14ac:dyDescent="0.25">
      <c r="A1595" s="41" t="s">
        <v>409</v>
      </c>
      <c r="B1595" s="34"/>
      <c r="C1595" s="34"/>
      <c r="D1595" s="34"/>
      <c r="E1595" s="34"/>
      <c r="F1595" s="34"/>
      <c r="G1595" s="34"/>
      <c r="H1595" s="34"/>
      <c r="I1595" s="34"/>
      <c r="J1595" s="34"/>
      <c r="K1595" s="34"/>
      <c r="L1595" s="34"/>
      <c r="M1595" s="34"/>
      <c r="N1595" s="48"/>
    </row>
    <row r="1596" spans="1:14" s="3" customFormat="1" x14ac:dyDescent="0.25"/>
    <row r="1597" spans="1:14" s="3" customFormat="1" x14ac:dyDescent="0.25"/>
    <row r="1598" spans="1:14" s="3" customFormat="1" x14ac:dyDescent="0.25">
      <c r="A1598" s="98" t="s">
        <v>12</v>
      </c>
      <c r="B1598" s="66" t="s">
        <v>453</v>
      </c>
      <c r="C1598" s="8"/>
      <c r="D1598" s="8"/>
      <c r="E1598" s="8"/>
      <c r="F1598" s="8"/>
      <c r="G1598" s="8"/>
    </row>
    <row r="1599" spans="1:14" s="3" customFormat="1" x14ac:dyDescent="0.25">
      <c r="A1599" s="98" t="s">
        <v>14</v>
      </c>
      <c r="B1599" s="66" t="s">
        <v>638</v>
      </c>
      <c r="C1599" s="66" t="s">
        <v>15</v>
      </c>
      <c r="D1599" s="8"/>
      <c r="E1599" s="8"/>
      <c r="F1599" s="8"/>
      <c r="G1599" s="8"/>
    </row>
    <row r="1600" spans="1:14" s="3" customFormat="1" x14ac:dyDescent="0.25">
      <c r="A1600" s="95" t="s">
        <v>16</v>
      </c>
      <c r="B1600" s="247"/>
      <c r="C1600" s="264">
        <v>2016</v>
      </c>
      <c r="D1600" s="346">
        <v>2017</v>
      </c>
      <c r="E1600" s="346">
        <v>2018</v>
      </c>
      <c r="F1600" s="346">
        <v>2019</v>
      </c>
      <c r="G1600" s="346">
        <v>2020</v>
      </c>
      <c r="H1600" s="346">
        <v>2021</v>
      </c>
      <c r="I1600" s="346">
        <v>2022</v>
      </c>
      <c r="J1600" s="346" t="s">
        <v>840</v>
      </c>
      <c r="K1600" s="346" t="s">
        <v>841</v>
      </c>
      <c r="L1600" s="346" t="s">
        <v>842</v>
      </c>
      <c r="M1600" s="346" t="s">
        <v>1132</v>
      </c>
    </row>
    <row r="1601" spans="1:13" s="3" customFormat="1" x14ac:dyDescent="0.25">
      <c r="A1601" s="68" t="s">
        <v>17</v>
      </c>
      <c r="B1601" s="69"/>
      <c r="C1601" s="72">
        <v>3600</v>
      </c>
      <c r="D1601" s="97">
        <v>3600</v>
      </c>
      <c r="E1601" s="97">
        <v>3600</v>
      </c>
      <c r="F1601" s="97">
        <v>3600</v>
      </c>
      <c r="G1601" s="97">
        <v>3600</v>
      </c>
      <c r="H1601" s="97">
        <v>3600</v>
      </c>
      <c r="I1601" s="97">
        <v>3600</v>
      </c>
      <c r="J1601" s="97">
        <v>4320</v>
      </c>
      <c r="K1601" s="97">
        <v>4320</v>
      </c>
      <c r="L1601" s="97">
        <v>4320</v>
      </c>
      <c r="M1601" s="97">
        <v>4320</v>
      </c>
    </row>
    <row r="1602" spans="1:13" s="3" customFormat="1" x14ac:dyDescent="0.25">
      <c r="A1602" s="68" t="s">
        <v>18</v>
      </c>
      <c r="B1602" s="69"/>
      <c r="C1602" s="488">
        <f>C1601+0.25*C1601</f>
        <v>4500</v>
      </c>
      <c r="D1602" s="488">
        <v>4477</v>
      </c>
      <c r="E1602" s="488">
        <f>E1601+0.25*E1601</f>
        <v>4500</v>
      </c>
      <c r="F1602" s="488">
        <f>F1601+0.25*F1601</f>
        <v>4500</v>
      </c>
      <c r="G1602" s="488">
        <f>G1601+0.25*G1601</f>
        <v>4500</v>
      </c>
      <c r="H1602" s="488">
        <f>H1601+0.25*H1601</f>
        <v>4500</v>
      </c>
      <c r="I1602" s="488">
        <f>I1601+0.25*I1601</f>
        <v>4500</v>
      </c>
      <c r="J1602" s="488">
        <f>J1601+0.25*H1601</f>
        <v>5220</v>
      </c>
      <c r="K1602" s="488">
        <f>K1601+I1605</f>
        <v>2075</v>
      </c>
      <c r="L1602" s="488">
        <f>L1601</f>
        <v>4320</v>
      </c>
      <c r="M1602" s="488">
        <f>M1601</f>
        <v>4320</v>
      </c>
    </row>
    <row r="1603" spans="1:13" s="3" customFormat="1" ht="39.6" x14ac:dyDescent="0.25">
      <c r="A1603" s="68" t="s">
        <v>19</v>
      </c>
      <c r="B1603" s="442"/>
      <c r="C1603" s="488" t="s">
        <v>838</v>
      </c>
      <c r="D1603" s="488" t="s">
        <v>838</v>
      </c>
      <c r="E1603" s="488" t="s">
        <v>838</v>
      </c>
      <c r="F1603" s="488" t="s">
        <v>838</v>
      </c>
      <c r="G1603" s="488" t="s">
        <v>838</v>
      </c>
      <c r="H1603" s="488" t="s">
        <v>838</v>
      </c>
      <c r="I1603" s="488" t="s">
        <v>838</v>
      </c>
      <c r="J1603" s="488" t="s">
        <v>839</v>
      </c>
      <c r="K1603" s="489" t="s">
        <v>844</v>
      </c>
      <c r="L1603" s="489" t="s">
        <v>845</v>
      </c>
      <c r="M1603" s="489" t="s">
        <v>1133</v>
      </c>
    </row>
    <row r="1604" spans="1:13" s="3" customFormat="1" x14ac:dyDescent="0.25">
      <c r="A1604" s="68" t="s">
        <v>20</v>
      </c>
      <c r="B1604" s="69"/>
      <c r="C1604" s="72">
        <v>994</v>
      </c>
      <c r="D1604" s="97">
        <v>365.62</v>
      </c>
      <c r="E1604" s="97">
        <v>888.8</v>
      </c>
      <c r="F1604" s="97">
        <v>966.50400000000002</v>
      </c>
      <c r="G1604" s="97">
        <v>2165.75</v>
      </c>
      <c r="H1604" s="97">
        <v>3412.63</v>
      </c>
      <c r="I1604" s="97">
        <v>6745</v>
      </c>
      <c r="J1604" s="97">
        <v>4856.4380000000001</v>
      </c>
      <c r="K1604" s="97">
        <v>458.31599999999997</v>
      </c>
      <c r="L1604" s="97"/>
      <c r="M1604" s="97"/>
    </row>
    <row r="1605" spans="1:13" s="3" customFormat="1" x14ac:dyDescent="0.25">
      <c r="A1605" s="68" t="s">
        <v>21</v>
      </c>
      <c r="B1605" s="69"/>
      <c r="C1605" s="72">
        <f>C1602-C1604</f>
        <v>3506</v>
      </c>
      <c r="D1605" s="72">
        <f t="shared" ref="D1605:K1605" si="69">D1602-D1604</f>
        <v>4111.38</v>
      </c>
      <c r="E1605" s="72">
        <f t="shared" si="69"/>
        <v>3611.2</v>
      </c>
      <c r="F1605" s="72">
        <f t="shared" si="69"/>
        <v>3533.4960000000001</v>
      </c>
      <c r="G1605" s="72">
        <f t="shared" si="69"/>
        <v>2334.25</v>
      </c>
      <c r="H1605" s="72">
        <f t="shared" si="69"/>
        <v>1087.3699999999999</v>
      </c>
      <c r="I1605" s="72">
        <f t="shared" si="69"/>
        <v>-2245</v>
      </c>
      <c r="J1605" s="72">
        <f t="shared" si="69"/>
        <v>363.5619999999999</v>
      </c>
      <c r="K1605" s="72">
        <f t="shared" si="69"/>
        <v>1616.684</v>
      </c>
      <c r="L1605" s="72"/>
      <c r="M1605" s="72"/>
    </row>
    <row r="1606" spans="1:13" s="3" customFormat="1" x14ac:dyDescent="0.25">
      <c r="A1606" s="68" t="s">
        <v>22</v>
      </c>
      <c r="B1606" s="69"/>
      <c r="C1606" s="248">
        <v>2018</v>
      </c>
      <c r="D1606" s="248">
        <v>2019</v>
      </c>
      <c r="E1606" s="248">
        <v>2020</v>
      </c>
      <c r="F1606" s="248">
        <v>2021</v>
      </c>
      <c r="G1606" s="248">
        <v>2022</v>
      </c>
      <c r="H1606" s="248">
        <v>2023</v>
      </c>
      <c r="I1606" s="248">
        <v>2024</v>
      </c>
      <c r="J1606" s="248">
        <v>2025</v>
      </c>
      <c r="K1606" s="248">
        <v>2026</v>
      </c>
      <c r="L1606" s="248">
        <v>2027</v>
      </c>
      <c r="M1606" s="248">
        <v>2028</v>
      </c>
    </row>
    <row r="1607" spans="1:13" s="3" customFormat="1" x14ac:dyDescent="0.25">
      <c r="A1607" s="706" t="s">
        <v>23</v>
      </c>
      <c r="B1607" s="707"/>
      <c r="C1607" s="707"/>
      <c r="D1607" s="707"/>
      <c r="E1607" s="707"/>
      <c r="F1607" s="490"/>
      <c r="G1607" s="490"/>
      <c r="H1607" s="490"/>
      <c r="I1607" s="490"/>
      <c r="J1607" s="490"/>
      <c r="K1607" s="490"/>
      <c r="L1607" s="490"/>
      <c r="M1607" s="88"/>
    </row>
    <row r="1608" spans="1:13" s="3" customFormat="1" x14ac:dyDescent="0.25">
      <c r="A1608" s="444" t="s">
        <v>843</v>
      </c>
      <c r="B1608" s="445"/>
      <c r="C1608" s="445"/>
      <c r="D1608" s="445"/>
      <c r="E1608" s="445"/>
      <c r="F1608" s="490"/>
      <c r="G1608" s="490"/>
      <c r="H1608" s="30"/>
      <c r="I1608" s="30"/>
      <c r="J1608" s="30"/>
      <c r="K1608" s="30"/>
      <c r="L1608" s="30"/>
      <c r="M1608" s="88"/>
    </row>
    <row r="1609" spans="1:13" s="3" customFormat="1" x14ac:dyDescent="0.25"/>
    <row r="1610" spans="1:13" s="3" customFormat="1" x14ac:dyDescent="0.25">
      <c r="A1610" s="98" t="s">
        <v>14</v>
      </c>
      <c r="B1610" s="66" t="s">
        <v>641</v>
      </c>
      <c r="C1610" s="66" t="s">
        <v>15</v>
      </c>
      <c r="D1610" s="8"/>
      <c r="E1610" s="8"/>
      <c r="F1610" s="8"/>
      <c r="G1610" s="8"/>
    </row>
    <row r="1611" spans="1:13" s="3" customFormat="1" x14ac:dyDescent="0.25">
      <c r="A1611" s="95" t="s">
        <v>16</v>
      </c>
      <c r="B1611" s="247"/>
      <c r="C1611" s="264">
        <v>2016</v>
      </c>
      <c r="D1611" s="346">
        <v>2017</v>
      </c>
      <c r="E1611" s="346">
        <v>2018</v>
      </c>
      <c r="F1611" s="346">
        <v>2019</v>
      </c>
      <c r="G1611" s="346">
        <v>2020</v>
      </c>
      <c r="H1611" s="346">
        <v>2021</v>
      </c>
      <c r="I1611" s="346">
        <v>2022</v>
      </c>
      <c r="J1611" s="346">
        <v>2023</v>
      </c>
      <c r="K1611" s="346">
        <v>2024</v>
      </c>
    </row>
    <row r="1612" spans="1:13" s="3" customFormat="1" x14ac:dyDescent="0.25">
      <c r="A1612" s="68" t="s">
        <v>17</v>
      </c>
      <c r="B1612" s="69"/>
      <c r="C1612" s="72">
        <v>1168</v>
      </c>
      <c r="D1612" s="97">
        <v>1168</v>
      </c>
      <c r="E1612" s="97">
        <v>1168</v>
      </c>
      <c r="F1612" s="97">
        <v>1168</v>
      </c>
      <c r="G1612" s="97">
        <v>1168</v>
      </c>
      <c r="H1612" s="97">
        <v>1168</v>
      </c>
      <c r="I1612" s="97">
        <v>1168</v>
      </c>
      <c r="J1612" s="97">
        <v>1168</v>
      </c>
      <c r="K1612" s="97">
        <v>1168</v>
      </c>
    </row>
    <row r="1613" spans="1:13" s="3" customFormat="1" x14ac:dyDescent="0.25">
      <c r="A1613" s="68" t="s">
        <v>18</v>
      </c>
      <c r="B1613" s="69"/>
      <c r="C1613" s="488">
        <f>C1612+0.3*C1612+50+50+50</f>
        <v>1668.4</v>
      </c>
      <c r="D1613" s="488">
        <f>D1612+0.3*D1612+50+50+50</f>
        <v>1668.4</v>
      </c>
      <c r="E1613" s="488">
        <f>E1612+0.2*E1612+50+50+50</f>
        <v>1551.6</v>
      </c>
      <c r="F1613" s="488">
        <f>F1612+0.2*F1612+50+50+50</f>
        <v>1551.6</v>
      </c>
      <c r="G1613" s="488">
        <f>G1612+0.2*G1612+50+50+50</f>
        <v>1551.6</v>
      </c>
      <c r="H1613" s="488">
        <f>H1612+0.2*H1612+50+50</f>
        <v>1501.6</v>
      </c>
      <c r="I1613" s="488">
        <f>I1612+0.2*G1612+50</f>
        <v>1451.6</v>
      </c>
      <c r="J1613" s="488">
        <f>J1612+0.1*H1612+50</f>
        <v>1334.8</v>
      </c>
      <c r="K1613" s="488">
        <f>K1612+50+50</f>
        <v>1268</v>
      </c>
    </row>
    <row r="1614" spans="1:13" s="3" customFormat="1" x14ac:dyDescent="0.25">
      <c r="A1614" s="68" t="s">
        <v>19</v>
      </c>
      <c r="B1614" s="442"/>
      <c r="C1614" s="488" t="s">
        <v>456</v>
      </c>
      <c r="D1614" s="488" t="s">
        <v>456</v>
      </c>
      <c r="E1614" s="488" t="s">
        <v>459</v>
      </c>
      <c r="F1614" s="488" t="s">
        <v>459</v>
      </c>
      <c r="G1614" s="488" t="s">
        <v>459</v>
      </c>
      <c r="H1614" s="488" t="s">
        <v>668</v>
      </c>
      <c r="I1614" s="488" t="s">
        <v>835</v>
      </c>
      <c r="J1614" s="488" t="s">
        <v>836</v>
      </c>
      <c r="K1614" s="488" t="s">
        <v>1054</v>
      </c>
    </row>
    <row r="1615" spans="1:13" s="3" customFormat="1" x14ac:dyDescent="0.25">
      <c r="A1615" s="68" t="s">
        <v>20</v>
      </c>
      <c r="B1615" s="69"/>
      <c r="C1615" s="72">
        <v>466</v>
      </c>
      <c r="D1615" s="97">
        <v>717</v>
      </c>
      <c r="E1615" s="97">
        <v>881</v>
      </c>
      <c r="F1615" s="97">
        <v>811.28</v>
      </c>
      <c r="G1615" s="97">
        <v>789.23699999999997</v>
      </c>
      <c r="H1615" s="97">
        <v>252.99</v>
      </c>
      <c r="I1615" s="97">
        <v>1083</v>
      </c>
      <c r="J1615" s="97">
        <v>664.495</v>
      </c>
      <c r="K1615" s="97">
        <v>259.97000000000003</v>
      </c>
    </row>
    <row r="1616" spans="1:13" s="3" customFormat="1" x14ac:dyDescent="0.25">
      <c r="A1616" s="68" t="s">
        <v>21</v>
      </c>
      <c r="B1616" s="69"/>
      <c r="C1616" s="72">
        <f>C1613-C1615</f>
        <v>1202.4000000000001</v>
      </c>
      <c r="D1616" s="72">
        <f t="shared" ref="D1616:K1616" si="70">D1613-D1615</f>
        <v>951.40000000000009</v>
      </c>
      <c r="E1616" s="72">
        <f t="shared" si="70"/>
        <v>670.59999999999991</v>
      </c>
      <c r="F1616" s="72">
        <f t="shared" si="70"/>
        <v>740.31999999999994</v>
      </c>
      <c r="G1616" s="72">
        <f t="shared" si="70"/>
        <v>762.36299999999994</v>
      </c>
      <c r="H1616" s="72">
        <f t="shared" si="70"/>
        <v>1248.6099999999999</v>
      </c>
      <c r="I1616" s="72">
        <f t="shared" si="70"/>
        <v>368.59999999999991</v>
      </c>
      <c r="J1616" s="72">
        <f t="shared" si="70"/>
        <v>670.30499999999995</v>
      </c>
      <c r="K1616" s="72">
        <f t="shared" si="70"/>
        <v>1008.03</v>
      </c>
    </row>
    <row r="1617" spans="1:11" s="3" customFormat="1" x14ac:dyDescent="0.25">
      <c r="A1617" s="68" t="s">
        <v>22</v>
      </c>
      <c r="B1617" s="69"/>
      <c r="C1617" s="248">
        <v>2018</v>
      </c>
      <c r="D1617" s="248">
        <v>2019</v>
      </c>
      <c r="E1617" s="248">
        <v>2020</v>
      </c>
      <c r="F1617" s="248">
        <v>2021</v>
      </c>
      <c r="G1617" s="248">
        <v>2022</v>
      </c>
      <c r="H1617" s="248">
        <v>2023</v>
      </c>
      <c r="I1617" s="248">
        <v>2023</v>
      </c>
      <c r="J1617" s="248">
        <v>2025</v>
      </c>
      <c r="K1617" s="248">
        <v>2026</v>
      </c>
    </row>
    <row r="1618" spans="1:11" s="3" customFormat="1" x14ac:dyDescent="0.25">
      <c r="A1618" s="676" t="s">
        <v>23</v>
      </c>
      <c r="B1618" s="677"/>
      <c r="C1618" s="677"/>
      <c r="D1618" s="677"/>
      <c r="E1618" s="677"/>
      <c r="F1618" s="75"/>
      <c r="G1618" s="117"/>
      <c r="H1618" s="117"/>
      <c r="I1618" s="117"/>
      <c r="J1618" s="117"/>
      <c r="K1618" s="117"/>
    </row>
    <row r="1619" spans="1:11" s="3" customFormat="1" x14ac:dyDescent="0.25">
      <c r="A1619" s="76" t="s">
        <v>455</v>
      </c>
      <c r="B1619" s="77"/>
      <c r="C1619" s="77"/>
      <c r="D1619" s="77"/>
      <c r="E1619" s="77"/>
      <c r="F1619" s="75"/>
      <c r="G1619" s="75"/>
      <c r="H1619" s="46"/>
      <c r="I1619" s="46"/>
      <c r="J1619" s="46"/>
      <c r="K1619" s="47"/>
    </row>
    <row r="1620" spans="1:11" s="3" customFormat="1" x14ac:dyDescent="0.25">
      <c r="A1620" s="39" t="s">
        <v>454</v>
      </c>
      <c r="K1620" s="64"/>
    </row>
    <row r="1621" spans="1:11" s="3" customFormat="1" x14ac:dyDescent="0.25">
      <c r="A1621" s="39" t="s">
        <v>837</v>
      </c>
      <c r="K1621" s="64"/>
    </row>
    <row r="1622" spans="1:11" s="3" customFormat="1" x14ac:dyDescent="0.25">
      <c r="A1622" s="39" t="s">
        <v>834</v>
      </c>
      <c r="K1622" s="64"/>
    </row>
    <row r="1623" spans="1:11" s="3" customFormat="1" x14ac:dyDescent="0.25">
      <c r="A1623" s="39" t="s">
        <v>457</v>
      </c>
      <c r="K1623" s="64"/>
    </row>
    <row r="1624" spans="1:11" s="3" customFormat="1" x14ac:dyDescent="0.25">
      <c r="A1624" s="39" t="s">
        <v>458</v>
      </c>
      <c r="K1624" s="64"/>
    </row>
    <row r="1625" spans="1:11" s="3" customFormat="1" x14ac:dyDescent="0.25">
      <c r="A1625" s="41" t="s">
        <v>1055</v>
      </c>
      <c r="B1625" s="34"/>
      <c r="C1625" s="34"/>
      <c r="D1625" s="34"/>
      <c r="E1625" s="34"/>
      <c r="F1625" s="34"/>
      <c r="G1625" s="34"/>
      <c r="H1625" s="34"/>
      <c r="I1625" s="34"/>
      <c r="J1625" s="34"/>
      <c r="K1625" s="48"/>
    </row>
    <row r="1626" spans="1:11" s="3" customFormat="1" x14ac:dyDescent="0.25"/>
    <row r="1627" spans="1:11" s="3" customFormat="1" x14ac:dyDescent="0.25">
      <c r="A1627" s="6" t="s">
        <v>14</v>
      </c>
      <c r="B1627" s="7" t="s">
        <v>74</v>
      </c>
      <c r="C1627" s="7" t="s">
        <v>152</v>
      </c>
    </row>
    <row r="1628" spans="1:11" s="3" customFormat="1" x14ac:dyDescent="0.25">
      <c r="A1628" s="41" t="s">
        <v>16</v>
      </c>
      <c r="B1628" s="276">
        <v>2016</v>
      </c>
      <c r="C1628" s="154">
        <v>2017</v>
      </c>
      <c r="D1628" s="154">
        <v>2018</v>
      </c>
      <c r="E1628" s="154">
        <v>2019</v>
      </c>
      <c r="F1628" s="154">
        <v>2020</v>
      </c>
      <c r="G1628" s="154">
        <v>2021</v>
      </c>
      <c r="H1628" s="154">
        <v>2022</v>
      </c>
      <c r="I1628" s="154">
        <v>2023</v>
      </c>
      <c r="J1628" s="154">
        <v>2024</v>
      </c>
      <c r="K1628" s="154">
        <v>2025</v>
      </c>
    </row>
    <row r="1629" spans="1:11" s="3" customFormat="1" x14ac:dyDescent="0.25">
      <c r="A1629" s="10" t="s">
        <v>17</v>
      </c>
      <c r="B1629" s="12">
        <v>10</v>
      </c>
      <c r="C1629" s="12">
        <v>10</v>
      </c>
      <c r="D1629" s="12">
        <v>10</v>
      </c>
      <c r="E1629" s="12">
        <v>10</v>
      </c>
      <c r="F1629" s="12">
        <v>10</v>
      </c>
      <c r="G1629" s="12">
        <v>10</v>
      </c>
      <c r="H1629" s="12">
        <v>10</v>
      </c>
      <c r="I1629" s="12">
        <v>10</v>
      </c>
      <c r="J1629" s="12">
        <v>10</v>
      </c>
      <c r="K1629" s="12">
        <v>10</v>
      </c>
    </row>
    <row r="1630" spans="1:11" s="3" customFormat="1" x14ac:dyDescent="0.25">
      <c r="A1630" s="10" t="s">
        <v>18</v>
      </c>
      <c r="B1630" s="12">
        <v>10</v>
      </c>
      <c r="C1630" s="12">
        <f>C1629+B1633</f>
        <v>-12</v>
      </c>
      <c r="D1630" s="12">
        <f>D1629+C1633</f>
        <v>-59</v>
      </c>
      <c r="E1630" s="12">
        <f>E1629+D1633</f>
        <v>-133</v>
      </c>
      <c r="F1630" s="12">
        <f>F1629+E1633</f>
        <v>-175.72</v>
      </c>
      <c r="G1630" s="12">
        <f>F1633+G1629</f>
        <v>-217.13</v>
      </c>
      <c r="H1630" s="12">
        <f xml:space="preserve"> 1.25*G1633+H1629</f>
        <v>-273.72499999999997</v>
      </c>
      <c r="I1630" s="12">
        <f xml:space="preserve"> 1.25*H1633+I1629</f>
        <v>-342.58124999999995</v>
      </c>
      <c r="J1630" s="12">
        <f xml:space="preserve"> 1.25*I1633+J1629</f>
        <v>-430.47656249999994</v>
      </c>
      <c r="K1630" s="12">
        <f xml:space="preserve"> 1.25*J1633+K1629</f>
        <v>-541.38320312499991</v>
      </c>
    </row>
    <row r="1631" spans="1:11" s="3" customFormat="1" x14ac:dyDescent="0.25">
      <c r="A1631" s="10" t="s">
        <v>19</v>
      </c>
      <c r="B1631" s="156"/>
      <c r="C1631" s="156" t="s">
        <v>399</v>
      </c>
      <c r="D1631" s="156" t="s">
        <v>400</v>
      </c>
      <c r="E1631" s="156" t="s">
        <v>401</v>
      </c>
      <c r="F1631" s="156" t="s">
        <v>402</v>
      </c>
      <c r="G1631" s="156" t="s">
        <v>566</v>
      </c>
      <c r="H1631" s="156" t="s">
        <v>604</v>
      </c>
      <c r="I1631" s="156" t="s">
        <v>625</v>
      </c>
      <c r="J1631" s="156" t="s">
        <v>785</v>
      </c>
      <c r="K1631" s="156" t="s">
        <v>1002</v>
      </c>
    </row>
    <row r="1632" spans="1:11" s="3" customFormat="1" x14ac:dyDescent="0.25">
      <c r="A1632" s="10" t="s">
        <v>20</v>
      </c>
      <c r="B1632" s="156">
        <v>32</v>
      </c>
      <c r="C1632" s="156">
        <v>57</v>
      </c>
      <c r="D1632" s="156">
        <v>84</v>
      </c>
      <c r="E1632" s="156">
        <v>52.72</v>
      </c>
      <c r="F1632" s="156">
        <v>51.41</v>
      </c>
      <c r="G1632" s="156">
        <v>9.85</v>
      </c>
      <c r="H1632" s="156">
        <v>8.34</v>
      </c>
      <c r="I1632" s="156">
        <v>9.8000000000000007</v>
      </c>
      <c r="J1632" s="182">
        <v>10.63</v>
      </c>
      <c r="K1632" s="156"/>
    </row>
    <row r="1633" spans="1:11" s="3" customFormat="1" x14ac:dyDescent="0.25">
      <c r="A1633" s="10" t="s">
        <v>21</v>
      </c>
      <c r="B1633" s="12">
        <f t="shared" ref="B1633:J1633" si="71">B1630-B1632</f>
        <v>-22</v>
      </c>
      <c r="C1633" s="12">
        <f t="shared" si="71"/>
        <v>-69</v>
      </c>
      <c r="D1633" s="12">
        <f t="shared" si="71"/>
        <v>-143</v>
      </c>
      <c r="E1633" s="12">
        <f t="shared" si="71"/>
        <v>-185.72</v>
      </c>
      <c r="F1633" s="12">
        <f t="shared" si="71"/>
        <v>-227.13</v>
      </c>
      <c r="G1633" s="12">
        <f t="shared" si="71"/>
        <v>-226.98</v>
      </c>
      <c r="H1633" s="12">
        <f t="shared" si="71"/>
        <v>-282.06499999999994</v>
      </c>
      <c r="I1633" s="12">
        <f t="shared" si="71"/>
        <v>-352.38124999999997</v>
      </c>
      <c r="J1633" s="26">
        <f t="shared" si="71"/>
        <v>-441.10656249999994</v>
      </c>
      <c r="K1633" s="12"/>
    </row>
    <row r="1634" spans="1:11" s="3" customFormat="1" x14ac:dyDescent="0.25">
      <c r="A1634" s="16" t="s">
        <v>22</v>
      </c>
      <c r="B1634" s="464">
        <v>2017</v>
      </c>
      <c r="C1634" s="464">
        <v>2018</v>
      </c>
      <c r="D1634" s="464">
        <v>2019</v>
      </c>
      <c r="E1634" s="464">
        <v>2020</v>
      </c>
      <c r="F1634" s="464">
        <v>2021</v>
      </c>
      <c r="G1634" s="464">
        <v>2022</v>
      </c>
      <c r="H1634" s="464">
        <v>2023</v>
      </c>
      <c r="I1634" s="464">
        <v>2023</v>
      </c>
      <c r="J1634" s="464">
        <v>2025</v>
      </c>
      <c r="K1634" s="464">
        <v>2026</v>
      </c>
    </row>
    <row r="1635" spans="1:11" s="3" customFormat="1" x14ac:dyDescent="0.25">
      <c r="A1635" s="16" t="s">
        <v>179</v>
      </c>
      <c r="B1635" s="46"/>
      <c r="C1635" s="46"/>
      <c r="D1635" s="46"/>
      <c r="E1635" s="46"/>
      <c r="F1635" s="46"/>
      <c r="G1635" s="46"/>
      <c r="H1635" s="46"/>
      <c r="I1635" s="46"/>
      <c r="J1635" s="47"/>
    </row>
    <row r="1636" spans="1:11" s="3" customFormat="1" x14ac:dyDescent="0.25">
      <c r="A1636" s="56" t="s">
        <v>403</v>
      </c>
      <c r="J1636" s="64"/>
    </row>
    <row r="1637" spans="1:11" s="3" customFormat="1" x14ac:dyDescent="0.25">
      <c r="A1637" s="56" t="s">
        <v>404</v>
      </c>
      <c r="J1637" s="64"/>
    </row>
    <row r="1638" spans="1:11" s="3" customFormat="1" x14ac:dyDescent="0.25">
      <c r="A1638" s="56" t="s">
        <v>405</v>
      </c>
      <c r="J1638" s="64"/>
    </row>
    <row r="1639" spans="1:11" s="3" customFormat="1" x14ac:dyDescent="0.25">
      <c r="A1639" s="56" t="s">
        <v>565</v>
      </c>
      <c r="C1639" s="353"/>
      <c r="J1639" s="64"/>
    </row>
    <row r="1640" spans="1:11" s="3" customFormat="1" x14ac:dyDescent="0.25">
      <c r="A1640" s="56" t="s">
        <v>567</v>
      </c>
      <c r="C1640" s="353"/>
      <c r="J1640" s="64"/>
    </row>
    <row r="1641" spans="1:11" s="3" customFormat="1" x14ac:dyDescent="0.25">
      <c r="A1641" s="56" t="s">
        <v>898</v>
      </c>
      <c r="C1641" s="353"/>
      <c r="J1641" s="64"/>
    </row>
    <row r="1642" spans="1:11" s="3" customFormat="1" x14ac:dyDescent="0.25">
      <c r="A1642" s="56" t="s">
        <v>899</v>
      </c>
      <c r="C1642" s="353"/>
      <c r="J1642" s="64"/>
    </row>
    <row r="1643" spans="1:11" s="3" customFormat="1" x14ac:dyDescent="0.25">
      <c r="A1643" s="49" t="s">
        <v>1029</v>
      </c>
      <c r="C1643" s="353"/>
    </row>
    <row r="1644" spans="1:11" s="34" customFormat="1" x14ac:dyDescent="0.25">
      <c r="A1644" s="58" t="s">
        <v>1135</v>
      </c>
      <c r="C1644" s="315"/>
    </row>
    <row r="1645" spans="1:11" s="3" customFormat="1" x14ac:dyDescent="0.25">
      <c r="A1645" s="49"/>
      <c r="C1645" s="353"/>
    </row>
    <row r="1646" spans="1:11" s="3" customFormat="1" x14ac:dyDescent="0.25"/>
    <row r="1647" spans="1:11" s="3" customFormat="1" x14ac:dyDescent="0.25">
      <c r="A1647" s="6" t="s">
        <v>14</v>
      </c>
      <c r="B1647" s="7" t="s">
        <v>1056</v>
      </c>
      <c r="C1647" s="7" t="s">
        <v>152</v>
      </c>
    </row>
    <row r="1648" spans="1:11" s="3" customFormat="1" x14ac:dyDescent="0.25">
      <c r="A1648" s="41" t="s">
        <v>16</v>
      </c>
      <c r="B1648" s="276">
        <v>2023</v>
      </c>
      <c r="C1648" s="154">
        <v>2024</v>
      </c>
    </row>
    <row r="1649" spans="1:10" s="3" customFormat="1" x14ac:dyDescent="0.25">
      <c r="A1649" s="10" t="s">
        <v>1057</v>
      </c>
      <c r="B1649" s="12">
        <v>256</v>
      </c>
      <c r="C1649" s="12">
        <v>256</v>
      </c>
    </row>
    <row r="1650" spans="1:10" s="3" customFormat="1" x14ac:dyDescent="0.25">
      <c r="A1650" s="10" t="s">
        <v>1058</v>
      </c>
      <c r="B1650" s="12"/>
      <c r="C1650" s="12">
        <f>C1649+B1653</f>
        <v>-10</v>
      </c>
    </row>
    <row r="1651" spans="1:10" s="3" customFormat="1" x14ac:dyDescent="0.25">
      <c r="A1651" s="10" t="s">
        <v>19</v>
      </c>
      <c r="B1651" s="156"/>
      <c r="C1651" s="156" t="s">
        <v>399</v>
      </c>
    </row>
    <row r="1652" spans="1:10" s="3" customFormat="1" x14ac:dyDescent="0.25">
      <c r="A1652" s="10" t="s">
        <v>20</v>
      </c>
      <c r="B1652" s="156">
        <v>522</v>
      </c>
      <c r="C1652" s="156">
        <v>250.88</v>
      </c>
    </row>
    <row r="1653" spans="1:10" s="3" customFormat="1" x14ac:dyDescent="0.25">
      <c r="A1653" s="10" t="s">
        <v>21</v>
      </c>
      <c r="B1653" s="12">
        <f>B1649-B1652</f>
        <v>-266</v>
      </c>
      <c r="C1653" s="12">
        <f>C1650-C1652</f>
        <v>-260.88</v>
      </c>
    </row>
    <row r="1654" spans="1:10" s="3" customFormat="1" x14ac:dyDescent="0.25">
      <c r="A1654" s="16" t="s">
        <v>22</v>
      </c>
      <c r="B1654" s="464">
        <v>2024</v>
      </c>
      <c r="C1654" s="464">
        <v>2025</v>
      </c>
    </row>
    <row r="1655" spans="1:10" s="3" customFormat="1" x14ac:dyDescent="0.25">
      <c r="A1655" s="16" t="s">
        <v>1060</v>
      </c>
      <c r="B1655" s="46"/>
      <c r="C1655" s="47"/>
    </row>
    <row r="1656" spans="1:10" s="3" customFormat="1" x14ac:dyDescent="0.25">
      <c r="A1656" s="314" t="s">
        <v>1059</v>
      </c>
      <c r="B1656" s="34"/>
      <c r="C1656" s="48"/>
    </row>
    <row r="1657" spans="1:10" s="3" customFormat="1" x14ac:dyDescent="0.25">
      <c r="A1657" s="49"/>
      <c r="C1657" s="353"/>
    </row>
    <row r="1659" spans="1:10" s="3" customFormat="1" x14ac:dyDescent="0.25">
      <c r="A1659" s="98" t="s">
        <v>12</v>
      </c>
      <c r="B1659" s="66" t="s">
        <v>261</v>
      </c>
      <c r="C1659" s="8"/>
      <c r="D1659" s="8"/>
      <c r="E1659" s="8"/>
      <c r="F1659" s="8"/>
      <c r="G1659" s="8"/>
    </row>
    <row r="1660" spans="1:10" s="3" customFormat="1" x14ac:dyDescent="0.25">
      <c r="A1660" s="103" t="s">
        <v>14</v>
      </c>
      <c r="B1660" s="104" t="s">
        <v>642</v>
      </c>
      <c r="C1660" s="66" t="s">
        <v>15</v>
      </c>
      <c r="D1660" s="8"/>
    </row>
    <row r="1661" spans="1:10" s="3" customFormat="1" ht="14.4" x14ac:dyDescent="0.25">
      <c r="A1661" s="95" t="s">
        <v>16</v>
      </c>
      <c r="B1661" s="247"/>
      <c r="C1661" s="69"/>
      <c r="D1661" s="345">
        <v>2019</v>
      </c>
      <c r="E1661" s="264" t="s">
        <v>1119</v>
      </c>
      <c r="F1661" s="345" t="s">
        <v>1120</v>
      </c>
      <c r="G1661" s="264" t="s">
        <v>1121</v>
      </c>
      <c r="H1661" s="264" t="s">
        <v>1122</v>
      </c>
      <c r="I1661" s="491" t="s">
        <v>1207</v>
      </c>
      <c r="J1661" s="491" t="s">
        <v>1248</v>
      </c>
    </row>
    <row r="1662" spans="1:10" s="3" customFormat="1" x14ac:dyDescent="0.25">
      <c r="A1662" s="68" t="s">
        <v>17</v>
      </c>
      <c r="B1662" s="69"/>
      <c r="C1662" s="69"/>
      <c r="D1662" s="71">
        <v>239</v>
      </c>
      <c r="E1662" s="72">
        <v>300</v>
      </c>
      <c r="F1662" s="71">
        <v>300</v>
      </c>
      <c r="G1662" s="72">
        <v>300</v>
      </c>
      <c r="H1662" s="72">
        <v>368</v>
      </c>
      <c r="I1662" s="492">
        <v>368</v>
      </c>
      <c r="J1662" s="492">
        <v>368</v>
      </c>
    </row>
    <row r="1663" spans="1:10" s="3" customFormat="1" x14ac:dyDescent="0.25">
      <c r="A1663" s="68" t="s">
        <v>18</v>
      </c>
      <c r="B1663" s="69"/>
      <c r="C1663" s="69"/>
      <c r="D1663" s="71">
        <v>239</v>
      </c>
      <c r="E1663" s="72">
        <f>E1662+0.05*D1662</f>
        <v>311.95</v>
      </c>
      <c r="F1663" s="71">
        <f>F1662+0.05*E1662</f>
        <v>315</v>
      </c>
      <c r="G1663" s="72">
        <f>G1662+0.05*F1662</f>
        <v>315</v>
      </c>
      <c r="H1663" s="72">
        <f>H1662+0.05*G1662</f>
        <v>383</v>
      </c>
      <c r="I1663" s="492">
        <v>386.4</v>
      </c>
      <c r="J1663" s="492">
        <v>386.4</v>
      </c>
    </row>
    <row r="1664" spans="1:10" s="3" customFormat="1" x14ac:dyDescent="0.25">
      <c r="A1664" s="68" t="s">
        <v>19</v>
      </c>
      <c r="B1664" s="442"/>
      <c r="C1664" s="253"/>
      <c r="D1664" s="68" t="s">
        <v>262</v>
      </c>
      <c r="E1664" s="69"/>
      <c r="F1664" s="136"/>
      <c r="G1664" s="69"/>
      <c r="H1664" s="69"/>
      <c r="I1664" s="493" t="s">
        <v>262</v>
      </c>
      <c r="J1664" s="493" t="s">
        <v>262</v>
      </c>
    </row>
    <row r="1665" spans="1:10" s="3" customFormat="1" x14ac:dyDescent="0.25">
      <c r="A1665" s="68" t="s">
        <v>20</v>
      </c>
      <c r="B1665" s="69"/>
      <c r="C1665" s="69"/>
      <c r="D1665" s="136">
        <v>49.3</v>
      </c>
      <c r="E1665" s="69">
        <v>194.39</v>
      </c>
      <c r="F1665" s="136">
        <v>157.68</v>
      </c>
      <c r="G1665" s="69">
        <v>123.17</v>
      </c>
      <c r="H1665" s="69">
        <v>117.44</v>
      </c>
      <c r="I1665" s="493">
        <v>152.57</v>
      </c>
      <c r="J1665" s="493"/>
    </row>
    <row r="1666" spans="1:10" s="3" customFormat="1" x14ac:dyDescent="0.25">
      <c r="A1666" s="68" t="s">
        <v>21</v>
      </c>
      <c r="B1666" s="69"/>
      <c r="C1666" s="69"/>
      <c r="D1666" s="136">
        <f t="shared" ref="D1666:H1666" si="72">D1663-D1665</f>
        <v>189.7</v>
      </c>
      <c r="E1666" s="69">
        <f t="shared" si="72"/>
        <v>117.56</v>
      </c>
      <c r="F1666" s="136">
        <f t="shared" si="72"/>
        <v>157.32</v>
      </c>
      <c r="G1666" s="69">
        <f t="shared" si="72"/>
        <v>191.82999999999998</v>
      </c>
      <c r="H1666" s="69">
        <f t="shared" si="72"/>
        <v>265.56</v>
      </c>
      <c r="I1666" s="72">
        <f>I1663-I1665</f>
        <v>233.82999999999998</v>
      </c>
      <c r="J1666" s="69"/>
    </row>
    <row r="1667" spans="1:10" s="3" customFormat="1" x14ac:dyDescent="0.25">
      <c r="A1667" s="73" t="s">
        <v>22</v>
      </c>
      <c r="B1667" s="74"/>
      <c r="C1667" s="74"/>
      <c r="D1667" s="75">
        <v>2020</v>
      </c>
      <c r="E1667" s="69">
        <v>2021</v>
      </c>
      <c r="F1667" s="75">
        <v>2022</v>
      </c>
      <c r="G1667" s="69">
        <v>2023</v>
      </c>
      <c r="H1667" s="117">
        <v>2024</v>
      </c>
      <c r="I1667" s="493">
        <v>2025</v>
      </c>
      <c r="J1667" s="493">
        <v>2026</v>
      </c>
    </row>
    <row r="1668" spans="1:10" s="3" customFormat="1" x14ac:dyDescent="0.25">
      <c r="A1668" s="656" t="s">
        <v>23</v>
      </c>
      <c r="B1668" s="657"/>
      <c r="C1668" s="657"/>
      <c r="D1668" s="657"/>
      <c r="E1668" s="657"/>
      <c r="F1668" s="657"/>
      <c r="G1668" s="657"/>
      <c r="H1668" s="657"/>
      <c r="I1668" s="63"/>
      <c r="J1668" s="63"/>
    </row>
    <row r="1669" spans="1:10" s="3" customFormat="1" ht="39.6" customHeight="1" x14ac:dyDescent="0.25">
      <c r="A1669" s="668" t="s">
        <v>1048</v>
      </c>
      <c r="B1669" s="669"/>
      <c r="C1669" s="669"/>
      <c r="D1669" s="669"/>
      <c r="E1669" s="669"/>
      <c r="F1669" s="669"/>
      <c r="G1669" s="669"/>
      <c r="H1669" s="669"/>
      <c r="I1669" s="19"/>
      <c r="J1669" s="63"/>
    </row>
    <row r="1670" spans="1:10" s="3" customFormat="1" ht="49.2" customHeight="1" x14ac:dyDescent="0.25">
      <c r="A1670" s="660" t="s">
        <v>1049</v>
      </c>
      <c r="B1670" s="661"/>
      <c r="C1670" s="661"/>
      <c r="D1670" s="661"/>
      <c r="E1670" s="661"/>
      <c r="F1670" s="661"/>
      <c r="G1670" s="661"/>
      <c r="H1670" s="661"/>
      <c r="J1670" s="64"/>
    </row>
    <row r="1671" spans="1:10" s="3" customFormat="1" ht="49.2" customHeight="1" x14ac:dyDescent="0.25">
      <c r="A1671" s="660" t="s">
        <v>1050</v>
      </c>
      <c r="B1671" s="661"/>
      <c r="C1671" s="661"/>
      <c r="D1671" s="661"/>
      <c r="E1671" s="661"/>
      <c r="F1671" s="661"/>
      <c r="G1671" s="661"/>
      <c r="H1671" s="661"/>
      <c r="J1671" s="64"/>
    </row>
    <row r="1672" spans="1:10" s="3" customFormat="1" ht="49.2" customHeight="1" x14ac:dyDescent="0.25">
      <c r="A1672" s="660" t="s">
        <v>1051</v>
      </c>
      <c r="B1672" s="661"/>
      <c r="C1672" s="661"/>
      <c r="D1672" s="661"/>
      <c r="E1672" s="661"/>
      <c r="F1672" s="661"/>
      <c r="G1672" s="661"/>
      <c r="H1672" s="661"/>
      <c r="J1672" s="64"/>
    </row>
    <row r="1673" spans="1:10" s="3" customFormat="1" ht="48.6" customHeight="1" x14ac:dyDescent="0.25">
      <c r="A1673" s="664" t="s">
        <v>1208</v>
      </c>
      <c r="B1673" s="665"/>
      <c r="C1673" s="665"/>
      <c r="D1673" s="665"/>
      <c r="E1673" s="665"/>
      <c r="F1673" s="665"/>
      <c r="G1673" s="665"/>
      <c r="H1673" s="665"/>
      <c r="I1673" s="34"/>
      <c r="J1673" s="48"/>
    </row>
    <row r="1674" spans="1:10" s="3" customFormat="1" x14ac:dyDescent="0.25"/>
    <row r="1675" spans="1:10" s="3" customFormat="1" x14ac:dyDescent="0.25">
      <c r="A1675" s="6" t="s">
        <v>24</v>
      </c>
      <c r="B1675" s="7" t="s">
        <v>592</v>
      </c>
    </row>
    <row r="1676" spans="1:10" s="3" customFormat="1" x14ac:dyDescent="0.25">
      <c r="A1676" s="128" t="s">
        <v>14</v>
      </c>
      <c r="B1676" s="128" t="s">
        <v>624</v>
      </c>
      <c r="C1676" s="615" t="s">
        <v>26</v>
      </c>
    </row>
    <row r="1677" spans="1:10" s="3" customFormat="1" x14ac:dyDescent="0.25">
      <c r="A1677" s="170" t="s">
        <v>27</v>
      </c>
      <c r="B1677" s="501">
        <v>2020</v>
      </c>
      <c r="C1677" s="501">
        <v>2021</v>
      </c>
      <c r="D1677" s="501">
        <v>2022</v>
      </c>
      <c r="E1677" s="501">
        <v>2023</v>
      </c>
      <c r="F1677" s="501">
        <v>2024</v>
      </c>
      <c r="G1677" s="501">
        <v>2025</v>
      </c>
      <c r="H1677" s="501">
        <v>2026</v>
      </c>
      <c r="I1677" s="501">
        <v>2027</v>
      </c>
    </row>
    <row r="1678" spans="1:10" s="3" customFormat="1" x14ac:dyDescent="0.25">
      <c r="A1678" s="90" t="s">
        <v>28</v>
      </c>
      <c r="B1678" s="130">
        <v>215</v>
      </c>
      <c r="C1678" s="131">
        <v>242</v>
      </c>
      <c r="D1678" s="131">
        <v>242</v>
      </c>
      <c r="E1678" s="131">
        <v>242</v>
      </c>
      <c r="F1678" s="131">
        <v>302</v>
      </c>
      <c r="G1678" s="131">
        <v>302</v>
      </c>
      <c r="H1678" s="131">
        <v>302</v>
      </c>
      <c r="I1678" s="131"/>
    </row>
    <row r="1679" spans="1:10" s="3" customFormat="1" x14ac:dyDescent="0.25">
      <c r="A1679" s="90" t="s">
        <v>29</v>
      </c>
      <c r="B1679" s="130">
        <v>265</v>
      </c>
      <c r="C1679" s="131">
        <v>295.75</v>
      </c>
      <c r="D1679" s="131">
        <v>295.75</v>
      </c>
      <c r="E1679" s="131">
        <v>302.5</v>
      </c>
      <c r="F1679" s="130">
        <v>362.5</v>
      </c>
      <c r="G1679" s="90">
        <v>362.5</v>
      </c>
      <c r="H1679" s="130">
        <f>(F1678*0.25)+H1678</f>
        <v>377.5</v>
      </c>
      <c r="I1679" s="130"/>
    </row>
    <row r="1680" spans="1:10" s="3" customFormat="1" x14ac:dyDescent="0.25">
      <c r="A1680" s="90" t="s">
        <v>30</v>
      </c>
      <c r="B1680" s="616"/>
      <c r="C1680" s="616"/>
      <c r="D1680" s="616"/>
      <c r="E1680" s="616"/>
      <c r="F1680" s="616"/>
      <c r="G1680" s="90"/>
      <c r="H1680" s="616" t="s">
        <v>543</v>
      </c>
      <c r="I1680" s="616"/>
    </row>
    <row r="1681" spans="1:9" s="3" customFormat="1" x14ac:dyDescent="0.25">
      <c r="A1681" s="90" t="s">
        <v>31</v>
      </c>
      <c r="B1681" s="130">
        <v>175.922</v>
      </c>
      <c r="C1681" s="131">
        <v>182.89599999999999</v>
      </c>
      <c r="D1681" s="131">
        <v>180.67</v>
      </c>
      <c r="E1681" s="131">
        <v>170.83</v>
      </c>
      <c r="F1681" s="131">
        <v>0</v>
      </c>
      <c r="G1681" s="131"/>
      <c r="H1681" s="131"/>
      <c r="I1681" s="131"/>
    </row>
    <row r="1682" spans="1:9" s="3" customFormat="1" x14ac:dyDescent="0.25">
      <c r="A1682" s="90" t="s">
        <v>32</v>
      </c>
      <c r="B1682" s="130">
        <f>B1679-B1681</f>
        <v>89.078000000000003</v>
      </c>
      <c r="C1682" s="130">
        <f>C1679-C1681</f>
        <v>112.85400000000001</v>
      </c>
      <c r="D1682" s="130">
        <f t="shared" ref="D1682:E1682" si="73">D1679-D1681</f>
        <v>115.08000000000001</v>
      </c>
      <c r="E1682" s="130">
        <f t="shared" si="73"/>
        <v>131.66999999999999</v>
      </c>
      <c r="F1682" s="130">
        <v>30</v>
      </c>
      <c r="G1682" s="130"/>
      <c r="H1682" s="130"/>
      <c r="I1682" s="130"/>
    </row>
    <row r="1683" spans="1:9" s="3" customFormat="1" x14ac:dyDescent="0.25">
      <c r="A1683" s="90" t="s">
        <v>33</v>
      </c>
      <c r="B1683" s="180">
        <v>2022</v>
      </c>
      <c r="C1683" s="180">
        <v>2023</v>
      </c>
      <c r="D1683" s="180">
        <v>2024</v>
      </c>
      <c r="E1683" s="180">
        <v>2025</v>
      </c>
      <c r="F1683" s="180">
        <v>2026</v>
      </c>
      <c r="G1683" s="180"/>
      <c r="H1683" s="180"/>
      <c r="I1683" s="180"/>
    </row>
    <row r="1684" spans="1:9" s="3" customFormat="1" x14ac:dyDescent="0.25">
      <c r="A1684" s="45" t="s">
        <v>1238</v>
      </c>
    </row>
    <row r="1685" spans="1:9" s="3" customFormat="1" x14ac:dyDescent="0.25">
      <c r="A1685" s="151"/>
      <c r="B1685" s="24"/>
    </row>
    <row r="1686" spans="1:9" s="3" customFormat="1" x14ac:dyDescent="0.25">
      <c r="A1686" s="151" t="s">
        <v>14</v>
      </c>
      <c r="B1686" s="24" t="s">
        <v>638</v>
      </c>
      <c r="C1686" s="481" t="s">
        <v>26</v>
      </c>
    </row>
    <row r="1687" spans="1:9" s="3" customFormat="1" x14ac:dyDescent="0.25">
      <c r="A1687" s="170" t="s">
        <v>27</v>
      </c>
      <c r="B1687" s="154">
        <v>2020</v>
      </c>
      <c r="C1687" s="154">
        <v>2021</v>
      </c>
      <c r="D1687" s="154">
        <v>2022</v>
      </c>
      <c r="E1687" s="154">
        <v>2023</v>
      </c>
      <c r="F1687" s="154">
        <v>2024</v>
      </c>
      <c r="G1687" s="154">
        <v>2025</v>
      </c>
      <c r="H1687" s="154">
        <v>2026</v>
      </c>
    </row>
    <row r="1688" spans="1:9" s="3" customFormat="1" x14ac:dyDescent="0.25">
      <c r="A1688" s="11" t="s">
        <v>28</v>
      </c>
      <c r="B1688" s="72">
        <v>25</v>
      </c>
      <c r="C1688" s="12">
        <v>25</v>
      </c>
      <c r="D1688" s="12">
        <v>25</v>
      </c>
      <c r="E1688" s="12">
        <v>30</v>
      </c>
      <c r="F1688" s="12">
        <v>30</v>
      </c>
      <c r="G1688" s="12">
        <v>30</v>
      </c>
      <c r="H1688" s="12">
        <v>30</v>
      </c>
    </row>
    <row r="1689" spans="1:9" s="3" customFormat="1" x14ac:dyDescent="0.25">
      <c r="A1689" s="11" t="s">
        <v>29</v>
      </c>
      <c r="B1689" s="72"/>
      <c r="C1689" s="72">
        <v>18.66</v>
      </c>
      <c r="D1689" s="72"/>
      <c r="E1689" s="12"/>
      <c r="F1689" s="12"/>
      <c r="G1689" s="90"/>
      <c r="H1689" s="12"/>
    </row>
    <row r="1690" spans="1:9" s="3" customFormat="1" x14ac:dyDescent="0.25">
      <c r="A1690" s="11" t="s">
        <v>30</v>
      </c>
      <c r="B1690" s="494"/>
      <c r="C1690" s="494" t="s">
        <v>543</v>
      </c>
      <c r="D1690" s="494"/>
      <c r="E1690" s="90"/>
      <c r="F1690" s="90"/>
      <c r="G1690" s="90"/>
      <c r="H1690" s="180"/>
    </row>
    <row r="1691" spans="1:9" s="3" customFormat="1" x14ac:dyDescent="0.25">
      <c r="A1691" s="11" t="s">
        <v>31</v>
      </c>
      <c r="B1691" s="72">
        <v>31.341000000000001</v>
      </c>
      <c r="C1691" s="12">
        <v>17.22</v>
      </c>
      <c r="D1691" s="12">
        <v>12.476000000000001</v>
      </c>
      <c r="E1691" s="90">
        <v>5.2359999999999998</v>
      </c>
      <c r="F1691" s="131">
        <v>0</v>
      </c>
      <c r="G1691" s="90"/>
      <c r="H1691" s="90"/>
    </row>
    <row r="1692" spans="1:9" s="3" customFormat="1" x14ac:dyDescent="0.25">
      <c r="A1692" s="11" t="s">
        <v>32</v>
      </c>
      <c r="B1692" s="72">
        <v>-6.3410000000000011</v>
      </c>
      <c r="C1692" s="72">
        <f>C1689-C1691</f>
        <v>1.4400000000000013</v>
      </c>
      <c r="D1692" s="72">
        <f>D1688-D1691</f>
        <v>12.523999999999999</v>
      </c>
      <c r="E1692" s="90">
        <v>24.763999999999999</v>
      </c>
      <c r="F1692" s="131">
        <v>30</v>
      </c>
      <c r="G1692" s="90"/>
      <c r="H1692" s="90"/>
    </row>
    <row r="1693" spans="1:9" s="3" customFormat="1" x14ac:dyDescent="0.25">
      <c r="A1693" s="16" t="s">
        <v>33</v>
      </c>
      <c r="B1693" s="159">
        <v>2021</v>
      </c>
      <c r="C1693" s="159"/>
      <c r="D1693" s="159"/>
      <c r="E1693" s="90"/>
      <c r="F1693" s="90"/>
      <c r="G1693" s="90"/>
      <c r="H1693" s="90"/>
    </row>
    <row r="1694" spans="1:9" s="3" customFormat="1" x14ac:dyDescent="0.25">
      <c r="A1694" s="18" t="s">
        <v>593</v>
      </c>
      <c r="B1694" s="447"/>
      <c r="C1694" s="447"/>
      <c r="D1694" s="447"/>
      <c r="E1694" s="447"/>
      <c r="F1694" s="447"/>
      <c r="G1694" s="19"/>
      <c r="H1694" s="63"/>
    </row>
    <row r="1695" spans="1:9" s="3" customFormat="1" x14ac:dyDescent="0.25">
      <c r="A1695" s="45" t="s">
        <v>1239</v>
      </c>
      <c r="B1695" s="454"/>
      <c r="C1695" s="454"/>
      <c r="D1695" s="454"/>
      <c r="E1695" s="454"/>
      <c r="F1695" s="454"/>
      <c r="H1695" s="64"/>
    </row>
    <row r="1696" spans="1:9" s="3" customFormat="1" ht="63" customHeight="1" x14ac:dyDescent="0.25">
      <c r="A1696" s="660" t="s">
        <v>717</v>
      </c>
      <c r="B1696" s="661"/>
      <c r="C1696" s="661"/>
      <c r="D1696" s="661"/>
      <c r="E1696" s="454"/>
      <c r="F1696" s="454"/>
      <c r="H1696" s="64"/>
    </row>
    <row r="1697" spans="1:8" s="3" customFormat="1" x14ac:dyDescent="0.25">
      <c r="A1697" s="39"/>
      <c r="B1697" s="454"/>
      <c r="C1697" s="454"/>
      <c r="D1697" s="454"/>
      <c r="E1697" s="454"/>
      <c r="F1697" s="454"/>
      <c r="H1697" s="64"/>
    </row>
    <row r="1698" spans="1:8" s="3" customFormat="1" x14ac:dyDescent="0.25">
      <c r="A1698" s="39"/>
      <c r="B1698" s="454"/>
      <c r="C1698" s="454"/>
      <c r="D1698" s="454"/>
      <c r="E1698" s="454"/>
      <c r="F1698" s="454"/>
      <c r="H1698" s="64"/>
    </row>
    <row r="1699" spans="1:8" s="3" customFormat="1" x14ac:dyDescent="0.25">
      <c r="A1699" s="41"/>
      <c r="B1699" s="495"/>
      <c r="C1699" s="495"/>
      <c r="D1699" s="495"/>
      <c r="E1699" s="495"/>
      <c r="F1699" s="495"/>
      <c r="G1699" s="34"/>
      <c r="H1699" s="48"/>
    </row>
    <row r="1700" spans="1:8" s="3" customFormat="1" x14ac:dyDescent="0.25"/>
    <row r="1701" spans="1:8" s="3" customFormat="1" x14ac:dyDescent="0.25"/>
    <row r="1702" spans="1:8" s="3" customFormat="1" x14ac:dyDescent="0.25">
      <c r="A1702" s="6" t="s">
        <v>12</v>
      </c>
      <c r="B1702" s="7" t="s">
        <v>374</v>
      </c>
    </row>
    <row r="1703" spans="1:8" s="3" customFormat="1" x14ac:dyDescent="0.25">
      <c r="A1703" s="6" t="s">
        <v>14</v>
      </c>
      <c r="B1703" s="7" t="s">
        <v>66</v>
      </c>
      <c r="C1703" s="33" t="s">
        <v>15</v>
      </c>
    </row>
    <row r="1704" spans="1:8" s="3" customFormat="1" x14ac:dyDescent="0.25">
      <c r="A1704" s="10" t="s">
        <v>16</v>
      </c>
      <c r="B1704" s="11"/>
      <c r="C1704" s="283">
        <v>2015</v>
      </c>
      <c r="D1704" s="154">
        <v>2016</v>
      </c>
      <c r="E1704" s="173">
        <v>2017</v>
      </c>
      <c r="F1704" s="173">
        <v>2018</v>
      </c>
      <c r="G1704" s="173">
        <v>2019</v>
      </c>
      <c r="H1704" s="173">
        <v>2020</v>
      </c>
    </row>
    <row r="1705" spans="1:8" s="3" customFormat="1" x14ac:dyDescent="0.25">
      <c r="A1705" s="10" t="s">
        <v>17</v>
      </c>
      <c r="B1705" s="11"/>
      <c r="C1705" s="12">
        <v>2100</v>
      </c>
      <c r="D1705" s="496">
        <v>1575</v>
      </c>
      <c r="E1705" s="496">
        <v>1575</v>
      </c>
      <c r="F1705" s="496">
        <v>1575</v>
      </c>
      <c r="G1705" s="496">
        <v>1575</v>
      </c>
      <c r="H1705" s="496">
        <v>0</v>
      </c>
    </row>
    <row r="1706" spans="1:8" s="3" customFormat="1" x14ac:dyDescent="0.25">
      <c r="A1706" s="10" t="s">
        <v>18</v>
      </c>
      <c r="B1706" s="11"/>
      <c r="C1706" s="174">
        <v>2100</v>
      </c>
      <c r="D1706" s="496">
        <v>1575</v>
      </c>
      <c r="E1706" s="496">
        <v>1575</v>
      </c>
      <c r="F1706" s="496">
        <v>1575</v>
      </c>
      <c r="G1706" s="496">
        <v>1575</v>
      </c>
      <c r="H1706" s="496"/>
    </row>
    <row r="1707" spans="1:8" s="3" customFormat="1" x14ac:dyDescent="0.25">
      <c r="A1707" s="10" t="s">
        <v>19</v>
      </c>
      <c r="B1707" s="11"/>
      <c r="C1707" s="188"/>
      <c r="D1707" s="12"/>
      <c r="E1707" s="189"/>
      <c r="F1707" s="189"/>
      <c r="G1707" s="189"/>
      <c r="H1707" s="189"/>
    </row>
    <row r="1708" spans="1:8" s="3" customFormat="1" x14ac:dyDescent="0.25">
      <c r="A1708" s="10" t="s">
        <v>20</v>
      </c>
      <c r="B1708" s="11"/>
      <c r="C1708" s="496">
        <v>0</v>
      </c>
      <c r="D1708" s="496">
        <v>0</v>
      </c>
      <c r="E1708" s="496">
        <v>0</v>
      </c>
      <c r="F1708" s="496">
        <v>0</v>
      </c>
      <c r="G1708" s="496">
        <v>0</v>
      </c>
      <c r="H1708" s="496">
        <v>0</v>
      </c>
    </row>
    <row r="1709" spans="1:8" s="3" customFormat="1" ht="27.75" customHeight="1" x14ac:dyDescent="0.25">
      <c r="A1709" s="10" t="s">
        <v>21</v>
      </c>
      <c r="B1709" s="11"/>
      <c r="C1709" s="174">
        <v>2100</v>
      </c>
      <c r="D1709" s="496">
        <v>1575</v>
      </c>
      <c r="E1709" s="496">
        <v>1575</v>
      </c>
      <c r="F1709" s="496">
        <v>1575</v>
      </c>
      <c r="G1709" s="496">
        <v>1575</v>
      </c>
      <c r="H1709" s="496">
        <v>1575</v>
      </c>
    </row>
    <row r="1710" spans="1:8" s="3" customFormat="1" x14ac:dyDescent="0.25">
      <c r="A1710" s="16" t="s">
        <v>22</v>
      </c>
      <c r="B1710" s="17"/>
      <c r="C1710" s="159">
        <v>2016</v>
      </c>
      <c r="D1710" s="159">
        <v>2017</v>
      </c>
      <c r="E1710" s="179">
        <v>2018</v>
      </c>
      <c r="F1710" s="179">
        <v>2019</v>
      </c>
      <c r="G1710" s="179">
        <v>2020</v>
      </c>
      <c r="H1710" s="179">
        <v>2021</v>
      </c>
    </row>
    <row r="1711" spans="1:8" s="3" customFormat="1" x14ac:dyDescent="0.25">
      <c r="A1711" s="10" t="s">
        <v>23</v>
      </c>
      <c r="B1711" s="36"/>
      <c r="C1711" s="36"/>
      <c r="D1711" s="36"/>
      <c r="E1711" s="36"/>
      <c r="F1711" s="36"/>
      <c r="G1711" s="36"/>
      <c r="H1711" s="37"/>
    </row>
    <row r="1712" spans="1:8" s="3" customFormat="1" x14ac:dyDescent="0.25"/>
    <row r="1713" spans="1:12" s="3" customFormat="1" x14ac:dyDescent="0.25"/>
    <row r="1714" spans="1:12" s="3" customFormat="1" ht="26.4" x14ac:dyDescent="0.25">
      <c r="A1714" s="6" t="s">
        <v>12</v>
      </c>
      <c r="B1714" s="323" t="s">
        <v>379</v>
      </c>
    </row>
    <row r="1715" spans="1:12" s="3" customFormat="1" x14ac:dyDescent="0.25">
      <c r="A1715" s="6" t="s">
        <v>14</v>
      </c>
      <c r="B1715" s="7" t="s">
        <v>624</v>
      </c>
      <c r="C1715" s="9" t="s">
        <v>15</v>
      </c>
    </row>
    <row r="1716" spans="1:12" s="3" customFormat="1" x14ac:dyDescent="0.25">
      <c r="A1716" s="10" t="s">
        <v>16</v>
      </c>
      <c r="B1716" s="154">
        <v>2015</v>
      </c>
      <c r="C1716" s="172">
        <v>2016</v>
      </c>
      <c r="D1716" s="154">
        <v>2017</v>
      </c>
      <c r="E1716" s="173">
        <v>2018</v>
      </c>
      <c r="F1716" s="173">
        <v>2019</v>
      </c>
      <c r="G1716" s="154">
        <v>2020</v>
      </c>
      <c r="H1716" s="154">
        <v>2021</v>
      </c>
      <c r="I1716" s="154">
        <v>2022</v>
      </c>
      <c r="J1716" s="154">
        <v>2023</v>
      </c>
      <c r="K1716" s="154">
        <v>2024</v>
      </c>
      <c r="L1716" s="154">
        <v>2025</v>
      </c>
    </row>
    <row r="1717" spans="1:12" s="3" customFormat="1" x14ac:dyDescent="0.25">
      <c r="A1717" s="10" t="s">
        <v>17</v>
      </c>
      <c r="B1717" s="156">
        <v>200</v>
      </c>
      <c r="C1717" s="174">
        <v>200</v>
      </c>
      <c r="D1717" s="156">
        <v>200</v>
      </c>
      <c r="E1717" s="175">
        <v>200</v>
      </c>
      <c r="F1717" s="175">
        <v>215</v>
      </c>
      <c r="G1717" s="156">
        <v>215</v>
      </c>
      <c r="H1717" s="12">
        <v>242</v>
      </c>
      <c r="I1717" s="12">
        <v>242</v>
      </c>
      <c r="J1717" s="12">
        <v>242</v>
      </c>
      <c r="K1717" s="12">
        <v>302</v>
      </c>
      <c r="L1717" s="12">
        <v>302</v>
      </c>
    </row>
    <row r="1718" spans="1:12" s="3" customFormat="1" x14ac:dyDescent="0.25">
      <c r="A1718" s="10" t="s">
        <v>18</v>
      </c>
      <c r="B1718" s="156">
        <v>303.49</v>
      </c>
      <c r="C1718" s="174">
        <f>C1717+B1721+100</f>
        <v>298.49</v>
      </c>
      <c r="D1718" s="156">
        <f>D1717+100</f>
        <v>300</v>
      </c>
      <c r="E1718" s="175">
        <f>E1717+C1721+100</f>
        <v>306.89</v>
      </c>
      <c r="F1718" s="175">
        <v>218.8</v>
      </c>
      <c r="G1718" s="175">
        <v>265</v>
      </c>
      <c r="H1718" s="12">
        <f>H1717+F1721</f>
        <v>280.35000000000002</v>
      </c>
      <c r="I1718" s="12">
        <f>I1717+G1721</f>
        <v>255.27</v>
      </c>
      <c r="J1718" s="12">
        <f>J1717+0.25*H1717</f>
        <v>302.5</v>
      </c>
      <c r="K1718" s="12">
        <f>K1717+0.25*I1717</f>
        <v>362.5</v>
      </c>
      <c r="L1718" s="12">
        <f>L1717+0.25*J1717</f>
        <v>362.5</v>
      </c>
    </row>
    <row r="1719" spans="1:12" s="3" customFormat="1" ht="39.6" x14ac:dyDescent="0.25">
      <c r="A1719" s="10" t="s">
        <v>19</v>
      </c>
      <c r="B1719" s="176"/>
      <c r="C1719" s="176" t="s">
        <v>380</v>
      </c>
      <c r="D1719" s="176" t="s">
        <v>381</v>
      </c>
      <c r="E1719" s="176" t="s">
        <v>382</v>
      </c>
      <c r="F1719" s="176" t="s">
        <v>395</v>
      </c>
      <c r="G1719" s="176" t="s">
        <v>396</v>
      </c>
      <c r="H1719" s="184" t="s">
        <v>697</v>
      </c>
      <c r="I1719" s="184" t="s">
        <v>696</v>
      </c>
      <c r="J1719" s="184" t="s">
        <v>791</v>
      </c>
      <c r="K1719" s="184" t="s">
        <v>1068</v>
      </c>
      <c r="L1719" s="184" t="s">
        <v>1068</v>
      </c>
    </row>
    <row r="1720" spans="1:12" s="3" customFormat="1" x14ac:dyDescent="0.25">
      <c r="A1720" s="10" t="s">
        <v>20</v>
      </c>
      <c r="B1720" s="156">
        <v>305</v>
      </c>
      <c r="C1720" s="174">
        <v>291.60000000000002</v>
      </c>
      <c r="D1720" s="156">
        <v>296.2</v>
      </c>
      <c r="E1720" s="156">
        <v>173.26</v>
      </c>
      <c r="F1720" s="175">
        <v>180.45</v>
      </c>
      <c r="G1720" s="156">
        <v>251.73</v>
      </c>
      <c r="H1720" s="12">
        <v>0</v>
      </c>
      <c r="I1720" s="12">
        <v>0.97</v>
      </c>
      <c r="J1720" s="12">
        <v>0.28000000000000003</v>
      </c>
      <c r="K1720" s="12">
        <v>0.17199999999999999</v>
      </c>
      <c r="L1720" s="12"/>
    </row>
    <row r="1721" spans="1:12" s="3" customFormat="1" x14ac:dyDescent="0.25">
      <c r="A1721" s="10" t="s">
        <v>21</v>
      </c>
      <c r="B1721" s="156">
        <v>-1.5099999999999909</v>
      </c>
      <c r="C1721" s="156">
        <f>C1718-C1720</f>
        <v>6.8899999999999864</v>
      </c>
      <c r="D1721" s="156">
        <f>D1718-D1720</f>
        <v>3.8000000000000114</v>
      </c>
      <c r="E1721" s="156">
        <f>E1718-E1720</f>
        <v>133.63</v>
      </c>
      <c r="F1721" s="156">
        <v>38.350000000000023</v>
      </c>
      <c r="G1721" s="156">
        <f>G1718-G1720</f>
        <v>13.27000000000001</v>
      </c>
      <c r="H1721" s="12">
        <f>H1718-H1720</f>
        <v>280.35000000000002</v>
      </c>
      <c r="I1721" s="12">
        <f>I1718-I1720</f>
        <v>254.3</v>
      </c>
      <c r="J1721" s="12">
        <f>J1718-J1720</f>
        <v>302.22000000000003</v>
      </c>
      <c r="K1721" s="12">
        <f>K1718-K1720</f>
        <v>362.32799999999997</v>
      </c>
      <c r="L1721" s="12"/>
    </row>
    <row r="1722" spans="1:12" s="3" customFormat="1" x14ac:dyDescent="0.25">
      <c r="A1722" s="16" t="s">
        <v>22</v>
      </c>
      <c r="B1722" s="159">
        <v>2016</v>
      </c>
      <c r="C1722" s="178">
        <v>2018</v>
      </c>
      <c r="D1722" s="159">
        <v>2019</v>
      </c>
      <c r="E1722" s="179">
        <v>2020</v>
      </c>
      <c r="F1722" s="179">
        <v>2021</v>
      </c>
      <c r="G1722" s="159">
        <v>2022</v>
      </c>
      <c r="H1722" s="159">
        <v>2023</v>
      </c>
      <c r="I1722" s="159">
        <v>2024</v>
      </c>
      <c r="J1722" s="159">
        <v>2025</v>
      </c>
      <c r="K1722" s="159">
        <v>2026</v>
      </c>
      <c r="L1722" s="159">
        <v>2026</v>
      </c>
    </row>
    <row r="1723" spans="1:12" s="3" customFormat="1" x14ac:dyDescent="0.25">
      <c r="A1723" s="16" t="s">
        <v>23</v>
      </c>
      <c r="B1723" s="46"/>
      <c r="C1723" s="46"/>
      <c r="D1723" s="46"/>
      <c r="E1723" s="46"/>
      <c r="F1723" s="46"/>
      <c r="G1723" s="46"/>
      <c r="H1723" s="47"/>
      <c r="I1723" s="47"/>
      <c r="J1723" s="47"/>
      <c r="K1723" s="47"/>
      <c r="L1723" s="47"/>
    </row>
    <row r="1724" spans="1:12" s="3" customFormat="1" x14ac:dyDescent="0.25">
      <c r="A1724" s="39" t="s">
        <v>383</v>
      </c>
      <c r="H1724" s="64"/>
      <c r="I1724" s="64"/>
      <c r="J1724" s="64"/>
      <c r="K1724" s="64"/>
      <c r="L1724" s="64"/>
    </row>
    <row r="1725" spans="1:12" s="3" customFormat="1" ht="13.2" customHeight="1" x14ac:dyDescent="0.25">
      <c r="A1725" s="664" t="s">
        <v>397</v>
      </c>
      <c r="B1725" s="665"/>
      <c r="C1725" s="665"/>
      <c r="D1725" s="665"/>
      <c r="E1725" s="665"/>
      <c r="F1725" s="665"/>
      <c r="G1725" s="665"/>
      <c r="H1725" s="48"/>
      <c r="I1725" s="48"/>
      <c r="J1725" s="48"/>
      <c r="K1725" s="48"/>
      <c r="L1725" s="48"/>
    </row>
    <row r="1726" spans="1:12" s="3" customFormat="1" ht="13.2" customHeight="1" x14ac:dyDescent="0.25">
      <c r="A1726" s="32"/>
      <c r="B1726" s="32"/>
      <c r="C1726" s="32"/>
      <c r="D1726" s="32"/>
      <c r="E1726" s="32"/>
      <c r="F1726" s="32"/>
      <c r="G1726" s="32"/>
    </row>
    <row r="1727" spans="1:12" s="3" customFormat="1" x14ac:dyDescent="0.25">
      <c r="A1727" s="6" t="s">
        <v>14</v>
      </c>
      <c r="B1727" s="7" t="s">
        <v>638</v>
      </c>
      <c r="C1727" s="9" t="s">
        <v>15</v>
      </c>
    </row>
    <row r="1728" spans="1:12" s="3" customFormat="1" x14ac:dyDescent="0.25">
      <c r="A1728" s="10" t="s">
        <v>16</v>
      </c>
      <c r="B1728" s="154">
        <v>2022</v>
      </c>
      <c r="C1728" s="172">
        <v>2023</v>
      </c>
      <c r="D1728" s="154">
        <v>2024</v>
      </c>
      <c r="E1728" s="154">
        <v>2025</v>
      </c>
    </row>
    <row r="1729" spans="1:11" s="3" customFormat="1" x14ac:dyDescent="0.25">
      <c r="A1729" s="10" t="s">
        <v>17</v>
      </c>
      <c r="B1729" s="156">
        <v>140</v>
      </c>
      <c r="C1729" s="174">
        <v>170</v>
      </c>
      <c r="D1729" s="175">
        <v>170</v>
      </c>
      <c r="E1729" s="175">
        <v>170</v>
      </c>
    </row>
    <row r="1730" spans="1:11" s="3" customFormat="1" x14ac:dyDescent="0.25">
      <c r="A1730" s="10" t="s">
        <v>18</v>
      </c>
      <c r="B1730" s="156">
        <f>B1729+0.25*140</f>
        <v>175</v>
      </c>
      <c r="C1730" s="156">
        <f>C1729+0.25*140</f>
        <v>205</v>
      </c>
      <c r="D1730" s="156">
        <f>D1729+2.08</f>
        <v>172.08</v>
      </c>
      <c r="E1730" s="156">
        <f>E1729+0.25*C1729</f>
        <v>212.5</v>
      </c>
    </row>
    <row r="1731" spans="1:11" s="3" customFormat="1" x14ac:dyDescent="0.25">
      <c r="A1731" s="10" t="s">
        <v>19</v>
      </c>
      <c r="B1731" s="176" t="s">
        <v>890</v>
      </c>
      <c r="C1731" s="176" t="s">
        <v>891</v>
      </c>
      <c r="D1731" s="176" t="s">
        <v>931</v>
      </c>
      <c r="E1731" s="176" t="s">
        <v>1069</v>
      </c>
    </row>
    <row r="1732" spans="1:11" s="3" customFormat="1" x14ac:dyDescent="0.25">
      <c r="A1732" s="10" t="s">
        <v>20</v>
      </c>
      <c r="B1732" s="156">
        <v>21.678999999999998</v>
      </c>
      <c r="C1732" s="174">
        <v>0</v>
      </c>
      <c r="D1732" s="156">
        <v>0</v>
      </c>
      <c r="E1732" s="156"/>
    </row>
    <row r="1733" spans="1:11" s="3" customFormat="1" x14ac:dyDescent="0.25">
      <c r="A1733" s="10" t="s">
        <v>21</v>
      </c>
      <c r="B1733" s="156">
        <f>B1730-B1732</f>
        <v>153.321</v>
      </c>
      <c r="C1733" s="156">
        <f>C1730-C1732</f>
        <v>205</v>
      </c>
      <c r="D1733" s="156">
        <f>D1730-D1732</f>
        <v>172.08</v>
      </c>
      <c r="E1733" s="156"/>
    </row>
    <row r="1734" spans="1:11" s="3" customFormat="1" x14ac:dyDescent="0.25">
      <c r="A1734" s="16" t="s">
        <v>22</v>
      </c>
      <c r="B1734" s="159">
        <v>2024</v>
      </c>
      <c r="C1734" s="178">
        <v>2025</v>
      </c>
      <c r="D1734" s="159">
        <v>2026</v>
      </c>
      <c r="E1734" s="159">
        <v>2027</v>
      </c>
    </row>
    <row r="1735" spans="1:11" s="3" customFormat="1" x14ac:dyDescent="0.25">
      <c r="A1735" s="16" t="s">
        <v>23</v>
      </c>
      <c r="B1735" s="46"/>
      <c r="C1735" s="46"/>
      <c r="D1735" s="47"/>
      <c r="E1735" s="47"/>
    </row>
    <row r="1736" spans="1:11" s="3" customFormat="1" x14ac:dyDescent="0.25">
      <c r="A1736" s="39" t="s">
        <v>383</v>
      </c>
      <c r="D1736" s="64"/>
      <c r="E1736" s="64"/>
    </row>
    <row r="1737" spans="1:11" s="3" customFormat="1" ht="13.2" customHeight="1" x14ac:dyDescent="0.25">
      <c r="A1737" s="41" t="s">
        <v>930</v>
      </c>
      <c r="B1737" s="342"/>
      <c r="C1737" s="342"/>
      <c r="D1737" s="343"/>
      <c r="E1737" s="343"/>
    </row>
    <row r="1738" spans="1:11" s="3" customFormat="1" ht="13.2" customHeight="1" x14ac:dyDescent="0.25">
      <c r="B1738" s="4"/>
      <c r="C1738" s="4"/>
      <c r="D1738" s="4"/>
      <c r="E1738" s="4"/>
    </row>
    <row r="1739" spans="1:11" s="3" customFormat="1" x14ac:dyDescent="0.25">
      <c r="A1739" s="6" t="s">
        <v>14</v>
      </c>
      <c r="B1739" s="7" t="s">
        <v>79</v>
      </c>
      <c r="C1739" s="7" t="s">
        <v>152</v>
      </c>
    </row>
    <row r="1740" spans="1:11" s="3" customFormat="1" x14ac:dyDescent="0.25">
      <c r="A1740" s="41" t="s">
        <v>16</v>
      </c>
      <c r="B1740" s="276">
        <v>2016</v>
      </c>
      <c r="C1740" s="154">
        <v>2017</v>
      </c>
      <c r="D1740" s="154">
        <v>2018</v>
      </c>
      <c r="E1740" s="154">
        <v>2019</v>
      </c>
      <c r="F1740" s="154">
        <v>2020</v>
      </c>
      <c r="G1740" s="154">
        <v>2021</v>
      </c>
      <c r="H1740" s="154">
        <v>2022</v>
      </c>
      <c r="I1740" s="154">
        <v>2023</v>
      </c>
      <c r="J1740" s="154">
        <v>2024</v>
      </c>
      <c r="K1740" s="154">
        <v>2025</v>
      </c>
    </row>
    <row r="1741" spans="1:11" s="3" customFormat="1" x14ac:dyDescent="0.25">
      <c r="A1741" s="10" t="s">
        <v>17</v>
      </c>
      <c r="B1741" s="12">
        <v>2</v>
      </c>
      <c r="C1741" s="12">
        <v>2</v>
      </c>
      <c r="D1741" s="12">
        <v>2</v>
      </c>
      <c r="E1741" s="12">
        <v>2</v>
      </c>
      <c r="F1741" s="12">
        <v>2</v>
      </c>
      <c r="G1741" s="12">
        <v>2</v>
      </c>
      <c r="H1741" s="12">
        <v>2</v>
      </c>
      <c r="I1741" s="12">
        <v>2</v>
      </c>
      <c r="J1741" s="12">
        <v>2</v>
      </c>
      <c r="K1741" s="12">
        <v>2</v>
      </c>
    </row>
    <row r="1742" spans="1:11" s="3" customFormat="1" x14ac:dyDescent="0.25">
      <c r="A1742" s="10" t="s">
        <v>18</v>
      </c>
      <c r="B1742" s="12"/>
      <c r="C1742" s="12">
        <f>C1741+B1745</f>
        <v>-1.5599999999999996</v>
      </c>
      <c r="D1742" s="12">
        <f>D1741+C1745</f>
        <v>-7.0599999999999987</v>
      </c>
      <c r="E1742" s="12">
        <f>E1741+D1745</f>
        <v>-11.759999999999998</v>
      </c>
      <c r="F1742" s="12">
        <f>F1741+E1745</f>
        <v>-14.86</v>
      </c>
      <c r="G1742" s="12">
        <f>G1741+F1745</f>
        <v>-21.86</v>
      </c>
      <c r="H1742" s="12">
        <f>H1741+1.25*G1745</f>
        <v>-27.325000000000003</v>
      </c>
      <c r="I1742" s="12">
        <f>I1741+1.25*H1745</f>
        <v>-34.03125</v>
      </c>
      <c r="J1742" s="12">
        <f>J1741+1.25*I1745</f>
        <v>-46.0390625</v>
      </c>
      <c r="K1742" s="12">
        <f>K1741+1.25*J1745</f>
        <v>-61.650120625</v>
      </c>
    </row>
    <row r="1743" spans="1:11" s="3" customFormat="1" x14ac:dyDescent="0.25">
      <c r="A1743" s="10" t="s">
        <v>19</v>
      </c>
      <c r="B1743" s="156"/>
      <c r="C1743" s="156" t="s">
        <v>399</v>
      </c>
      <c r="D1743" s="156" t="s">
        <v>400</v>
      </c>
      <c r="E1743" s="156" t="s">
        <v>401</v>
      </c>
      <c r="F1743" s="156" t="s">
        <v>402</v>
      </c>
      <c r="G1743" s="156" t="s">
        <v>566</v>
      </c>
      <c r="H1743" s="156" t="s">
        <v>604</v>
      </c>
      <c r="I1743" s="156" t="s">
        <v>625</v>
      </c>
      <c r="J1743" s="156" t="s">
        <v>785</v>
      </c>
      <c r="K1743" s="156" t="s">
        <v>1002</v>
      </c>
    </row>
    <row r="1744" spans="1:11" s="3" customFormat="1" x14ac:dyDescent="0.25">
      <c r="A1744" s="10" t="s">
        <v>20</v>
      </c>
      <c r="B1744" s="156">
        <v>5.56</v>
      </c>
      <c r="C1744" s="156">
        <v>7.5</v>
      </c>
      <c r="D1744" s="156">
        <v>6.7</v>
      </c>
      <c r="E1744" s="156">
        <v>5.0999999999999996</v>
      </c>
      <c r="F1744" s="156">
        <v>9</v>
      </c>
      <c r="G1744" s="156">
        <v>1.6</v>
      </c>
      <c r="H1744" s="156">
        <v>1.5</v>
      </c>
      <c r="I1744" s="12">
        <v>4.4000000000000004</v>
      </c>
      <c r="J1744" s="156">
        <v>4.8810339999999997</v>
      </c>
      <c r="K1744" s="156"/>
    </row>
    <row r="1745" spans="1:11" s="3" customFormat="1" x14ac:dyDescent="0.25">
      <c r="A1745" s="10" t="s">
        <v>21</v>
      </c>
      <c r="B1745" s="12">
        <f>B1741-B1744</f>
        <v>-3.5599999999999996</v>
      </c>
      <c r="C1745" s="12">
        <f t="shared" ref="C1745:J1745" si="74">C1742-C1744</f>
        <v>-9.0599999999999987</v>
      </c>
      <c r="D1745" s="12">
        <f t="shared" si="74"/>
        <v>-13.759999999999998</v>
      </c>
      <c r="E1745" s="12">
        <f t="shared" si="74"/>
        <v>-16.86</v>
      </c>
      <c r="F1745" s="12">
        <f t="shared" si="74"/>
        <v>-23.86</v>
      </c>
      <c r="G1745" s="12">
        <f t="shared" si="74"/>
        <v>-23.46</v>
      </c>
      <c r="H1745" s="12">
        <f t="shared" si="74"/>
        <v>-28.825000000000003</v>
      </c>
      <c r="I1745" s="12">
        <f t="shared" si="74"/>
        <v>-38.431249999999999</v>
      </c>
      <c r="J1745" s="12">
        <f t="shared" si="74"/>
        <v>-50.9200965</v>
      </c>
      <c r="K1745" s="12"/>
    </row>
    <row r="1746" spans="1:11" s="3" customFormat="1" x14ac:dyDescent="0.25">
      <c r="A1746" s="16" t="s">
        <v>22</v>
      </c>
      <c r="B1746" s="464">
        <v>2017</v>
      </c>
      <c r="C1746" s="464">
        <v>2018</v>
      </c>
      <c r="D1746" s="464">
        <v>2019</v>
      </c>
      <c r="E1746" s="464">
        <v>2020</v>
      </c>
      <c r="F1746" s="464">
        <v>2021</v>
      </c>
      <c r="G1746" s="464">
        <v>2022</v>
      </c>
      <c r="H1746" s="464">
        <v>2023</v>
      </c>
      <c r="I1746" s="464">
        <v>2024</v>
      </c>
      <c r="J1746" s="464">
        <v>2025</v>
      </c>
      <c r="K1746" s="487">
        <v>2026</v>
      </c>
    </row>
    <row r="1747" spans="1:11" s="3" customFormat="1" x14ac:dyDescent="0.25">
      <c r="A1747" s="29" t="s">
        <v>179</v>
      </c>
      <c r="B1747" s="30"/>
      <c r="C1747" s="30"/>
      <c r="D1747" s="30"/>
      <c r="E1747" s="30"/>
      <c r="F1747" s="30"/>
      <c r="G1747" s="30"/>
      <c r="H1747" s="30"/>
      <c r="I1747" s="30"/>
      <c r="J1747" s="30"/>
      <c r="K1747" s="88"/>
    </row>
    <row r="1748" spans="1:11" s="3" customFormat="1" x14ac:dyDescent="0.25">
      <c r="A1748" s="480" t="s">
        <v>1097</v>
      </c>
      <c r="B1748" s="19"/>
      <c r="C1748" s="19"/>
      <c r="D1748" s="19"/>
      <c r="E1748" s="19"/>
      <c r="F1748" s="497"/>
      <c r="G1748" s="19"/>
      <c r="H1748" s="19"/>
      <c r="I1748" s="19"/>
      <c r="J1748" s="19"/>
      <c r="K1748" s="63"/>
    </row>
    <row r="1749" spans="1:11" s="3" customFormat="1" x14ac:dyDescent="0.25">
      <c r="A1749" s="56" t="s">
        <v>1098</v>
      </c>
      <c r="K1749" s="64"/>
    </row>
    <row r="1750" spans="1:11" s="3" customFormat="1" x14ac:dyDescent="0.25">
      <c r="A1750" s="56" t="s">
        <v>1099</v>
      </c>
      <c r="K1750" s="64"/>
    </row>
    <row r="1751" spans="1:11" s="3" customFormat="1" x14ac:dyDescent="0.25">
      <c r="A1751" s="56" t="s">
        <v>1100</v>
      </c>
      <c r="C1751" s="353"/>
      <c r="K1751" s="64"/>
    </row>
    <row r="1752" spans="1:11" s="3" customFormat="1" x14ac:dyDescent="0.25">
      <c r="A1752" s="56" t="s">
        <v>1101</v>
      </c>
      <c r="C1752" s="353"/>
      <c r="K1752" s="64"/>
    </row>
    <row r="1753" spans="1:11" s="3" customFormat="1" x14ac:dyDescent="0.25">
      <c r="A1753" s="56" t="s">
        <v>898</v>
      </c>
      <c r="C1753" s="353"/>
      <c r="K1753" s="64"/>
    </row>
    <row r="1754" spans="1:11" s="3" customFormat="1" x14ac:dyDescent="0.25">
      <c r="A1754" s="56" t="s">
        <v>899</v>
      </c>
      <c r="C1754" s="353"/>
      <c r="K1754" s="64"/>
    </row>
    <row r="1755" spans="1:11" s="3" customFormat="1" x14ac:dyDescent="0.25">
      <c r="A1755" s="56" t="s">
        <v>1029</v>
      </c>
      <c r="C1755" s="353"/>
      <c r="K1755" s="64"/>
    </row>
    <row r="1756" spans="1:11" s="3" customFormat="1" x14ac:dyDescent="0.25">
      <c r="A1756" s="498" t="s">
        <v>1135</v>
      </c>
      <c r="B1756" s="34"/>
      <c r="C1756" s="315"/>
      <c r="D1756" s="34"/>
      <c r="E1756" s="34"/>
      <c r="F1756" s="34"/>
      <c r="G1756" s="34"/>
      <c r="H1756" s="34"/>
      <c r="I1756" s="34"/>
      <c r="J1756" s="34"/>
      <c r="K1756" s="48"/>
    </row>
    <row r="1757" spans="1:11" s="3" customFormat="1" ht="13.2" customHeight="1" x14ac:dyDescent="0.25">
      <c r="B1757" s="4"/>
      <c r="C1757" s="4"/>
      <c r="D1757" s="4"/>
      <c r="E1757" s="4"/>
    </row>
    <row r="1758" spans="1:11" s="3" customFormat="1" ht="13.2" customHeight="1" x14ac:dyDescent="0.25">
      <c r="A1758" s="32"/>
      <c r="B1758" s="32"/>
      <c r="C1758" s="32"/>
      <c r="D1758" s="32"/>
      <c r="E1758" s="32"/>
      <c r="F1758" s="32"/>
      <c r="G1758" s="32"/>
    </row>
    <row r="1759" spans="1:11" s="3" customFormat="1" x14ac:dyDescent="0.25">
      <c r="A1759" s="98" t="s">
        <v>12</v>
      </c>
      <c r="B1759" s="66" t="s">
        <v>900</v>
      </c>
      <c r="C1759" s="8"/>
      <c r="D1759" s="8"/>
      <c r="E1759" s="8"/>
      <c r="F1759" s="8"/>
      <c r="G1759" s="8"/>
    </row>
    <row r="1760" spans="1:11" s="3" customFormat="1" x14ac:dyDescent="0.25">
      <c r="A1760" s="6" t="s">
        <v>14</v>
      </c>
      <c r="B1760" s="7" t="s">
        <v>74</v>
      </c>
      <c r="C1760" s="7" t="s">
        <v>152</v>
      </c>
    </row>
    <row r="1761" spans="1:11" s="3" customFormat="1" x14ac:dyDescent="0.25">
      <c r="A1761" s="41" t="s">
        <v>16</v>
      </c>
      <c r="B1761" s="276">
        <v>2016</v>
      </c>
      <c r="C1761" s="154">
        <v>2017</v>
      </c>
      <c r="D1761" s="154">
        <v>2018</v>
      </c>
      <c r="E1761" s="154">
        <v>2019</v>
      </c>
      <c r="F1761" s="154">
        <v>2020</v>
      </c>
      <c r="G1761" s="154">
        <v>2021</v>
      </c>
      <c r="H1761" s="154">
        <v>2022</v>
      </c>
      <c r="I1761" s="154">
        <v>2023</v>
      </c>
      <c r="J1761" s="154">
        <v>2024</v>
      </c>
      <c r="K1761" s="154">
        <v>2025</v>
      </c>
    </row>
    <row r="1762" spans="1:11" s="3" customFormat="1" x14ac:dyDescent="0.25">
      <c r="A1762" s="10" t="s">
        <v>17</v>
      </c>
      <c r="B1762" s="12">
        <v>45</v>
      </c>
      <c r="C1762" s="12">
        <v>45</v>
      </c>
      <c r="D1762" s="12">
        <v>45</v>
      </c>
      <c r="E1762" s="12">
        <v>45</v>
      </c>
      <c r="F1762" s="12">
        <v>37.9</v>
      </c>
      <c r="G1762" s="12">
        <v>37.9</v>
      </c>
      <c r="H1762" s="12">
        <v>37.9</v>
      </c>
      <c r="I1762" s="12">
        <v>37.9</v>
      </c>
      <c r="J1762" s="12">
        <v>37.9</v>
      </c>
      <c r="K1762" s="12">
        <v>37.9</v>
      </c>
    </row>
    <row r="1763" spans="1:11" s="3" customFormat="1" ht="15" x14ac:dyDescent="0.25">
      <c r="A1763" s="10" t="s">
        <v>18</v>
      </c>
      <c r="B1763" s="12">
        <v>16.39</v>
      </c>
      <c r="C1763" s="12">
        <f>C1762+B1766</f>
        <v>51.59</v>
      </c>
      <c r="D1763" s="12">
        <f>D1762+0.2*C1762</f>
        <v>54</v>
      </c>
      <c r="E1763" s="12">
        <f>E1762+0.2*D1762</f>
        <v>54</v>
      </c>
      <c r="F1763" s="499">
        <f>F1762+E1766</f>
        <v>4.3999999999999986</v>
      </c>
      <c r="G1763" s="499">
        <f>G1762+F1766</f>
        <v>8.3489999999999966</v>
      </c>
      <c r="H1763" s="499">
        <f>1.25*G1766+H1762</f>
        <v>-87.29249999999999</v>
      </c>
      <c r="I1763" s="499">
        <f xml:space="preserve"> 1.25*H1766+I1762</f>
        <v>-165.110625</v>
      </c>
      <c r="J1763" s="499">
        <f xml:space="preserve"> 1.25*I1766+J1762</f>
        <v>-263.47578125000001</v>
      </c>
      <c r="K1763" s="499">
        <f xml:space="preserve"> 1.25*J1766+K1762</f>
        <v>-327.19472656250008</v>
      </c>
    </row>
    <row r="1764" spans="1:11" s="3" customFormat="1" x14ac:dyDescent="0.25">
      <c r="A1764" s="10" t="s">
        <v>19</v>
      </c>
      <c r="B1764" s="156"/>
      <c r="C1764" s="156" t="s">
        <v>399</v>
      </c>
      <c r="D1764" s="156" t="s">
        <v>400</v>
      </c>
      <c r="E1764" s="156" t="s">
        <v>401</v>
      </c>
      <c r="F1764" s="156" t="s">
        <v>402</v>
      </c>
      <c r="G1764" s="156" t="s">
        <v>566</v>
      </c>
      <c r="H1764" s="156" t="s">
        <v>604</v>
      </c>
      <c r="I1764" s="156" t="s">
        <v>625</v>
      </c>
      <c r="J1764" s="156" t="s">
        <v>785</v>
      </c>
      <c r="K1764" s="156" t="s">
        <v>1002</v>
      </c>
    </row>
    <row r="1765" spans="1:11" s="3" customFormat="1" ht="15" x14ac:dyDescent="0.25">
      <c r="A1765" s="10" t="s">
        <v>20</v>
      </c>
      <c r="B1765" s="156">
        <v>9.8000000000000007</v>
      </c>
      <c r="C1765" s="156">
        <v>12.6</v>
      </c>
      <c r="D1765" s="500">
        <v>5</v>
      </c>
      <c r="E1765" s="500">
        <v>87.5</v>
      </c>
      <c r="F1765" s="500">
        <v>33.951000000000001</v>
      </c>
      <c r="G1765" s="500">
        <v>108.503</v>
      </c>
      <c r="H1765" s="500">
        <v>75.116</v>
      </c>
      <c r="I1765" s="500">
        <v>75.989999999999995</v>
      </c>
      <c r="J1765" s="500">
        <v>28.6</v>
      </c>
      <c r="K1765" s="156"/>
    </row>
    <row r="1766" spans="1:11" s="3" customFormat="1" ht="15" x14ac:dyDescent="0.25">
      <c r="A1766" s="10" t="s">
        <v>21</v>
      </c>
      <c r="B1766" s="12">
        <f t="shared" ref="B1766:J1766" si="75">B1763-B1765</f>
        <v>6.59</v>
      </c>
      <c r="C1766" s="12">
        <f t="shared" si="75"/>
        <v>38.99</v>
      </c>
      <c r="D1766" s="12">
        <f t="shared" si="75"/>
        <v>49</v>
      </c>
      <c r="E1766" s="499">
        <f t="shared" si="75"/>
        <v>-33.5</v>
      </c>
      <c r="F1766" s="499">
        <f t="shared" si="75"/>
        <v>-29.551000000000002</v>
      </c>
      <c r="G1766" s="499">
        <f t="shared" si="75"/>
        <v>-100.154</v>
      </c>
      <c r="H1766" s="499">
        <f t="shared" si="75"/>
        <v>-162.4085</v>
      </c>
      <c r="I1766" s="499">
        <f t="shared" si="75"/>
        <v>-241.10062499999998</v>
      </c>
      <c r="J1766" s="499">
        <f t="shared" si="75"/>
        <v>-292.07578125000003</v>
      </c>
      <c r="K1766" s="12"/>
    </row>
    <row r="1767" spans="1:11" s="3" customFormat="1" x14ac:dyDescent="0.25">
      <c r="A1767" s="18" t="s">
        <v>22</v>
      </c>
      <c r="B1767" s="654">
        <v>2017</v>
      </c>
      <c r="C1767" s="654">
        <v>2018</v>
      </c>
      <c r="D1767" s="654">
        <v>2019</v>
      </c>
      <c r="E1767" s="654">
        <v>2020</v>
      </c>
      <c r="F1767" s="654">
        <v>2021</v>
      </c>
      <c r="G1767" s="654">
        <v>2022</v>
      </c>
      <c r="H1767" s="654">
        <v>2023</v>
      </c>
      <c r="I1767" s="654">
        <v>2024</v>
      </c>
      <c r="J1767" s="654">
        <v>2025</v>
      </c>
      <c r="K1767" s="654">
        <v>2026</v>
      </c>
    </row>
    <row r="1768" spans="1:11" s="3" customFormat="1" x14ac:dyDescent="0.25">
      <c r="A1768" s="18" t="s">
        <v>179</v>
      </c>
      <c r="B1768" s="19"/>
      <c r="C1768" s="19"/>
      <c r="D1768" s="19"/>
      <c r="E1768" s="19"/>
      <c r="F1768" s="19"/>
      <c r="G1768" s="19"/>
      <c r="H1768" s="19"/>
      <c r="I1768" s="19"/>
      <c r="J1768" s="19"/>
      <c r="K1768" s="63"/>
    </row>
    <row r="1769" spans="1:11" s="3" customFormat="1" x14ac:dyDescent="0.25">
      <c r="A1769" s="56" t="s">
        <v>403</v>
      </c>
      <c r="F1769" s="270"/>
      <c r="K1769" s="64"/>
    </row>
    <row r="1770" spans="1:11" s="3" customFormat="1" x14ac:dyDescent="0.25">
      <c r="A1770" s="56" t="s">
        <v>901</v>
      </c>
      <c r="K1770" s="64"/>
    </row>
    <row r="1771" spans="1:11" s="3" customFormat="1" x14ac:dyDescent="0.25">
      <c r="A1771" s="56" t="s">
        <v>902</v>
      </c>
      <c r="K1771" s="64"/>
    </row>
    <row r="1772" spans="1:11" s="3" customFormat="1" x14ac:dyDescent="0.25">
      <c r="A1772" s="56" t="s">
        <v>565</v>
      </c>
      <c r="C1772" s="353"/>
      <c r="K1772" s="64"/>
    </row>
    <row r="1773" spans="1:11" s="3" customFormat="1" x14ac:dyDescent="0.25">
      <c r="A1773" s="56" t="s">
        <v>567</v>
      </c>
      <c r="C1773" s="353"/>
      <c r="K1773" s="64"/>
    </row>
    <row r="1774" spans="1:11" s="3" customFormat="1" x14ac:dyDescent="0.25">
      <c r="A1774" s="56" t="s">
        <v>898</v>
      </c>
      <c r="C1774" s="353"/>
      <c r="K1774" s="64"/>
    </row>
    <row r="1775" spans="1:11" s="3" customFormat="1" x14ac:dyDescent="0.25">
      <c r="A1775" s="56" t="s">
        <v>899</v>
      </c>
      <c r="C1775" s="353"/>
      <c r="K1775" s="64"/>
    </row>
    <row r="1776" spans="1:11" s="3" customFormat="1" x14ac:dyDescent="0.25">
      <c r="A1776" s="56" t="s">
        <v>1029</v>
      </c>
      <c r="C1776" s="353"/>
      <c r="K1776" s="64"/>
    </row>
    <row r="1777" spans="1:11" s="3" customFormat="1" x14ac:dyDescent="0.25">
      <c r="A1777" s="314" t="s">
        <v>1135</v>
      </c>
      <c r="B1777" s="34"/>
      <c r="C1777" s="315"/>
      <c r="D1777" s="34"/>
      <c r="E1777" s="34"/>
      <c r="F1777" s="34"/>
      <c r="G1777" s="34"/>
      <c r="H1777" s="34"/>
      <c r="I1777" s="34"/>
      <c r="J1777" s="34"/>
      <c r="K1777" s="48"/>
    </row>
    <row r="1778" spans="1:11" s="3" customFormat="1" x14ac:dyDescent="0.25">
      <c r="A1778" s="49"/>
      <c r="C1778" s="353"/>
    </row>
    <row r="1779" spans="1:11" s="3" customFormat="1" x14ac:dyDescent="0.25">
      <c r="A1779" s="6" t="s">
        <v>14</v>
      </c>
      <c r="B1779" s="7" t="s">
        <v>79</v>
      </c>
      <c r="C1779" s="7" t="s">
        <v>152</v>
      </c>
    </row>
    <row r="1780" spans="1:11" s="3" customFormat="1" x14ac:dyDescent="0.25">
      <c r="A1780" s="41" t="s">
        <v>16</v>
      </c>
      <c r="B1780" s="276">
        <v>2016</v>
      </c>
      <c r="C1780" s="154">
        <v>2017</v>
      </c>
      <c r="D1780" s="154">
        <v>2018</v>
      </c>
      <c r="E1780" s="154">
        <v>2019</v>
      </c>
      <c r="F1780" s="154">
        <v>2020</v>
      </c>
      <c r="G1780" s="154">
        <v>2021</v>
      </c>
      <c r="H1780" s="154">
        <v>2022</v>
      </c>
      <c r="I1780" s="154">
        <v>2023</v>
      </c>
      <c r="J1780" s="154">
        <v>2024</v>
      </c>
      <c r="K1780" s="154">
        <v>2025</v>
      </c>
    </row>
    <row r="1781" spans="1:11" s="3" customFormat="1" x14ac:dyDescent="0.25">
      <c r="A1781" s="10" t="s">
        <v>17</v>
      </c>
      <c r="B1781" s="12">
        <v>20</v>
      </c>
      <c r="C1781" s="12">
        <v>20</v>
      </c>
      <c r="D1781" s="12">
        <v>20</v>
      </c>
      <c r="E1781" s="12">
        <v>20</v>
      </c>
      <c r="F1781" s="12">
        <v>20</v>
      </c>
      <c r="G1781" s="12">
        <v>20</v>
      </c>
      <c r="H1781" s="12">
        <v>20</v>
      </c>
      <c r="I1781" s="12">
        <v>20</v>
      </c>
      <c r="J1781" s="12">
        <v>20</v>
      </c>
      <c r="K1781" s="12">
        <v>20</v>
      </c>
    </row>
    <row r="1782" spans="1:11" s="3" customFormat="1" ht="15" x14ac:dyDescent="0.25">
      <c r="A1782" s="10" t="s">
        <v>18</v>
      </c>
      <c r="B1782" s="12">
        <v>24</v>
      </c>
      <c r="C1782" s="12">
        <f>C1781+0.2*B1781</f>
        <v>24</v>
      </c>
      <c r="D1782" s="12">
        <f>D1781+0.2*C1781</f>
        <v>24</v>
      </c>
      <c r="E1782" s="499">
        <f>E1781+0.2*D1781</f>
        <v>24</v>
      </c>
      <c r="F1782" s="499">
        <f>F1781+0.2*E1781</f>
        <v>24</v>
      </c>
      <c r="G1782" s="499"/>
      <c r="H1782" s="499">
        <f>H1781+G1785</f>
        <v>19.587</v>
      </c>
      <c r="I1782" s="499">
        <f xml:space="preserve"> 1.25*H1785+I1781</f>
        <v>11.083750000000002</v>
      </c>
      <c r="J1782" s="499">
        <f xml:space="preserve"> 1.25*I1785+J1781</f>
        <v>-2.0312499999999289E-2</v>
      </c>
      <c r="K1782" s="499">
        <f xml:space="preserve"> 1.25*J1785+K1781</f>
        <v>-1.025390625</v>
      </c>
    </row>
    <row r="1783" spans="1:11" s="3" customFormat="1" x14ac:dyDescent="0.25">
      <c r="A1783" s="10" t="s">
        <v>19</v>
      </c>
      <c r="B1783" s="156"/>
      <c r="C1783" s="156" t="s">
        <v>399</v>
      </c>
      <c r="D1783" s="156" t="s">
        <v>400</v>
      </c>
      <c r="E1783" s="156" t="s">
        <v>401</v>
      </c>
      <c r="F1783" s="156" t="s">
        <v>402</v>
      </c>
      <c r="G1783" s="156" t="s">
        <v>566</v>
      </c>
      <c r="H1783" s="156" t="s">
        <v>604</v>
      </c>
      <c r="I1783" s="156" t="s">
        <v>625</v>
      </c>
      <c r="J1783" s="156" t="s">
        <v>785</v>
      </c>
      <c r="K1783" s="156" t="s">
        <v>1002</v>
      </c>
    </row>
    <row r="1784" spans="1:11" s="3" customFormat="1" ht="15" x14ac:dyDescent="0.25">
      <c r="A1784" s="10" t="s">
        <v>20</v>
      </c>
      <c r="B1784" s="156">
        <v>15</v>
      </c>
      <c r="C1784" s="156">
        <v>13</v>
      </c>
      <c r="D1784" s="500">
        <v>1.125</v>
      </c>
      <c r="E1784" s="500">
        <v>9.5559999999999992</v>
      </c>
      <c r="F1784" s="500">
        <v>10.503</v>
      </c>
      <c r="G1784" s="500">
        <v>20.413</v>
      </c>
      <c r="H1784" s="500">
        <v>26.72</v>
      </c>
      <c r="I1784" s="499">
        <v>27.1</v>
      </c>
      <c r="J1784" s="500">
        <v>16.8</v>
      </c>
      <c r="K1784" s="156"/>
    </row>
    <row r="1785" spans="1:11" s="3" customFormat="1" ht="15" x14ac:dyDescent="0.25">
      <c r="A1785" s="10" t="s">
        <v>21</v>
      </c>
      <c r="B1785" s="12">
        <f>B1782-B1784</f>
        <v>9</v>
      </c>
      <c r="C1785" s="12">
        <f>C1782-C1784</f>
        <v>11</v>
      </c>
      <c r="D1785" s="499">
        <f>D1782-D1784</f>
        <v>22.875</v>
      </c>
      <c r="E1785" s="499">
        <f>E1782-E1784</f>
        <v>14.444000000000001</v>
      </c>
      <c r="F1785" s="499">
        <f>F1782-F1784</f>
        <v>13.497</v>
      </c>
      <c r="G1785" s="499">
        <f>G1781-G1784</f>
        <v>-0.41300000000000026</v>
      </c>
      <c r="H1785" s="499">
        <f>H1782-H1784</f>
        <v>-7.1329999999999991</v>
      </c>
      <c r="I1785" s="499">
        <f>I1782-I1784</f>
        <v>-16.016249999999999</v>
      </c>
      <c r="J1785" s="499">
        <f>J1782-J1784</f>
        <v>-16.8203125</v>
      </c>
      <c r="K1785" s="12"/>
    </row>
    <row r="1786" spans="1:11" s="3" customFormat="1" x14ac:dyDescent="0.25">
      <c r="A1786" s="18" t="s">
        <v>22</v>
      </c>
      <c r="B1786" s="654">
        <v>2017</v>
      </c>
      <c r="C1786" s="654">
        <v>2018</v>
      </c>
      <c r="D1786" s="654">
        <v>2019</v>
      </c>
      <c r="E1786" s="654">
        <v>2020</v>
      </c>
      <c r="F1786" s="654">
        <v>2021</v>
      </c>
      <c r="G1786" s="654">
        <v>2022</v>
      </c>
      <c r="H1786" s="654">
        <v>2023</v>
      </c>
      <c r="I1786" s="654">
        <v>2024</v>
      </c>
      <c r="J1786" s="654">
        <v>2025</v>
      </c>
      <c r="K1786" s="654">
        <v>2026</v>
      </c>
    </row>
    <row r="1787" spans="1:11" s="3" customFormat="1" x14ac:dyDescent="0.25">
      <c r="A1787" s="18" t="s">
        <v>179</v>
      </c>
      <c r="B1787" s="19"/>
      <c r="C1787" s="19"/>
      <c r="D1787" s="19"/>
      <c r="E1787" s="19"/>
      <c r="F1787" s="19"/>
      <c r="G1787" s="19"/>
      <c r="H1787" s="19"/>
      <c r="I1787" s="19"/>
      <c r="J1787" s="19"/>
      <c r="K1787" s="63"/>
    </row>
    <row r="1788" spans="1:11" s="3" customFormat="1" x14ac:dyDescent="0.25">
      <c r="A1788" s="56" t="s">
        <v>903</v>
      </c>
      <c r="F1788" s="270"/>
      <c r="K1788" s="64"/>
    </row>
    <row r="1789" spans="1:11" s="3" customFormat="1" x14ac:dyDescent="0.25">
      <c r="A1789" s="56" t="s">
        <v>901</v>
      </c>
      <c r="K1789" s="64"/>
    </row>
    <row r="1790" spans="1:11" s="3" customFormat="1" x14ac:dyDescent="0.25">
      <c r="A1790" s="56" t="s">
        <v>902</v>
      </c>
      <c r="K1790" s="64"/>
    </row>
    <row r="1791" spans="1:11" s="3" customFormat="1" x14ac:dyDescent="0.25">
      <c r="A1791" s="56" t="s">
        <v>904</v>
      </c>
      <c r="C1791" s="353"/>
      <c r="K1791" s="64"/>
    </row>
    <row r="1792" spans="1:11" s="3" customFormat="1" x14ac:dyDescent="0.25">
      <c r="A1792" s="56" t="s">
        <v>905</v>
      </c>
      <c r="C1792" s="353"/>
      <c r="K1792" s="64"/>
    </row>
    <row r="1793" spans="1:11" s="3" customFormat="1" x14ac:dyDescent="0.25">
      <c r="A1793" s="56" t="s">
        <v>605</v>
      </c>
      <c r="C1793" s="353"/>
      <c r="K1793" s="64"/>
    </row>
    <row r="1794" spans="1:11" s="3" customFormat="1" x14ac:dyDescent="0.25">
      <c r="A1794" s="56" t="s">
        <v>899</v>
      </c>
      <c r="C1794" s="353"/>
      <c r="K1794" s="64"/>
    </row>
    <row r="1795" spans="1:11" s="3" customFormat="1" x14ac:dyDescent="0.25">
      <c r="A1795" s="56" t="s">
        <v>1029</v>
      </c>
      <c r="C1795" s="353"/>
      <c r="K1795" s="64"/>
    </row>
    <row r="1796" spans="1:11" s="3" customFormat="1" x14ac:dyDescent="0.25">
      <c r="A1796" s="56" t="s">
        <v>1135</v>
      </c>
      <c r="B1796" s="34"/>
      <c r="C1796" s="315"/>
      <c r="D1796" s="34"/>
      <c r="E1796" s="34"/>
      <c r="F1796" s="34"/>
      <c r="G1796" s="34"/>
      <c r="H1796" s="34"/>
      <c r="I1796" s="34"/>
      <c r="J1796" s="34"/>
      <c r="K1796" s="48"/>
    </row>
    <row r="1797" spans="1:11" s="3" customFormat="1" x14ac:dyDescent="0.25"/>
    <row r="1798" spans="1:11" s="3" customFormat="1" x14ac:dyDescent="0.25">
      <c r="A1798" s="6" t="s">
        <v>11</v>
      </c>
      <c r="B1798" s="7" t="s">
        <v>217</v>
      </c>
      <c r="C1798" s="8"/>
    </row>
    <row r="1799" spans="1:11" s="3" customFormat="1" x14ac:dyDescent="0.25">
      <c r="A1799" s="6" t="s">
        <v>1</v>
      </c>
      <c r="B1799" s="7" t="s">
        <v>623</v>
      </c>
      <c r="C1799" s="9" t="s">
        <v>2</v>
      </c>
    </row>
    <row r="1800" spans="1:11" s="3" customFormat="1" x14ac:dyDescent="0.25">
      <c r="A1800" s="10" t="s">
        <v>3</v>
      </c>
      <c r="B1800" s="11"/>
      <c r="C1800" s="154">
        <v>2018</v>
      </c>
      <c r="D1800" s="172">
        <v>2019</v>
      </c>
      <c r="E1800" s="154">
        <v>2020</v>
      </c>
      <c r="F1800" s="154">
        <v>2021</v>
      </c>
      <c r="G1800" s="154">
        <v>2022</v>
      </c>
      <c r="H1800" s="154">
        <v>2023</v>
      </c>
      <c r="I1800" s="154">
        <v>2024</v>
      </c>
      <c r="J1800" s="154">
        <v>2025</v>
      </c>
    </row>
    <row r="1801" spans="1:11" s="3" customFormat="1" x14ac:dyDescent="0.25">
      <c r="A1801" s="10" t="s">
        <v>4</v>
      </c>
      <c r="B1801" s="11"/>
      <c r="C1801" s="12">
        <v>250</v>
      </c>
      <c r="D1801" s="188">
        <v>250</v>
      </c>
      <c r="E1801" s="12">
        <v>250</v>
      </c>
      <c r="F1801" s="189">
        <v>250</v>
      </c>
      <c r="G1801" s="189">
        <v>250</v>
      </c>
      <c r="H1801" s="189">
        <v>250</v>
      </c>
      <c r="I1801" s="189">
        <v>250</v>
      </c>
      <c r="J1801" s="189">
        <v>250</v>
      </c>
    </row>
    <row r="1802" spans="1:11" s="3" customFormat="1" x14ac:dyDescent="0.25">
      <c r="A1802" s="10" t="s">
        <v>5</v>
      </c>
      <c r="B1802" s="11"/>
      <c r="C1802" s="12">
        <v>200</v>
      </c>
      <c r="D1802" s="12">
        <v>225</v>
      </c>
      <c r="E1802" s="12">
        <f>E1803</f>
        <v>225</v>
      </c>
      <c r="F1802" s="189">
        <f>F1803</f>
        <v>200</v>
      </c>
      <c r="G1802" s="189">
        <f>G1803</f>
        <v>200</v>
      </c>
      <c r="H1802" s="189">
        <f>H1803</f>
        <v>225</v>
      </c>
      <c r="I1802" s="189">
        <f>I1803</f>
        <v>225</v>
      </c>
      <c r="J1802" s="189">
        <v>325</v>
      </c>
    </row>
    <row r="1803" spans="1:11" s="3" customFormat="1" x14ac:dyDescent="0.25">
      <c r="A1803" s="10" t="s">
        <v>6</v>
      </c>
      <c r="B1803" s="11"/>
      <c r="C1803" s="12">
        <v>200</v>
      </c>
      <c r="D1803" s="12">
        <v>225</v>
      </c>
      <c r="E1803" s="12">
        <f>1.4*E1801-125</f>
        <v>225</v>
      </c>
      <c r="F1803" s="189">
        <f>F1801+0.4*E1801-150</f>
        <v>200</v>
      </c>
      <c r="G1803" s="189">
        <f>G1801+0.4*F1801-150</f>
        <v>200</v>
      </c>
      <c r="H1803" s="189">
        <f>H1801+0.4*G1801-125</f>
        <v>225</v>
      </c>
      <c r="I1803" s="189">
        <f>I1801+0.4*H1801-125</f>
        <v>225</v>
      </c>
      <c r="J1803" s="189"/>
    </row>
    <row r="1804" spans="1:11" s="3" customFormat="1" x14ac:dyDescent="0.25">
      <c r="A1804" s="10" t="s">
        <v>7</v>
      </c>
      <c r="B1804" s="11"/>
      <c r="C1804" s="12">
        <v>43.54</v>
      </c>
      <c r="D1804" s="12">
        <v>13.63</v>
      </c>
      <c r="E1804" s="12">
        <v>10</v>
      </c>
      <c r="F1804" s="189">
        <v>20</v>
      </c>
      <c r="G1804" s="189">
        <v>0</v>
      </c>
      <c r="H1804" s="189">
        <v>54.02</v>
      </c>
      <c r="I1804" s="189">
        <v>16.52</v>
      </c>
      <c r="J1804" s="90"/>
    </row>
    <row r="1805" spans="1:11" s="3" customFormat="1" x14ac:dyDescent="0.25">
      <c r="A1805" s="10" t="s">
        <v>8</v>
      </c>
      <c r="B1805" s="11"/>
      <c r="C1805" s="12">
        <v>156.46</v>
      </c>
      <c r="D1805" s="188">
        <v>211.37</v>
      </c>
      <c r="E1805" s="12">
        <f>E1802-E1804</f>
        <v>215</v>
      </c>
      <c r="F1805" s="189">
        <f>F1802-F1804</f>
        <v>180</v>
      </c>
      <c r="G1805" s="189">
        <f>G1802-G1804</f>
        <v>200</v>
      </c>
      <c r="H1805" s="189">
        <f>H1802-H1804</f>
        <v>170.98</v>
      </c>
      <c r="I1805" s="189">
        <f>I1802-I1804</f>
        <v>208.48</v>
      </c>
      <c r="J1805" s="90"/>
    </row>
    <row r="1806" spans="1:11" s="3" customFormat="1" x14ac:dyDescent="0.25">
      <c r="A1806" s="16" t="s">
        <v>9</v>
      </c>
      <c r="B1806" s="17"/>
      <c r="C1806" s="159">
        <v>2019</v>
      </c>
      <c r="D1806" s="178">
        <v>2020</v>
      </c>
      <c r="E1806" s="159">
        <v>2021</v>
      </c>
      <c r="F1806" s="47">
        <v>2022</v>
      </c>
      <c r="G1806" s="47">
        <v>2023</v>
      </c>
      <c r="H1806" s="47">
        <v>2024</v>
      </c>
      <c r="I1806" s="47">
        <v>2025</v>
      </c>
      <c r="J1806" s="90"/>
    </row>
    <row r="1807" spans="1:11" s="3" customFormat="1" x14ac:dyDescent="0.25">
      <c r="A1807" s="18" t="s">
        <v>164</v>
      </c>
      <c r="B1807" s="19"/>
      <c r="C1807" s="19"/>
      <c r="D1807" s="19"/>
      <c r="E1807" s="19"/>
      <c r="F1807" s="19"/>
      <c r="G1807" s="19"/>
      <c r="H1807" s="19"/>
      <c r="I1807" s="19"/>
      <c r="J1807" s="63"/>
    </row>
    <row r="1808" spans="1:11" s="3" customFormat="1" x14ac:dyDescent="0.25">
      <c r="A1808" s="39" t="s">
        <v>218</v>
      </c>
      <c r="J1808" s="64"/>
    </row>
    <row r="1809" spans="1:10" s="3" customFormat="1" x14ac:dyDescent="0.25">
      <c r="A1809" s="39" t="s">
        <v>513</v>
      </c>
      <c r="J1809" s="64"/>
    </row>
    <row r="1810" spans="1:10" s="3" customFormat="1" ht="13.2" customHeight="1" x14ac:dyDescent="0.25">
      <c r="A1810" s="161" t="s">
        <v>514</v>
      </c>
      <c r="B1810" s="123"/>
      <c r="C1810" s="123"/>
      <c r="D1810" s="123"/>
      <c r="E1810" s="123"/>
      <c r="F1810" s="123"/>
      <c r="G1810" s="123"/>
      <c r="H1810" s="123"/>
      <c r="I1810" s="123"/>
      <c r="J1810" s="64"/>
    </row>
    <row r="1811" spans="1:10" s="3" customFormat="1" x14ac:dyDescent="0.25">
      <c r="A1811" s="161" t="s">
        <v>515</v>
      </c>
      <c r="B1811" s="32"/>
      <c r="C1811" s="32"/>
      <c r="D1811" s="32"/>
      <c r="E1811" s="32"/>
      <c r="F1811" s="32"/>
      <c r="G1811" s="32"/>
      <c r="H1811" s="32"/>
      <c r="I1811" s="32"/>
      <c r="J1811" s="64"/>
    </row>
    <row r="1812" spans="1:10" s="3" customFormat="1" x14ac:dyDescent="0.25">
      <c r="A1812" s="39" t="s">
        <v>516</v>
      </c>
      <c r="B1812" s="32"/>
      <c r="C1812" s="32"/>
      <c r="D1812" s="32"/>
      <c r="E1812" s="32"/>
      <c r="F1812" s="32"/>
      <c r="G1812" s="32"/>
      <c r="H1812" s="32"/>
      <c r="I1812" s="32"/>
      <c r="J1812" s="64"/>
    </row>
    <row r="1813" spans="1:10" s="3" customFormat="1" x14ac:dyDescent="0.25">
      <c r="A1813" s="39" t="s">
        <v>846</v>
      </c>
      <c r="B1813" s="32"/>
      <c r="C1813" s="32"/>
      <c r="D1813" s="32"/>
      <c r="E1813" s="32"/>
      <c r="F1813" s="32"/>
      <c r="G1813" s="32"/>
      <c r="H1813" s="32"/>
      <c r="I1813" s="32"/>
      <c r="J1813" s="64"/>
    </row>
    <row r="1814" spans="1:10" s="3" customFormat="1" x14ac:dyDescent="0.25">
      <c r="A1814" s="39" t="s">
        <v>847</v>
      </c>
      <c r="B1814" s="32"/>
      <c r="C1814" s="32"/>
      <c r="D1814" s="32"/>
      <c r="E1814" s="32"/>
      <c r="F1814" s="32"/>
      <c r="G1814" s="32"/>
      <c r="H1814" s="32"/>
      <c r="I1814" s="32"/>
      <c r="J1814" s="64"/>
    </row>
    <row r="1815" spans="1:10" s="3" customFormat="1" x14ac:dyDescent="0.25">
      <c r="A1815" s="39" t="s">
        <v>1061</v>
      </c>
      <c r="B1815" s="32"/>
      <c r="C1815" s="32"/>
      <c r="D1815" s="32"/>
      <c r="E1815" s="32"/>
      <c r="F1815" s="32"/>
      <c r="G1815" s="32"/>
      <c r="H1815" s="32"/>
      <c r="I1815" s="32"/>
      <c r="J1815" s="64"/>
    </row>
    <row r="1816" spans="1:10" s="3" customFormat="1" ht="13.2" customHeight="1" x14ac:dyDescent="0.25">
      <c r="A1816" s="42" t="s">
        <v>1210</v>
      </c>
      <c r="B1816" s="43"/>
      <c r="C1816" s="43"/>
      <c r="D1816" s="43"/>
      <c r="E1816" s="43"/>
      <c r="F1816" s="43"/>
      <c r="G1816" s="34"/>
      <c r="H1816" s="34"/>
      <c r="I1816" s="34"/>
      <c r="J1816" s="48"/>
    </row>
    <row r="1817" spans="1:10" s="3" customFormat="1" x14ac:dyDescent="0.25"/>
    <row r="1818" spans="1:10" s="3" customFormat="1" x14ac:dyDescent="0.25">
      <c r="A1818" s="6" t="s">
        <v>1</v>
      </c>
      <c r="B1818" s="7" t="s">
        <v>641</v>
      </c>
      <c r="C1818" s="9" t="s">
        <v>2</v>
      </c>
    </row>
    <row r="1819" spans="1:10" s="3" customFormat="1" x14ac:dyDescent="0.25">
      <c r="A1819" s="10" t="s">
        <v>3</v>
      </c>
      <c r="B1819" s="11"/>
      <c r="C1819" s="154">
        <v>2018</v>
      </c>
      <c r="D1819" s="172">
        <v>2019</v>
      </c>
      <c r="E1819" s="154">
        <v>2020</v>
      </c>
      <c r="F1819" s="154">
        <v>2021</v>
      </c>
      <c r="G1819" s="154">
        <v>2022</v>
      </c>
      <c r="H1819" s="154">
        <v>2023</v>
      </c>
      <c r="I1819" s="154">
        <v>2024</v>
      </c>
      <c r="J1819" s="501">
        <v>2025</v>
      </c>
    </row>
    <row r="1820" spans="1:10" s="3" customFormat="1" x14ac:dyDescent="0.25">
      <c r="A1820" s="10" t="s">
        <v>4</v>
      </c>
      <c r="B1820" s="11"/>
      <c r="C1820" s="12">
        <v>417</v>
      </c>
      <c r="D1820" s="12">
        <v>417</v>
      </c>
      <c r="E1820" s="12">
        <v>417</v>
      </c>
      <c r="F1820" s="12">
        <v>417</v>
      </c>
      <c r="G1820" s="12">
        <v>417</v>
      </c>
      <c r="H1820" s="12">
        <v>417</v>
      </c>
      <c r="I1820" s="12">
        <v>417</v>
      </c>
      <c r="J1820" s="90">
        <v>417</v>
      </c>
    </row>
    <row r="1821" spans="1:10" s="3" customFormat="1" x14ac:dyDescent="0.25">
      <c r="A1821" s="10" t="s">
        <v>5</v>
      </c>
      <c r="B1821" s="11"/>
      <c r="C1821" s="12">
        <v>500.4</v>
      </c>
      <c r="D1821" s="12">
        <v>500.4</v>
      </c>
      <c r="E1821" s="12">
        <f>E1822</f>
        <v>500.4</v>
      </c>
      <c r="F1821" s="12">
        <v>500.4</v>
      </c>
      <c r="G1821" s="12">
        <v>500.4</v>
      </c>
      <c r="H1821" s="12">
        <f>H1822</f>
        <v>458.7</v>
      </c>
      <c r="I1821" s="12">
        <f>I1822</f>
        <v>458.7</v>
      </c>
      <c r="J1821" s="90">
        <v>458.7</v>
      </c>
    </row>
    <row r="1822" spans="1:10" s="3" customFormat="1" x14ac:dyDescent="0.25">
      <c r="A1822" s="10" t="s">
        <v>6</v>
      </c>
      <c r="B1822" s="11"/>
      <c r="C1822" s="12">
        <v>500.4</v>
      </c>
      <c r="D1822" s="12">
        <v>500.4</v>
      </c>
      <c r="E1822" s="12">
        <f>1.2*E1820</f>
        <v>500.4</v>
      </c>
      <c r="F1822" s="12">
        <v>500.4</v>
      </c>
      <c r="G1822" s="12">
        <v>500.4</v>
      </c>
      <c r="H1822" s="12">
        <f>H1820+0.1*G1820</f>
        <v>458.7</v>
      </c>
      <c r="I1822" s="12">
        <f>I1820+0.1*H1820</f>
        <v>458.7</v>
      </c>
      <c r="J1822" s="90"/>
    </row>
    <row r="1823" spans="1:10" s="3" customFormat="1" x14ac:dyDescent="0.25">
      <c r="A1823" s="10" t="s">
        <v>7</v>
      </c>
      <c r="B1823" s="11"/>
      <c r="C1823" s="12">
        <v>92.8</v>
      </c>
      <c r="D1823" s="12">
        <v>166.9</v>
      </c>
      <c r="E1823" s="12">
        <v>0</v>
      </c>
      <c r="F1823" s="12">
        <v>0</v>
      </c>
      <c r="G1823" s="12">
        <v>0</v>
      </c>
      <c r="H1823" s="12">
        <v>0</v>
      </c>
      <c r="I1823" s="12">
        <v>0</v>
      </c>
      <c r="J1823" s="90"/>
    </row>
    <row r="1824" spans="1:10" s="3" customFormat="1" x14ac:dyDescent="0.25">
      <c r="A1824" s="10" t="s">
        <v>8</v>
      </c>
      <c r="B1824" s="11"/>
      <c r="C1824" s="12">
        <v>407.59999999999997</v>
      </c>
      <c r="D1824" s="12">
        <f t="shared" ref="D1824:I1824" si="76">D1821-D1823</f>
        <v>333.5</v>
      </c>
      <c r="E1824" s="12">
        <f t="shared" si="76"/>
        <v>500.4</v>
      </c>
      <c r="F1824" s="12">
        <f t="shared" si="76"/>
        <v>500.4</v>
      </c>
      <c r="G1824" s="12">
        <f t="shared" si="76"/>
        <v>500.4</v>
      </c>
      <c r="H1824" s="12">
        <f t="shared" si="76"/>
        <v>458.7</v>
      </c>
      <c r="I1824" s="12">
        <f t="shared" si="76"/>
        <v>458.7</v>
      </c>
      <c r="J1824" s="90"/>
    </row>
    <row r="1825" spans="1:15" s="3" customFormat="1" x14ac:dyDescent="0.25">
      <c r="A1825" s="16" t="s">
        <v>9</v>
      </c>
      <c r="B1825" s="17"/>
      <c r="C1825" s="159">
        <v>2019</v>
      </c>
      <c r="D1825" s="178">
        <v>2020</v>
      </c>
      <c r="E1825" s="159">
        <v>2021</v>
      </c>
      <c r="F1825" s="179">
        <v>2022</v>
      </c>
      <c r="G1825" s="179">
        <v>2023</v>
      </c>
      <c r="H1825" s="179">
        <v>2024</v>
      </c>
      <c r="I1825" s="179">
        <v>2025</v>
      </c>
      <c r="J1825" s="180">
        <v>2026</v>
      </c>
    </row>
    <row r="1826" spans="1:15" s="3" customFormat="1" x14ac:dyDescent="0.25">
      <c r="A1826" s="18" t="s">
        <v>164</v>
      </c>
      <c r="B1826" s="19"/>
      <c r="C1826" s="19"/>
      <c r="D1826" s="19"/>
      <c r="E1826" s="19"/>
      <c r="F1826" s="19"/>
      <c r="G1826" s="19"/>
      <c r="H1826" s="19"/>
      <c r="I1826" s="19"/>
      <c r="J1826" s="63"/>
    </row>
    <row r="1827" spans="1:15" s="3" customFormat="1" x14ac:dyDescent="0.25">
      <c r="A1827" s="39" t="s">
        <v>218</v>
      </c>
      <c r="J1827" s="64"/>
    </row>
    <row r="1828" spans="1:15" s="123" customFormat="1" ht="12.75" customHeight="1" x14ac:dyDescent="0.25">
      <c r="A1828" s="39" t="s">
        <v>219</v>
      </c>
      <c r="B1828" s="3"/>
      <c r="C1828" s="3"/>
      <c r="D1828" s="3"/>
      <c r="E1828" s="3"/>
      <c r="F1828" s="3"/>
      <c r="J1828" s="502"/>
    </row>
    <row r="1829" spans="1:15" s="123" customFormat="1" ht="12.75" customHeight="1" x14ac:dyDescent="0.25">
      <c r="A1829" s="39" t="s">
        <v>315</v>
      </c>
      <c r="B1829" s="3"/>
      <c r="C1829" s="3"/>
      <c r="D1829" s="3"/>
      <c r="E1829" s="3"/>
      <c r="F1829" s="3"/>
      <c r="J1829" s="502"/>
    </row>
    <row r="1830" spans="1:15" s="123" customFormat="1" ht="12.75" customHeight="1" x14ac:dyDescent="0.25">
      <c r="A1830" s="39" t="s">
        <v>699</v>
      </c>
      <c r="B1830" s="3"/>
      <c r="C1830" s="3"/>
      <c r="D1830" s="3"/>
      <c r="E1830" s="3"/>
      <c r="F1830" s="3"/>
      <c r="J1830" s="502"/>
    </row>
    <row r="1831" spans="1:15" s="123" customFormat="1" ht="12.75" customHeight="1" x14ac:dyDescent="0.25">
      <c r="A1831" s="39" t="s">
        <v>698</v>
      </c>
      <c r="B1831" s="3"/>
      <c r="C1831" s="3"/>
      <c r="D1831" s="3"/>
      <c r="E1831" s="3"/>
      <c r="F1831" s="3"/>
      <c r="J1831" s="502"/>
    </row>
    <row r="1832" spans="1:15" s="123" customFormat="1" x14ac:dyDescent="0.25">
      <c r="A1832" s="161" t="s">
        <v>848</v>
      </c>
      <c r="J1832" s="502"/>
    </row>
    <row r="1833" spans="1:15" s="123" customFormat="1" x14ac:dyDescent="0.25">
      <c r="A1833" s="161" t="s">
        <v>1062</v>
      </c>
      <c r="J1833" s="502"/>
    </row>
    <row r="1834" spans="1:15" s="123" customFormat="1" ht="12.75" customHeight="1" x14ac:dyDescent="0.25">
      <c r="A1834" s="42" t="s">
        <v>1209</v>
      </c>
      <c r="B1834" s="43"/>
      <c r="C1834" s="43"/>
      <c r="D1834" s="43"/>
      <c r="E1834" s="43"/>
      <c r="F1834" s="43"/>
      <c r="G1834" s="181"/>
      <c r="H1834" s="181"/>
      <c r="I1834" s="181"/>
      <c r="J1834" s="503"/>
    </row>
    <row r="1835" spans="1:15" s="3" customFormat="1" x14ac:dyDescent="0.25"/>
    <row r="1836" spans="1:15" s="3" customFormat="1" x14ac:dyDescent="0.25">
      <c r="A1836" s="98" t="s">
        <v>14</v>
      </c>
      <c r="B1836" s="66" t="s">
        <v>66</v>
      </c>
      <c r="C1836" s="67" t="s">
        <v>15</v>
      </c>
      <c r="D1836" s="8"/>
      <c r="E1836" s="8"/>
      <c r="F1836" s="8"/>
    </row>
    <row r="1837" spans="1:15" s="3" customFormat="1" x14ac:dyDescent="0.25">
      <c r="A1837" s="68" t="s">
        <v>16</v>
      </c>
      <c r="B1837" s="69"/>
      <c r="C1837" s="154">
        <v>2020</v>
      </c>
      <c r="D1837" s="154">
        <v>2021</v>
      </c>
      <c r="E1837" s="154">
        <v>2022</v>
      </c>
      <c r="F1837" s="154">
        <v>2023</v>
      </c>
      <c r="G1837" s="154">
        <v>2024</v>
      </c>
      <c r="H1837" s="154">
        <v>2025</v>
      </c>
      <c r="I1837" s="154">
        <v>2026</v>
      </c>
      <c r="J1837" s="154">
        <v>2027</v>
      </c>
      <c r="K1837" s="154">
        <v>2028</v>
      </c>
      <c r="L1837" s="154">
        <v>2029</v>
      </c>
      <c r="M1837" s="154">
        <v>2030</v>
      </c>
      <c r="N1837" s="154">
        <v>2031</v>
      </c>
      <c r="O1837" s="154">
        <v>2032</v>
      </c>
    </row>
    <row r="1838" spans="1:15" s="3" customFormat="1" x14ac:dyDescent="0.25">
      <c r="A1838" s="68" t="s">
        <v>17</v>
      </c>
      <c r="B1838" s="72"/>
      <c r="C1838" s="12">
        <v>1322.73</v>
      </c>
      <c r="D1838" s="12">
        <v>1301.5663200000001</v>
      </c>
      <c r="E1838" s="12">
        <v>1312.14816</v>
      </c>
      <c r="F1838" s="12">
        <v>1312.14816</v>
      </c>
      <c r="G1838" s="12">
        <v>1312.14816</v>
      </c>
      <c r="H1838" s="12">
        <v>1312.14816</v>
      </c>
      <c r="I1838" s="12">
        <v>1312.14816</v>
      </c>
      <c r="J1838" s="12">
        <v>1312.14816</v>
      </c>
      <c r="K1838" s="12">
        <v>1312.14816</v>
      </c>
      <c r="L1838" s="12">
        <v>1312.14816</v>
      </c>
      <c r="M1838" s="12">
        <v>1312.14816</v>
      </c>
      <c r="N1838" s="12">
        <v>1312.14816</v>
      </c>
      <c r="O1838" s="12">
        <v>1312.14816</v>
      </c>
    </row>
    <row r="1839" spans="1:15" s="3" customFormat="1" x14ac:dyDescent="0.25">
      <c r="A1839" s="68" t="s">
        <v>18</v>
      </c>
      <c r="B1839" s="72"/>
      <c r="C1839" s="12"/>
      <c r="D1839" s="12"/>
      <c r="E1839" s="12"/>
      <c r="F1839" s="12">
        <f>F1838-137.77</f>
        <v>1174.37816</v>
      </c>
      <c r="G1839" s="12">
        <f t="shared" ref="G1839:O1839" si="77">G1838-137.77</f>
        <v>1174.37816</v>
      </c>
      <c r="H1839" s="12">
        <f>H1838-137.77+F1842</f>
        <v>1173.96632</v>
      </c>
      <c r="I1839" s="12">
        <f t="shared" si="77"/>
        <v>1174.37816</v>
      </c>
      <c r="J1839" s="12">
        <f t="shared" si="77"/>
        <v>1174.37816</v>
      </c>
      <c r="K1839" s="12">
        <f t="shared" si="77"/>
        <v>1174.37816</v>
      </c>
      <c r="L1839" s="12">
        <f t="shared" si="77"/>
        <v>1174.37816</v>
      </c>
      <c r="M1839" s="12">
        <f t="shared" si="77"/>
        <v>1174.37816</v>
      </c>
      <c r="N1839" s="12">
        <f t="shared" si="77"/>
        <v>1174.37816</v>
      </c>
      <c r="O1839" s="12">
        <f t="shared" si="77"/>
        <v>1174.37816</v>
      </c>
    </row>
    <row r="1840" spans="1:15" s="3" customFormat="1" x14ac:dyDescent="0.25">
      <c r="A1840" s="68" t="s">
        <v>19</v>
      </c>
      <c r="B1840" s="72"/>
      <c r="C1840" s="12"/>
      <c r="D1840" s="504"/>
      <c r="E1840" s="504" t="s">
        <v>531</v>
      </c>
      <c r="F1840" s="504" t="s">
        <v>531</v>
      </c>
      <c r="G1840" s="504" t="s">
        <v>531</v>
      </c>
      <c r="H1840" s="504" t="s">
        <v>1063</v>
      </c>
      <c r="I1840" s="504" t="s">
        <v>531</v>
      </c>
      <c r="J1840" s="504" t="s">
        <v>531</v>
      </c>
      <c r="K1840" s="504" t="s">
        <v>531</v>
      </c>
      <c r="L1840" s="504" t="s">
        <v>531</v>
      </c>
      <c r="M1840" s="504" t="s">
        <v>531</v>
      </c>
      <c r="N1840" s="504" t="s">
        <v>531</v>
      </c>
      <c r="O1840" s="504" t="s">
        <v>531</v>
      </c>
    </row>
    <row r="1841" spans="1:15" s="3" customFormat="1" x14ac:dyDescent="0.25">
      <c r="A1841" s="68" t="s">
        <v>20</v>
      </c>
      <c r="B1841" s="72"/>
      <c r="C1841" s="12">
        <v>2700.5</v>
      </c>
      <c r="D1841" s="12">
        <v>702.1</v>
      </c>
      <c r="E1841" s="12">
        <v>764.67</v>
      </c>
      <c r="F1841" s="12">
        <v>1174.79</v>
      </c>
      <c r="G1841" s="12">
        <v>581.6</v>
      </c>
      <c r="H1841" s="12"/>
      <c r="I1841" s="12"/>
      <c r="J1841" s="12"/>
      <c r="K1841" s="12"/>
      <c r="L1841" s="12"/>
      <c r="M1841" s="12"/>
      <c r="N1841" s="12"/>
      <c r="O1841" s="12"/>
    </row>
    <row r="1842" spans="1:15" s="3" customFormat="1" x14ac:dyDescent="0.25">
      <c r="A1842" s="68" t="s">
        <v>21</v>
      </c>
      <c r="B1842" s="101"/>
      <c r="C1842" s="12">
        <f>C1838-C1841</f>
        <v>-1377.77</v>
      </c>
      <c r="D1842" s="12">
        <f>D1838-D1841</f>
        <v>599.46632000000011</v>
      </c>
      <c r="E1842" s="12">
        <f>E1838-E1841</f>
        <v>547.47816</v>
      </c>
      <c r="F1842" s="12">
        <f>F1839-F1841</f>
        <v>-0.41183999999998377</v>
      </c>
      <c r="G1842" s="12">
        <f>G1839-G1841</f>
        <v>592.77815999999996</v>
      </c>
      <c r="H1842" s="12"/>
      <c r="I1842" s="12"/>
      <c r="J1842" s="12"/>
      <c r="K1842" s="12"/>
      <c r="L1842" s="12"/>
      <c r="M1842" s="12"/>
      <c r="N1842" s="12"/>
      <c r="O1842" s="12"/>
    </row>
    <row r="1843" spans="1:15" s="3" customFormat="1" x14ac:dyDescent="0.25">
      <c r="A1843" s="73" t="s">
        <v>22</v>
      </c>
      <c r="B1843" s="102"/>
      <c r="C1843" s="17">
        <v>2022</v>
      </c>
      <c r="D1843" s="17">
        <v>2023</v>
      </c>
      <c r="E1843" s="17"/>
      <c r="F1843" s="17"/>
      <c r="G1843" s="17"/>
      <c r="H1843" s="17"/>
      <c r="I1843" s="17"/>
      <c r="J1843" s="17"/>
      <c r="K1843" s="17"/>
      <c r="L1843" s="17"/>
      <c r="M1843" s="17"/>
      <c r="N1843" s="17"/>
      <c r="O1843" s="17"/>
    </row>
    <row r="1844" spans="1:15" s="3" customFormat="1" ht="12.75" customHeight="1" x14ac:dyDescent="0.25">
      <c r="A1844" s="505" t="s">
        <v>564</v>
      </c>
      <c r="B1844" s="506"/>
      <c r="C1844" s="506"/>
      <c r="D1844" s="506"/>
      <c r="E1844" s="506"/>
      <c r="F1844" s="506"/>
      <c r="G1844" s="506"/>
      <c r="H1844" s="506"/>
      <c r="I1844" s="506"/>
      <c r="J1844" s="506"/>
      <c r="K1844" s="506"/>
      <c r="L1844" s="506"/>
      <c r="M1844" s="506"/>
      <c r="N1844" s="506"/>
      <c r="O1844" s="507"/>
    </row>
    <row r="1845" spans="1:15" s="3" customFormat="1" ht="12.75" customHeight="1" x14ac:dyDescent="0.25">
      <c r="A1845" s="508" t="s">
        <v>936</v>
      </c>
      <c r="B1845" s="509"/>
      <c r="C1845" s="509"/>
      <c r="D1845" s="509"/>
      <c r="E1845" s="509"/>
      <c r="F1845" s="509"/>
      <c r="G1845" s="509"/>
      <c r="H1845" s="509"/>
      <c r="I1845" s="509"/>
      <c r="J1845" s="509"/>
      <c r="K1845" s="509"/>
      <c r="L1845" s="509"/>
      <c r="M1845" s="509"/>
      <c r="N1845" s="509"/>
      <c r="O1845" s="510"/>
    </row>
    <row r="1846" spans="1:15" s="3" customFormat="1" ht="12.75" customHeight="1" x14ac:dyDescent="0.25">
      <c r="A1846" s="508" t="s">
        <v>1064</v>
      </c>
      <c r="B1846" s="509"/>
      <c r="C1846" s="509"/>
      <c r="D1846" s="509"/>
      <c r="E1846" s="509"/>
      <c r="F1846" s="509"/>
      <c r="G1846" s="509"/>
      <c r="H1846" s="509"/>
      <c r="I1846" s="509"/>
      <c r="J1846" s="509"/>
      <c r="K1846" s="509"/>
      <c r="L1846" s="509"/>
      <c r="M1846" s="509"/>
      <c r="N1846" s="509"/>
      <c r="O1846" s="510"/>
    </row>
    <row r="1847" spans="1:15" s="3" customFormat="1" x14ac:dyDescent="0.25">
      <c r="A1847" s="42" t="s">
        <v>1211</v>
      </c>
      <c r="B1847" s="34"/>
      <c r="C1847" s="34"/>
      <c r="D1847" s="34"/>
      <c r="E1847" s="34"/>
      <c r="F1847" s="34"/>
      <c r="G1847" s="34"/>
      <c r="H1847" s="34"/>
      <c r="I1847" s="34"/>
      <c r="J1847" s="34"/>
      <c r="K1847" s="34"/>
      <c r="L1847" s="34"/>
      <c r="M1847" s="34"/>
      <c r="N1847" s="34"/>
      <c r="O1847" s="48"/>
    </row>
    <row r="1848" spans="1:15" s="3" customFormat="1" x14ac:dyDescent="0.25">
      <c r="C1848" s="123"/>
    </row>
    <row r="1849" spans="1:15" s="3" customFormat="1" x14ac:dyDescent="0.25">
      <c r="A1849" s="6" t="s">
        <v>14</v>
      </c>
      <c r="B1849" s="7" t="s">
        <v>74</v>
      </c>
      <c r="C1849" s="123"/>
    </row>
    <row r="1850" spans="1:15" s="3" customFormat="1" x14ac:dyDescent="0.25">
      <c r="A1850" s="41" t="s">
        <v>16</v>
      </c>
      <c r="B1850" s="276">
        <v>2024</v>
      </c>
      <c r="C1850" s="501">
        <v>2025</v>
      </c>
    </row>
    <row r="1851" spans="1:15" s="3" customFormat="1" x14ac:dyDescent="0.25">
      <c r="A1851" s="10" t="s">
        <v>17</v>
      </c>
      <c r="B1851" s="12">
        <v>50.5</v>
      </c>
      <c r="C1851" s="12">
        <v>50.5</v>
      </c>
    </row>
    <row r="1852" spans="1:15" s="3" customFormat="1" x14ac:dyDescent="0.25">
      <c r="A1852" s="10" t="s">
        <v>18</v>
      </c>
      <c r="B1852" s="12"/>
      <c r="C1852" s="511">
        <f>C1851+B1855</f>
        <v>49.84</v>
      </c>
    </row>
    <row r="1853" spans="1:15" s="3" customFormat="1" x14ac:dyDescent="0.25">
      <c r="A1853" s="10" t="s">
        <v>19</v>
      </c>
      <c r="B1853" s="156"/>
      <c r="C1853" s="512" t="s">
        <v>399</v>
      </c>
    </row>
    <row r="1854" spans="1:15" s="3" customFormat="1" x14ac:dyDescent="0.25">
      <c r="A1854" s="10" t="s">
        <v>20</v>
      </c>
      <c r="B1854" s="156">
        <v>51.16</v>
      </c>
      <c r="C1854" s="513"/>
    </row>
    <row r="1855" spans="1:15" s="3" customFormat="1" x14ac:dyDescent="0.25">
      <c r="A1855" s="10" t="s">
        <v>21</v>
      </c>
      <c r="B1855" s="26">
        <f>B1851-B1854</f>
        <v>-0.65999999999999659</v>
      </c>
      <c r="C1855" s="513"/>
    </row>
    <row r="1856" spans="1:15" s="3" customFormat="1" x14ac:dyDescent="0.25">
      <c r="A1856" s="16" t="s">
        <v>22</v>
      </c>
      <c r="B1856" s="464"/>
      <c r="C1856" s="513"/>
    </row>
    <row r="1857" spans="1:12" s="3" customFormat="1" x14ac:dyDescent="0.25">
      <c r="A1857" s="18" t="s">
        <v>179</v>
      </c>
      <c r="B1857" s="19"/>
      <c r="C1857" s="514"/>
    </row>
    <row r="1858" spans="1:12" s="3" customFormat="1" x14ac:dyDescent="0.25">
      <c r="A1858" s="56" t="s">
        <v>1212</v>
      </c>
      <c r="C1858" s="502"/>
    </row>
    <row r="1859" spans="1:12" s="3" customFormat="1" x14ac:dyDescent="0.25">
      <c r="A1859" s="41"/>
      <c r="B1859" s="34"/>
      <c r="C1859" s="503"/>
    </row>
    <row r="1860" spans="1:12" s="3" customFormat="1" x14ac:dyDescent="0.25"/>
    <row r="1861" spans="1:12" s="3" customFormat="1" x14ac:dyDescent="0.25">
      <c r="A1861" s="6" t="s">
        <v>204</v>
      </c>
      <c r="B1861" s="7" t="s">
        <v>205</v>
      </c>
    </row>
    <row r="1862" spans="1:12" s="3" customFormat="1" x14ac:dyDescent="0.25">
      <c r="A1862" s="6" t="s">
        <v>203</v>
      </c>
      <c r="B1862" s="7" t="s">
        <v>638</v>
      </c>
      <c r="C1862" s="9" t="s">
        <v>15</v>
      </c>
    </row>
    <row r="1863" spans="1:12" s="3" customFormat="1" x14ac:dyDescent="0.25">
      <c r="A1863" s="11" t="s">
        <v>16</v>
      </c>
      <c r="B1863" s="11"/>
      <c r="C1863" s="11"/>
      <c r="D1863" s="154">
        <v>2018</v>
      </c>
      <c r="E1863" s="154">
        <v>2019</v>
      </c>
      <c r="F1863" s="154">
        <v>2020</v>
      </c>
      <c r="G1863" s="154">
        <v>2021</v>
      </c>
      <c r="H1863" s="154">
        <v>2022</v>
      </c>
      <c r="I1863" s="154">
        <v>2023</v>
      </c>
      <c r="J1863" s="154">
        <v>2024</v>
      </c>
      <c r="K1863" s="154">
        <v>2025</v>
      </c>
      <c r="L1863" s="154">
        <v>2026</v>
      </c>
    </row>
    <row r="1864" spans="1:12" s="3" customFormat="1" x14ac:dyDescent="0.25">
      <c r="A1864" s="11" t="s">
        <v>17</v>
      </c>
      <c r="B1864" s="12"/>
      <c r="C1864" s="12"/>
      <c r="D1864" s="12">
        <v>4400</v>
      </c>
      <c r="E1864" s="12">
        <v>4400</v>
      </c>
      <c r="F1864" s="12">
        <v>4400</v>
      </c>
      <c r="G1864" s="12">
        <v>4400</v>
      </c>
      <c r="H1864" s="12">
        <v>4400</v>
      </c>
      <c r="I1864" s="12">
        <v>5280</v>
      </c>
      <c r="J1864" s="12">
        <v>5280</v>
      </c>
      <c r="K1864" s="12">
        <v>5280</v>
      </c>
      <c r="L1864" s="12">
        <v>5280</v>
      </c>
    </row>
    <row r="1865" spans="1:12" s="3" customFormat="1" x14ac:dyDescent="0.25">
      <c r="A1865" s="11" t="s">
        <v>18</v>
      </c>
      <c r="B1865" s="12"/>
      <c r="C1865" s="12"/>
      <c r="D1865" s="12">
        <v>5500</v>
      </c>
      <c r="E1865" s="12">
        <f>E1864*1.25-900</f>
        <v>4600</v>
      </c>
      <c r="F1865" s="12">
        <f>F1864*1.25-600</f>
        <v>4900</v>
      </c>
      <c r="G1865" s="12">
        <f>G1864+E1868</f>
        <v>4597.134</v>
      </c>
      <c r="H1865" s="12">
        <f>H1864+F1868</f>
        <v>5274.0761000000002</v>
      </c>
      <c r="I1865" s="12">
        <f>I1864+G1868-100</f>
        <v>5854.6139999999996</v>
      </c>
      <c r="J1865" s="12">
        <f>J1864+0-100</f>
        <v>5180</v>
      </c>
      <c r="K1865" s="12">
        <f>1.25*I1864-100</f>
        <v>6500</v>
      </c>
      <c r="L1865" s="12">
        <f>1.25*J1864-100</f>
        <v>6500</v>
      </c>
    </row>
    <row r="1866" spans="1:12" s="3" customFormat="1" x14ac:dyDescent="0.25">
      <c r="A1866" s="10" t="s">
        <v>19</v>
      </c>
      <c r="B1866" s="286"/>
      <c r="C1866" s="12"/>
      <c r="D1866" s="12"/>
      <c r="E1866" s="12"/>
      <c r="F1866" s="12"/>
      <c r="G1866" s="12"/>
      <c r="H1866" s="12"/>
      <c r="I1866" s="12"/>
      <c r="J1866" s="12"/>
      <c r="K1866" s="12"/>
      <c r="L1866" s="12"/>
    </row>
    <row r="1867" spans="1:12" s="3" customFormat="1" x14ac:dyDescent="0.25">
      <c r="A1867" s="10" t="s">
        <v>20</v>
      </c>
      <c r="B1867" s="12"/>
      <c r="C1867" s="12"/>
      <c r="D1867" s="12">
        <v>2572.5</v>
      </c>
      <c r="E1867" s="12">
        <v>4402.866</v>
      </c>
      <c r="F1867" s="12">
        <v>4025.9238999999998</v>
      </c>
      <c r="G1867" s="12">
        <v>3922.52</v>
      </c>
      <c r="H1867" s="12">
        <v>5586.99</v>
      </c>
      <c r="I1867" s="12">
        <v>2670.4437000000003</v>
      </c>
      <c r="J1867" s="12">
        <v>4882.3</v>
      </c>
      <c r="K1867" s="12"/>
      <c r="L1867" s="12"/>
    </row>
    <row r="1868" spans="1:12" s="3" customFormat="1" x14ac:dyDescent="0.25">
      <c r="A1868" s="10" t="s">
        <v>21</v>
      </c>
      <c r="B1868" s="12"/>
      <c r="C1868" s="12"/>
      <c r="D1868" s="12">
        <f t="shared" ref="D1868:J1868" si="78">D1865-D1867</f>
        <v>2927.5</v>
      </c>
      <c r="E1868" s="12">
        <f t="shared" si="78"/>
        <v>197.13400000000001</v>
      </c>
      <c r="F1868" s="12">
        <f t="shared" si="78"/>
        <v>874.07610000000022</v>
      </c>
      <c r="G1868" s="12">
        <f t="shared" si="78"/>
        <v>674.61400000000003</v>
      </c>
      <c r="H1868" s="12">
        <f t="shared" si="78"/>
        <v>-312.91389999999956</v>
      </c>
      <c r="I1868" s="12">
        <f t="shared" si="78"/>
        <v>3184.1702999999993</v>
      </c>
      <c r="J1868" s="12">
        <f t="shared" si="78"/>
        <v>297.69999999999982</v>
      </c>
      <c r="K1868" s="12"/>
      <c r="L1868" s="12"/>
    </row>
    <row r="1869" spans="1:12" s="3" customFormat="1" x14ac:dyDescent="0.25">
      <c r="A1869" s="16" t="s">
        <v>22</v>
      </c>
      <c r="B1869" s="17"/>
      <c r="C1869" s="17"/>
      <c r="D1869" s="159">
        <v>2020</v>
      </c>
      <c r="E1869" s="159">
        <v>2021</v>
      </c>
      <c r="F1869" s="159">
        <v>2022</v>
      </c>
      <c r="G1869" s="159">
        <v>2023</v>
      </c>
      <c r="H1869" s="159">
        <v>2024</v>
      </c>
      <c r="I1869" s="159">
        <v>2025</v>
      </c>
      <c r="J1869" s="159">
        <v>2026</v>
      </c>
      <c r="K1869" s="159">
        <v>2027</v>
      </c>
      <c r="L1869" s="159">
        <v>2027</v>
      </c>
    </row>
    <row r="1870" spans="1:12" s="3" customFormat="1" x14ac:dyDescent="0.25">
      <c r="A1870" s="16" t="s">
        <v>23</v>
      </c>
      <c r="B1870" s="46"/>
      <c r="C1870" s="46"/>
      <c r="D1870" s="178"/>
      <c r="E1870" s="178"/>
      <c r="F1870" s="178"/>
      <c r="G1870" s="179"/>
      <c r="H1870" s="179"/>
      <c r="I1870" s="179"/>
      <c r="J1870" s="179"/>
      <c r="K1870" s="179"/>
      <c r="L1870" s="179"/>
    </row>
    <row r="1871" spans="1:12" s="3" customFormat="1" x14ac:dyDescent="0.25">
      <c r="A1871" s="18" t="s">
        <v>115</v>
      </c>
      <c r="B1871" s="19"/>
      <c r="C1871" s="19"/>
      <c r="D1871" s="19"/>
      <c r="E1871" s="19"/>
      <c r="F1871" s="19"/>
      <c r="G1871" s="19"/>
      <c r="H1871" s="19"/>
      <c r="I1871" s="19"/>
      <c r="J1871" s="19"/>
      <c r="K1871" s="19"/>
      <c r="L1871" s="63"/>
    </row>
    <row r="1872" spans="1:12" s="3" customFormat="1" x14ac:dyDescent="0.25">
      <c r="A1872" s="39" t="s">
        <v>326</v>
      </c>
      <c r="L1872" s="64"/>
    </row>
    <row r="1873" spans="1:12" s="3" customFormat="1" x14ac:dyDescent="0.25">
      <c r="A1873" s="39" t="s">
        <v>327</v>
      </c>
      <c r="L1873" s="64"/>
    </row>
    <row r="1874" spans="1:12" s="3" customFormat="1" x14ac:dyDescent="0.25">
      <c r="A1874" s="39" t="s">
        <v>466</v>
      </c>
      <c r="L1874" s="64"/>
    </row>
    <row r="1875" spans="1:12" s="3" customFormat="1" x14ac:dyDescent="0.25">
      <c r="A1875" s="39" t="s">
        <v>908</v>
      </c>
      <c r="L1875" s="64"/>
    </row>
    <row r="1876" spans="1:12" s="3" customFormat="1" x14ac:dyDescent="0.25">
      <c r="A1876" s="39" t="s">
        <v>818</v>
      </c>
      <c r="L1876" s="64"/>
    </row>
    <row r="1877" spans="1:12" s="3" customFormat="1" x14ac:dyDescent="0.25">
      <c r="A1877" s="39" t="s">
        <v>1065</v>
      </c>
      <c r="L1877" s="64"/>
    </row>
    <row r="1878" spans="1:12" s="3" customFormat="1" x14ac:dyDescent="0.25">
      <c r="A1878" s="39" t="s">
        <v>1066</v>
      </c>
      <c r="L1878" s="64"/>
    </row>
    <row r="1879" spans="1:12" s="3" customFormat="1" x14ac:dyDescent="0.25">
      <c r="A1879" s="42" t="s">
        <v>1213</v>
      </c>
      <c r="B1879" s="34"/>
      <c r="C1879" s="34"/>
      <c r="D1879" s="34"/>
      <c r="E1879" s="34"/>
      <c r="F1879" s="34"/>
      <c r="G1879" s="34"/>
      <c r="H1879" s="34"/>
      <c r="I1879" s="34"/>
      <c r="J1879" s="34"/>
      <c r="K1879" s="34"/>
      <c r="L1879" s="48"/>
    </row>
    <row r="1880" spans="1:12" s="3" customFormat="1" x14ac:dyDescent="0.25"/>
    <row r="1881" spans="1:12" s="3" customFormat="1" x14ac:dyDescent="0.25">
      <c r="A1881" s="6" t="s">
        <v>203</v>
      </c>
      <c r="B1881" s="7" t="s">
        <v>641</v>
      </c>
      <c r="C1881" s="9" t="s">
        <v>15</v>
      </c>
    </row>
    <row r="1882" spans="1:12" s="3" customFormat="1" x14ac:dyDescent="0.25">
      <c r="A1882" s="11" t="s">
        <v>16</v>
      </c>
      <c r="B1882" s="11"/>
      <c r="C1882" s="154">
        <v>2016</v>
      </c>
      <c r="D1882" s="154">
        <v>2017</v>
      </c>
      <c r="E1882" s="154">
        <v>2018</v>
      </c>
      <c r="F1882" s="154">
        <v>2019</v>
      </c>
      <c r="G1882" s="154">
        <v>2020</v>
      </c>
      <c r="H1882" s="154">
        <v>2021</v>
      </c>
      <c r="I1882" s="154">
        <v>2022</v>
      </c>
      <c r="J1882" s="154">
        <v>2023</v>
      </c>
      <c r="K1882" s="154">
        <v>2024</v>
      </c>
    </row>
    <row r="1883" spans="1:12" s="3" customFormat="1" x14ac:dyDescent="0.25">
      <c r="A1883" s="11" t="s">
        <v>17</v>
      </c>
      <c r="B1883" s="12"/>
      <c r="C1883" s="12">
        <v>1001</v>
      </c>
      <c r="D1883" s="12">
        <v>1001</v>
      </c>
      <c r="E1883" s="12">
        <v>1001</v>
      </c>
      <c r="F1883" s="12">
        <v>1001</v>
      </c>
      <c r="G1883" s="12">
        <v>1001</v>
      </c>
      <c r="H1883" s="12">
        <v>1001</v>
      </c>
      <c r="I1883" s="12">
        <v>1001</v>
      </c>
      <c r="J1883" s="12">
        <v>1001</v>
      </c>
      <c r="K1883" s="12">
        <v>1001</v>
      </c>
    </row>
    <row r="1884" spans="1:12" s="3" customFormat="1" x14ac:dyDescent="0.25">
      <c r="A1884" s="11" t="s">
        <v>18</v>
      </c>
      <c r="B1884" s="12"/>
      <c r="C1884" s="12">
        <f>C1883*1.3-50</f>
        <v>1251.3</v>
      </c>
      <c r="D1884" s="12">
        <f>D1883*1.3-50</f>
        <v>1251.3</v>
      </c>
      <c r="E1884" s="12">
        <f>E1883*1.2-50</f>
        <v>1151.2</v>
      </c>
      <c r="F1884" s="12">
        <f>F1883*1.2-50</f>
        <v>1151.2</v>
      </c>
      <c r="G1884" s="12">
        <f>G1883*1.2-50</f>
        <v>1151.2</v>
      </c>
      <c r="H1884" s="12">
        <f>H1883*1.2-50</f>
        <v>1151.2</v>
      </c>
      <c r="I1884" s="12">
        <f>I1883*1.2-50</f>
        <v>1151.2</v>
      </c>
      <c r="J1884" s="12">
        <f>J1883*1.1-50</f>
        <v>1051.1000000000001</v>
      </c>
      <c r="K1884" s="12">
        <f>K1883*1.1-50</f>
        <v>1051.1000000000001</v>
      </c>
    </row>
    <row r="1885" spans="1:12" s="3" customFormat="1" x14ac:dyDescent="0.25">
      <c r="A1885" s="10" t="s">
        <v>19</v>
      </c>
      <c r="B1885" s="286"/>
      <c r="C1885" s="488" t="s">
        <v>467</v>
      </c>
      <c r="D1885" s="488" t="s">
        <v>467</v>
      </c>
      <c r="E1885" s="488" t="s">
        <v>468</v>
      </c>
      <c r="F1885" s="488" t="s">
        <v>468</v>
      </c>
      <c r="G1885" s="488" t="s">
        <v>468</v>
      </c>
      <c r="H1885" s="488" t="s">
        <v>468</v>
      </c>
      <c r="I1885" s="488" t="s">
        <v>468</v>
      </c>
      <c r="J1885" s="488" t="s">
        <v>1067</v>
      </c>
      <c r="K1885" s="488" t="s">
        <v>1067</v>
      </c>
    </row>
    <row r="1886" spans="1:12" s="3" customFormat="1" x14ac:dyDescent="0.25">
      <c r="A1886" s="10" t="s">
        <v>20</v>
      </c>
      <c r="B1886" s="12"/>
      <c r="C1886" s="12">
        <v>124.4</v>
      </c>
      <c r="D1886" s="12">
        <v>159</v>
      </c>
      <c r="E1886" s="12">
        <v>188.7</v>
      </c>
      <c r="F1886" s="12">
        <v>288.56359999999995</v>
      </c>
      <c r="G1886" s="12">
        <v>149.46553</v>
      </c>
      <c r="H1886" s="11">
        <v>228.99</v>
      </c>
      <c r="I1886" s="11">
        <v>160.58000000000001</v>
      </c>
      <c r="J1886" s="11">
        <v>291.24200000000002</v>
      </c>
      <c r="K1886" s="11">
        <v>291.10000000000002</v>
      </c>
    </row>
    <row r="1887" spans="1:12" s="3" customFormat="1" x14ac:dyDescent="0.25">
      <c r="A1887" s="10" t="s">
        <v>21</v>
      </c>
      <c r="B1887" s="12"/>
      <c r="C1887" s="12">
        <f t="shared" ref="C1887:K1887" si="79">C1884-C1886</f>
        <v>1126.8999999999999</v>
      </c>
      <c r="D1887" s="12">
        <f t="shared" si="79"/>
        <v>1092.3</v>
      </c>
      <c r="E1887" s="12">
        <f t="shared" si="79"/>
        <v>962.5</v>
      </c>
      <c r="F1887" s="12">
        <f t="shared" si="79"/>
        <v>862.63640000000009</v>
      </c>
      <c r="G1887" s="12">
        <f t="shared" si="79"/>
        <v>1001.7344700000001</v>
      </c>
      <c r="H1887" s="12">
        <f t="shared" si="79"/>
        <v>922.21</v>
      </c>
      <c r="I1887" s="12">
        <f t="shared" si="79"/>
        <v>990.62</v>
      </c>
      <c r="J1887" s="12">
        <f t="shared" si="79"/>
        <v>759.85800000000017</v>
      </c>
      <c r="K1887" s="12">
        <f t="shared" si="79"/>
        <v>760.00000000000011</v>
      </c>
    </row>
    <row r="1888" spans="1:12" s="3" customFormat="1" x14ac:dyDescent="0.25">
      <c r="A1888" s="16" t="s">
        <v>22</v>
      </c>
      <c r="B1888" s="17"/>
      <c r="C1888" s="159">
        <v>2018</v>
      </c>
      <c r="D1888" s="159">
        <v>2019</v>
      </c>
      <c r="E1888" s="159">
        <v>2020</v>
      </c>
      <c r="F1888" s="159">
        <v>2021</v>
      </c>
      <c r="G1888" s="159">
        <v>2022</v>
      </c>
      <c r="H1888" s="159">
        <v>2023</v>
      </c>
      <c r="I1888" s="159">
        <v>2024</v>
      </c>
      <c r="J1888" s="159">
        <v>2025</v>
      </c>
      <c r="K1888" s="159">
        <v>2026</v>
      </c>
    </row>
    <row r="1889" spans="1:12" s="3" customFormat="1" x14ac:dyDescent="0.25">
      <c r="A1889" s="17" t="s">
        <v>23</v>
      </c>
      <c r="B1889" s="16"/>
      <c r="C1889" s="46"/>
      <c r="D1889" s="46"/>
      <c r="E1889" s="46"/>
      <c r="F1889" s="46"/>
      <c r="G1889" s="46"/>
      <c r="H1889" s="47"/>
      <c r="I1889" s="47"/>
      <c r="J1889" s="47"/>
      <c r="K1889" s="47"/>
    </row>
    <row r="1890" spans="1:12" s="3" customFormat="1" x14ac:dyDescent="0.25">
      <c r="A1890" s="76" t="s">
        <v>455</v>
      </c>
      <c r="B1890" s="77"/>
      <c r="C1890" s="77"/>
      <c r="D1890" s="77"/>
      <c r="E1890" s="77"/>
      <c r="F1890" s="75"/>
      <c r="G1890" s="75"/>
      <c r="H1890" s="46"/>
      <c r="I1890" s="46"/>
      <c r="J1890" s="47"/>
      <c r="K1890" s="47"/>
    </row>
    <row r="1891" spans="1:12" s="3" customFormat="1" x14ac:dyDescent="0.25">
      <c r="A1891" s="39" t="s">
        <v>454</v>
      </c>
      <c r="J1891" s="64"/>
      <c r="K1891" s="64"/>
    </row>
    <row r="1892" spans="1:12" s="3" customFormat="1" x14ac:dyDescent="0.25">
      <c r="A1892" s="39" t="s">
        <v>837</v>
      </c>
      <c r="J1892" s="64"/>
      <c r="K1892" s="64"/>
    </row>
    <row r="1893" spans="1:12" s="3" customFormat="1" x14ac:dyDescent="0.25">
      <c r="A1893" s="41" t="s">
        <v>1214</v>
      </c>
      <c r="B1893" s="34"/>
      <c r="C1893" s="34"/>
      <c r="D1893" s="34"/>
      <c r="E1893" s="34"/>
      <c r="F1893" s="34"/>
      <c r="G1893" s="34"/>
      <c r="H1893" s="34"/>
      <c r="I1893" s="34"/>
      <c r="J1893" s="48"/>
      <c r="K1893" s="48"/>
    </row>
    <row r="1895" spans="1:12" s="3" customFormat="1" x14ac:dyDescent="0.25"/>
    <row r="1896" spans="1:12" s="3" customFormat="1" x14ac:dyDescent="0.25">
      <c r="A1896" s="6" t="s">
        <v>12</v>
      </c>
      <c r="B1896" s="7" t="s">
        <v>13</v>
      </c>
    </row>
    <row r="1897" spans="1:12" s="3" customFormat="1" x14ac:dyDescent="0.25">
      <c r="A1897" s="6" t="s">
        <v>14</v>
      </c>
      <c r="B1897" s="7" t="s">
        <v>642</v>
      </c>
      <c r="C1897" s="9" t="s">
        <v>15</v>
      </c>
    </row>
    <row r="1898" spans="1:12" s="3" customFormat="1" x14ac:dyDescent="0.25">
      <c r="A1898" s="10" t="s">
        <v>16</v>
      </c>
      <c r="B1898" s="11"/>
      <c r="C1898" s="515">
        <v>2016</v>
      </c>
      <c r="D1898" s="516">
        <v>2017</v>
      </c>
      <c r="E1898" s="515">
        <v>2018</v>
      </c>
      <c r="F1898" s="517">
        <v>2019</v>
      </c>
      <c r="G1898" s="517">
        <v>2020</v>
      </c>
      <c r="H1898" s="517">
        <v>2021</v>
      </c>
      <c r="I1898" s="517">
        <v>2022</v>
      </c>
      <c r="J1898" s="517">
        <v>2023</v>
      </c>
      <c r="K1898" s="517">
        <v>2024</v>
      </c>
      <c r="L1898" s="517">
        <v>2025</v>
      </c>
    </row>
    <row r="1899" spans="1:12" s="3" customFormat="1" x14ac:dyDescent="0.25">
      <c r="A1899" s="10" t="s">
        <v>17</v>
      </c>
      <c r="B1899" s="11"/>
      <c r="C1899" s="12">
        <v>47.4</v>
      </c>
      <c r="D1899" s="188">
        <v>56.91</v>
      </c>
      <c r="E1899" s="12">
        <v>66</v>
      </c>
      <c r="F1899" s="189">
        <v>73</v>
      </c>
      <c r="G1899" s="189">
        <v>80</v>
      </c>
      <c r="H1899" s="189">
        <v>80</v>
      </c>
      <c r="I1899" s="189">
        <v>80</v>
      </c>
      <c r="J1899" s="189">
        <v>129</v>
      </c>
      <c r="K1899" s="189">
        <v>129</v>
      </c>
      <c r="L1899" s="189">
        <v>129</v>
      </c>
    </row>
    <row r="1900" spans="1:12" s="3" customFormat="1" x14ac:dyDescent="0.25">
      <c r="A1900" s="10" t="s">
        <v>18</v>
      </c>
      <c r="B1900" s="11"/>
      <c r="C1900" s="12">
        <v>47.4</v>
      </c>
      <c r="D1900" s="188">
        <v>56.91</v>
      </c>
      <c r="E1900" s="12">
        <v>66</v>
      </c>
      <c r="F1900" s="189">
        <v>73</v>
      </c>
      <c r="G1900" s="189">
        <v>80</v>
      </c>
      <c r="H1900" s="189">
        <v>0.8</v>
      </c>
      <c r="I1900" s="189">
        <v>80</v>
      </c>
      <c r="J1900" s="189">
        <v>1</v>
      </c>
      <c r="K1900" s="189">
        <v>1</v>
      </c>
      <c r="L1900" s="189">
        <v>1</v>
      </c>
    </row>
    <row r="1901" spans="1:12" s="3" customFormat="1" x14ac:dyDescent="0.25">
      <c r="A1901" s="10" t="s">
        <v>19</v>
      </c>
      <c r="B1901" s="11"/>
      <c r="C1901" s="12"/>
      <c r="D1901" s="188"/>
      <c r="E1901" s="12"/>
      <c r="F1901" s="189"/>
      <c r="G1901" s="189"/>
      <c r="H1901" s="518" t="s">
        <v>543</v>
      </c>
      <c r="I1901" s="518"/>
      <c r="J1901" s="518" t="s">
        <v>544</v>
      </c>
      <c r="K1901" s="518" t="s">
        <v>545</v>
      </c>
      <c r="L1901" s="518" t="s">
        <v>548</v>
      </c>
    </row>
    <row r="1902" spans="1:12" s="3" customFormat="1" x14ac:dyDescent="0.25">
      <c r="A1902" s="10" t="s">
        <v>20</v>
      </c>
      <c r="B1902" s="11"/>
      <c r="C1902" s="12">
        <v>47.393000000000001</v>
      </c>
      <c r="D1902" s="188">
        <v>56.905999999999999</v>
      </c>
      <c r="E1902" s="12">
        <v>66</v>
      </c>
      <c r="F1902" s="189">
        <v>71.97</v>
      </c>
      <c r="G1902" s="189">
        <v>79.2</v>
      </c>
      <c r="H1902" s="189"/>
      <c r="I1902" s="189">
        <v>79.2</v>
      </c>
      <c r="J1902" s="189"/>
      <c r="K1902" s="189">
        <v>0</v>
      </c>
      <c r="L1902" s="189"/>
    </row>
    <row r="1903" spans="1:12" s="3" customFormat="1" x14ac:dyDescent="0.25">
      <c r="A1903" s="10" t="s">
        <v>21</v>
      </c>
      <c r="B1903" s="11"/>
      <c r="C1903" s="12">
        <f>C1900-C1902</f>
        <v>6.9999999999978968E-3</v>
      </c>
      <c r="D1903" s="12">
        <f>D1900-D1902</f>
        <v>3.9999999999977831E-3</v>
      </c>
      <c r="E1903" s="12">
        <f>E1900-E1902</f>
        <v>0</v>
      </c>
      <c r="F1903" s="12">
        <f>F1900-F1902</f>
        <v>1.0300000000000011</v>
      </c>
      <c r="G1903" s="189">
        <f>G1900-G1902</f>
        <v>0.79999999999999716</v>
      </c>
      <c r="H1903" s="189"/>
      <c r="I1903" s="189">
        <v>0.79999999999999716</v>
      </c>
      <c r="J1903" s="189">
        <v>0</v>
      </c>
      <c r="K1903" s="189">
        <f>K1900-K1902</f>
        <v>1</v>
      </c>
      <c r="L1903" s="189"/>
    </row>
    <row r="1904" spans="1:12" s="3" customFormat="1" x14ac:dyDescent="0.25">
      <c r="A1904" s="16" t="s">
        <v>22</v>
      </c>
      <c r="B1904" s="17"/>
      <c r="C1904" s="17"/>
      <c r="D1904" s="46"/>
      <c r="E1904" s="17"/>
      <c r="F1904" s="47"/>
      <c r="G1904" s="17"/>
      <c r="H1904" s="17"/>
      <c r="I1904" s="17"/>
      <c r="J1904" s="17"/>
      <c r="K1904" s="17">
        <v>2025</v>
      </c>
      <c r="L1904" s="17">
        <v>2026</v>
      </c>
    </row>
    <row r="1905" spans="1:13" s="3" customFormat="1" x14ac:dyDescent="0.25">
      <c r="A1905" s="16" t="s">
        <v>23</v>
      </c>
      <c r="B1905" s="46"/>
      <c r="C1905" s="46"/>
      <c r="D1905" s="46"/>
      <c r="E1905" s="46"/>
      <c r="F1905" s="46"/>
      <c r="G1905" s="46"/>
      <c r="H1905" s="46"/>
      <c r="I1905" s="47"/>
      <c r="J1905" s="47"/>
      <c r="K1905" s="47"/>
    </row>
    <row r="1906" spans="1:13" s="3" customFormat="1" x14ac:dyDescent="0.25">
      <c r="A1906" s="16" t="s">
        <v>956</v>
      </c>
      <c r="B1906" s="46"/>
      <c r="C1906" s="46"/>
      <c r="D1906" s="46"/>
      <c r="E1906" s="46"/>
      <c r="F1906" s="46"/>
      <c r="G1906" s="46"/>
      <c r="H1906" s="46"/>
      <c r="I1906" s="46"/>
      <c r="J1906" s="46"/>
      <c r="K1906" s="47"/>
    </row>
    <row r="1907" spans="1:13" s="3" customFormat="1" x14ac:dyDescent="0.25">
      <c r="A1907" s="39" t="s">
        <v>957</v>
      </c>
      <c r="K1907" s="64"/>
    </row>
    <row r="1908" spans="1:13" s="3" customFormat="1" x14ac:dyDescent="0.25">
      <c r="A1908" s="41" t="s">
        <v>958</v>
      </c>
      <c r="B1908" s="34"/>
      <c r="C1908" s="34"/>
      <c r="D1908" s="34"/>
      <c r="E1908" s="34"/>
      <c r="F1908" s="34"/>
      <c r="G1908" s="34"/>
      <c r="H1908" s="34"/>
      <c r="I1908" s="34"/>
      <c r="J1908" s="34"/>
      <c r="K1908" s="48"/>
    </row>
    <row r="1909" spans="1:13" s="3" customFormat="1" x14ac:dyDescent="0.25"/>
    <row r="1910" spans="1:13" s="3" customFormat="1" x14ac:dyDescent="0.25"/>
    <row r="1911" spans="1:13" s="3" customFormat="1" x14ac:dyDescent="0.25">
      <c r="A1911" s="6" t="s">
        <v>12</v>
      </c>
      <c r="B1911" s="7" t="s">
        <v>172</v>
      </c>
    </row>
    <row r="1912" spans="1:13" s="3" customFormat="1" x14ac:dyDescent="0.25">
      <c r="A1912" s="6" t="s">
        <v>14</v>
      </c>
      <c r="B1912" s="519" t="s">
        <v>623</v>
      </c>
      <c r="C1912" s="520" t="s">
        <v>15</v>
      </c>
    </row>
    <row r="1913" spans="1:13" s="3" customFormat="1" x14ac:dyDescent="0.25">
      <c r="A1913" s="10" t="s">
        <v>16</v>
      </c>
      <c r="B1913" s="11"/>
      <c r="C1913" s="11"/>
      <c r="D1913" s="11"/>
      <c r="E1913" s="11"/>
      <c r="F1913" s="154">
        <v>2018</v>
      </c>
      <c r="G1913" s="154">
        <v>2019</v>
      </c>
      <c r="H1913" s="154">
        <v>2020</v>
      </c>
      <c r="I1913" s="154">
        <v>2021</v>
      </c>
      <c r="J1913" s="154">
        <v>2022</v>
      </c>
      <c r="K1913" s="154">
        <v>2023</v>
      </c>
      <c r="L1913" s="154">
        <v>2024</v>
      </c>
      <c r="M1913" s="154">
        <v>2025</v>
      </c>
    </row>
    <row r="1914" spans="1:13" s="3" customFormat="1" x14ac:dyDescent="0.25">
      <c r="A1914" s="10" t="s">
        <v>17</v>
      </c>
      <c r="B1914" s="11"/>
      <c r="C1914" s="12"/>
      <c r="D1914" s="12"/>
      <c r="E1914" s="12"/>
      <c r="F1914" s="12">
        <v>125</v>
      </c>
      <c r="G1914" s="12">
        <v>125</v>
      </c>
      <c r="H1914" s="12">
        <v>125</v>
      </c>
      <c r="I1914" s="12">
        <v>125</v>
      </c>
      <c r="J1914" s="12">
        <v>125</v>
      </c>
      <c r="K1914" s="12">
        <v>125</v>
      </c>
      <c r="L1914" s="12">
        <v>125</v>
      </c>
      <c r="M1914" s="12">
        <v>125</v>
      </c>
    </row>
    <row r="1915" spans="1:13" s="3" customFormat="1" x14ac:dyDescent="0.25">
      <c r="A1915" s="10" t="s">
        <v>18</v>
      </c>
      <c r="B1915" s="11"/>
      <c r="C1915" s="12"/>
      <c r="D1915" s="12"/>
      <c r="E1915" s="12"/>
      <c r="F1915" s="12">
        <v>100</v>
      </c>
      <c r="G1915" s="12">
        <v>100</v>
      </c>
      <c r="H1915" s="12">
        <f>H1914*1.4-100</f>
        <v>75</v>
      </c>
      <c r="I1915" s="12">
        <v>75</v>
      </c>
      <c r="J1915" s="12">
        <v>75</v>
      </c>
      <c r="K1915" s="12">
        <v>75</v>
      </c>
      <c r="L1915" s="12">
        <v>75</v>
      </c>
      <c r="M1915" s="12">
        <v>75</v>
      </c>
    </row>
    <row r="1916" spans="1:13" s="3" customFormat="1" x14ac:dyDescent="0.25">
      <c r="A1916" s="10" t="s">
        <v>19</v>
      </c>
      <c r="B1916" s="11"/>
      <c r="C1916" s="12"/>
      <c r="D1916" s="12"/>
      <c r="E1916" s="12"/>
      <c r="F1916" s="12">
        <f>F1914*1.4-(75)</f>
        <v>100</v>
      </c>
      <c r="G1916" s="12">
        <f>G1914*1.4-(75)</f>
        <v>100</v>
      </c>
      <c r="H1916" s="12">
        <v>75</v>
      </c>
      <c r="I1916" s="12">
        <v>75</v>
      </c>
      <c r="J1916" s="12">
        <v>75</v>
      </c>
      <c r="K1916" s="12">
        <v>75</v>
      </c>
      <c r="L1916" s="12">
        <f>L1914+0.4*K1914-75-25</f>
        <v>75</v>
      </c>
      <c r="M1916" s="12"/>
    </row>
    <row r="1917" spans="1:13" s="3" customFormat="1" x14ac:dyDescent="0.25">
      <c r="A1917" s="10" t="s">
        <v>20</v>
      </c>
      <c r="B1917" s="11"/>
      <c r="C1917" s="12"/>
      <c r="D1917" s="12"/>
      <c r="E1917" s="12"/>
      <c r="F1917" s="12">
        <v>3</v>
      </c>
      <c r="G1917" s="12">
        <v>5.91</v>
      </c>
      <c r="H1917" s="12">
        <v>7.76</v>
      </c>
      <c r="I1917" s="12">
        <v>6.2</v>
      </c>
      <c r="J1917" s="12">
        <v>6.06</v>
      </c>
      <c r="K1917" s="12">
        <v>0.95</v>
      </c>
      <c r="L1917" s="15">
        <v>4.09</v>
      </c>
      <c r="M1917" s="15"/>
    </row>
    <row r="1918" spans="1:13" s="3" customFormat="1" x14ac:dyDescent="0.25">
      <c r="A1918" s="10" t="s">
        <v>21</v>
      </c>
      <c r="B1918" s="11"/>
      <c r="C1918" s="12"/>
      <c r="D1918" s="12"/>
      <c r="E1918" s="12"/>
      <c r="F1918" s="12">
        <f>F1915-F1917</f>
        <v>97</v>
      </c>
      <c r="G1918" s="12">
        <f>G1915-G1917</f>
        <v>94.09</v>
      </c>
      <c r="H1918" s="12">
        <v>67.239999999999995</v>
      </c>
      <c r="I1918" s="12">
        <f>I1915-I1917</f>
        <v>68.8</v>
      </c>
      <c r="J1918" s="12">
        <f>J1915-J1917</f>
        <v>68.94</v>
      </c>
      <c r="K1918" s="12">
        <f>K1915-K1917</f>
        <v>74.05</v>
      </c>
      <c r="L1918" s="12">
        <f>L1915-L1917</f>
        <v>70.91</v>
      </c>
      <c r="M1918" s="12"/>
    </row>
    <row r="1919" spans="1:13" s="3" customFormat="1" x14ac:dyDescent="0.25">
      <c r="A1919" s="16" t="s">
        <v>22</v>
      </c>
      <c r="B1919" s="17"/>
      <c r="C1919" s="17"/>
      <c r="D1919" s="17"/>
      <c r="E1919" s="17"/>
      <c r="F1919" s="159">
        <v>2019</v>
      </c>
      <c r="G1919" s="159">
        <v>2020</v>
      </c>
      <c r="H1919" s="159">
        <v>2021</v>
      </c>
      <c r="I1919" s="159">
        <v>2022</v>
      </c>
      <c r="J1919" s="159">
        <v>2023</v>
      </c>
      <c r="K1919" s="159">
        <v>2024</v>
      </c>
      <c r="L1919" s="159">
        <v>2025</v>
      </c>
      <c r="M1919" s="159">
        <v>2026</v>
      </c>
    </row>
    <row r="1920" spans="1:13" s="3" customFormat="1" ht="25.95" customHeight="1" x14ac:dyDescent="0.25">
      <c r="A1920" s="160" t="s">
        <v>662</v>
      </c>
      <c r="B1920" s="597"/>
      <c r="C1920" s="597"/>
      <c r="D1920" s="597"/>
      <c r="E1920" s="597"/>
      <c r="F1920" s="597"/>
      <c r="G1920" s="597"/>
      <c r="H1920" s="597"/>
      <c r="I1920" s="597"/>
      <c r="J1920" s="19"/>
      <c r="K1920" s="19"/>
      <c r="L1920" s="19"/>
      <c r="M1920" s="63"/>
    </row>
    <row r="1921" spans="1:13" s="3" customFormat="1" ht="34.200000000000003" customHeight="1" x14ac:dyDescent="0.25">
      <c r="A1921" s="161" t="s">
        <v>260</v>
      </c>
      <c r="B1921" s="4"/>
      <c r="C1921" s="4"/>
      <c r="D1921" s="4"/>
      <c r="E1921" s="4"/>
      <c r="F1921" s="4"/>
      <c r="G1921" s="4"/>
      <c r="H1921" s="4"/>
      <c r="I1921" s="4"/>
      <c r="M1921" s="64"/>
    </row>
    <row r="1922" spans="1:13" s="3" customFormat="1" ht="27.6" customHeight="1" x14ac:dyDescent="0.25">
      <c r="A1922" s="161" t="s">
        <v>521</v>
      </c>
      <c r="B1922" s="4"/>
      <c r="C1922" s="4"/>
      <c r="D1922" s="4"/>
      <c r="E1922" s="4"/>
      <c r="F1922" s="4"/>
      <c r="G1922" s="4"/>
      <c r="H1922" s="4"/>
      <c r="I1922" s="4"/>
      <c r="M1922" s="64"/>
    </row>
    <row r="1923" spans="1:13" s="3" customFormat="1" ht="27.6" customHeight="1" x14ac:dyDescent="0.25">
      <c r="A1923" s="161" t="s">
        <v>522</v>
      </c>
      <c r="B1923" s="4"/>
      <c r="C1923" s="4"/>
      <c r="D1923" s="4"/>
      <c r="E1923" s="4"/>
      <c r="F1923" s="4"/>
      <c r="G1923" s="4"/>
      <c r="H1923" s="4"/>
      <c r="I1923" s="4"/>
      <c r="M1923" s="64"/>
    </row>
    <row r="1924" spans="1:13" s="3" customFormat="1" ht="27.6" customHeight="1" x14ac:dyDescent="0.25">
      <c r="A1924" s="161" t="s">
        <v>661</v>
      </c>
      <c r="M1924" s="64"/>
    </row>
    <row r="1925" spans="1:13" s="3" customFormat="1" ht="27.6" customHeight="1" x14ac:dyDescent="0.25">
      <c r="A1925" s="161" t="s">
        <v>849</v>
      </c>
      <c r="M1925" s="64"/>
    </row>
    <row r="1926" spans="1:13" s="3" customFormat="1" ht="30" customHeight="1" x14ac:dyDescent="0.25">
      <c r="A1926" s="245" t="s">
        <v>1070</v>
      </c>
      <c r="B1926" s="34"/>
      <c r="C1926" s="34"/>
      <c r="D1926" s="34"/>
      <c r="E1926" s="34"/>
      <c r="F1926" s="34"/>
      <c r="G1926" s="34"/>
      <c r="H1926" s="34"/>
      <c r="I1926" s="34"/>
      <c r="J1926" s="34"/>
      <c r="K1926" s="34"/>
      <c r="L1926" s="34"/>
      <c r="M1926" s="48"/>
    </row>
    <row r="1927" spans="1:13" s="3" customFormat="1" x14ac:dyDescent="0.25"/>
    <row r="1928" spans="1:13" s="3" customFormat="1" x14ac:dyDescent="0.25">
      <c r="A1928" s="6" t="s">
        <v>14</v>
      </c>
      <c r="B1928" s="481" t="s">
        <v>74</v>
      </c>
      <c r="C1928" s="7" t="s">
        <v>15</v>
      </c>
    </row>
    <row r="1929" spans="1:13" s="3" customFormat="1" x14ac:dyDescent="0.25">
      <c r="A1929" s="41" t="s">
        <v>16</v>
      </c>
      <c r="B1929" s="477"/>
      <c r="C1929" s="154">
        <v>2015</v>
      </c>
      <c r="D1929" s="154">
        <v>2016</v>
      </c>
      <c r="E1929" s="154">
        <v>2017</v>
      </c>
      <c r="F1929" s="154">
        <v>2018</v>
      </c>
      <c r="G1929" s="154">
        <v>2019</v>
      </c>
      <c r="H1929" s="154">
        <v>2020</v>
      </c>
      <c r="I1929" s="154">
        <v>2021</v>
      </c>
      <c r="J1929" s="154">
        <v>2022</v>
      </c>
      <c r="K1929" s="154">
        <v>2023</v>
      </c>
      <c r="L1929" s="154">
        <v>2024</v>
      </c>
    </row>
    <row r="1930" spans="1:13" s="3" customFormat="1" x14ac:dyDescent="0.25">
      <c r="A1930" s="10" t="s">
        <v>17</v>
      </c>
      <c r="B1930" s="277"/>
      <c r="C1930" s="277">
        <v>20</v>
      </c>
      <c r="D1930" s="277">
        <v>20</v>
      </c>
      <c r="E1930" s="277">
        <v>20</v>
      </c>
      <c r="F1930" s="277">
        <v>20</v>
      </c>
      <c r="G1930" s="277">
        <v>20</v>
      </c>
      <c r="H1930" s="300">
        <v>16.8</v>
      </c>
      <c r="I1930" s="11">
        <v>16.8</v>
      </c>
      <c r="J1930" s="11">
        <v>16.8</v>
      </c>
      <c r="K1930" s="11">
        <v>16.8</v>
      </c>
      <c r="L1930" s="11">
        <v>16.8</v>
      </c>
    </row>
    <row r="1931" spans="1:13" s="3" customFormat="1" x14ac:dyDescent="0.25">
      <c r="A1931" s="10" t="s">
        <v>18</v>
      </c>
      <c r="B1931" s="277"/>
      <c r="C1931" s="277"/>
      <c r="D1931" s="277">
        <v>-64.900000000000006</v>
      </c>
      <c r="E1931" s="277">
        <v>-63.600000000000009</v>
      </c>
      <c r="F1931" s="277">
        <v>-43.600000000000009</v>
      </c>
      <c r="G1931" s="277">
        <v>-23.600000000000009</v>
      </c>
      <c r="H1931" s="277">
        <f>G1934+H1930+2</f>
        <v>-4.8000000000000078</v>
      </c>
      <c r="I1931" s="12">
        <f>I1930+H1934+2</f>
        <v>13.999999999999993</v>
      </c>
      <c r="J1931" s="12">
        <f>J1930+2</f>
        <v>18.8</v>
      </c>
      <c r="K1931" s="12">
        <f>K1930+2</f>
        <v>18.8</v>
      </c>
      <c r="L1931" s="12">
        <f>L1930+2</f>
        <v>18.8</v>
      </c>
    </row>
    <row r="1932" spans="1:13" s="3" customFormat="1" x14ac:dyDescent="0.25">
      <c r="A1932" s="10" t="s">
        <v>19</v>
      </c>
      <c r="B1932" s="278"/>
      <c r="C1932" s="278"/>
      <c r="D1932" s="293">
        <v>1</v>
      </c>
      <c r="E1932" s="293">
        <v>2</v>
      </c>
      <c r="F1932" s="293">
        <v>3</v>
      </c>
      <c r="G1932" s="293">
        <v>4</v>
      </c>
      <c r="H1932" s="293">
        <v>5</v>
      </c>
      <c r="I1932" s="197">
        <v>6</v>
      </c>
      <c r="J1932" s="197">
        <v>7</v>
      </c>
      <c r="K1932" s="197">
        <v>8</v>
      </c>
      <c r="L1932" s="197">
        <v>9</v>
      </c>
    </row>
    <row r="1933" spans="1:13" s="3" customFormat="1" x14ac:dyDescent="0.25">
      <c r="A1933" s="10" t="s">
        <v>20</v>
      </c>
      <c r="B1933" s="12"/>
      <c r="C1933" s="12">
        <v>34.9</v>
      </c>
      <c r="D1933" s="12">
        <v>18.7</v>
      </c>
      <c r="E1933" s="12">
        <v>0</v>
      </c>
      <c r="F1933" s="12">
        <v>0</v>
      </c>
      <c r="G1933" s="12">
        <v>0</v>
      </c>
      <c r="H1933" s="12">
        <v>0</v>
      </c>
      <c r="I1933" s="11">
        <v>0.6</v>
      </c>
      <c r="J1933" s="11">
        <v>0</v>
      </c>
      <c r="K1933" s="11">
        <v>0</v>
      </c>
      <c r="L1933" s="12">
        <v>0.13172300000000001</v>
      </c>
    </row>
    <row r="1934" spans="1:13" s="3" customFormat="1" x14ac:dyDescent="0.25">
      <c r="A1934" s="10" t="s">
        <v>21</v>
      </c>
      <c r="B1934" s="12"/>
      <c r="C1934" s="12">
        <v>-84.9</v>
      </c>
      <c r="D1934" s="12">
        <v>-83.600000000000009</v>
      </c>
      <c r="E1934" s="12">
        <v>-63.600000000000009</v>
      </c>
      <c r="F1934" s="12">
        <v>-43.600000000000009</v>
      </c>
      <c r="G1934" s="12">
        <f t="shared" ref="G1934:L1934" si="80">G1931-G1933</f>
        <v>-23.600000000000009</v>
      </c>
      <c r="H1934" s="12">
        <f t="shared" si="80"/>
        <v>-4.8000000000000078</v>
      </c>
      <c r="I1934" s="12">
        <f t="shared" si="80"/>
        <v>13.399999999999993</v>
      </c>
      <c r="J1934" s="12">
        <f t="shared" si="80"/>
        <v>18.8</v>
      </c>
      <c r="K1934" s="12">
        <f t="shared" si="80"/>
        <v>18.8</v>
      </c>
      <c r="L1934" s="12">
        <f t="shared" si="80"/>
        <v>18.668277</v>
      </c>
    </row>
    <row r="1935" spans="1:13" s="3" customFormat="1" x14ac:dyDescent="0.25">
      <c r="A1935" s="16" t="s">
        <v>22</v>
      </c>
      <c r="B1935" s="520"/>
      <c r="C1935" s="159">
        <v>2016</v>
      </c>
      <c r="D1935" s="159">
        <v>2017</v>
      </c>
      <c r="E1935" s="159">
        <v>2018</v>
      </c>
      <c r="F1935" s="159">
        <v>2019</v>
      </c>
      <c r="G1935" s="159">
        <v>2020</v>
      </c>
      <c r="H1935" s="159">
        <v>2021</v>
      </c>
      <c r="I1935" s="159">
        <v>2022</v>
      </c>
      <c r="J1935" s="159"/>
      <c r="K1935" s="159"/>
      <c r="L1935" s="159"/>
    </row>
    <row r="1936" spans="1:13" s="3" customFormat="1" x14ac:dyDescent="0.25">
      <c r="A1936" s="16" t="s">
        <v>523</v>
      </c>
      <c r="B1936" s="521"/>
      <c r="C1936" s="521"/>
      <c r="D1936" s="521"/>
      <c r="E1936" s="521"/>
      <c r="F1936" s="522"/>
      <c r="G1936" s="522"/>
      <c r="H1936" s="522"/>
      <c r="I1936" s="46"/>
      <c r="J1936" s="46"/>
      <c r="K1936" s="46"/>
      <c r="L1936" s="47"/>
    </row>
    <row r="1937" spans="1:13" s="3" customFormat="1" x14ac:dyDescent="0.25">
      <c r="A1937" s="39" t="s">
        <v>524</v>
      </c>
      <c r="B1937" s="2"/>
      <c r="C1937" s="2"/>
      <c r="D1937" s="2"/>
      <c r="E1937" s="2"/>
      <c r="F1937" s="523"/>
      <c r="G1937" s="523"/>
      <c r="H1937" s="523"/>
      <c r="L1937" s="64"/>
    </row>
    <row r="1938" spans="1:13" s="3" customFormat="1" x14ac:dyDescent="0.25">
      <c r="A1938" s="39" t="s">
        <v>525</v>
      </c>
      <c r="B1938" s="2"/>
      <c r="C1938" s="2"/>
      <c r="D1938" s="2"/>
      <c r="E1938" s="2"/>
      <c r="F1938" s="523"/>
      <c r="G1938" s="523"/>
      <c r="H1938" s="523"/>
      <c r="L1938" s="64"/>
    </row>
    <row r="1939" spans="1:13" s="3" customFormat="1" x14ac:dyDescent="0.25">
      <c r="A1939" s="39" t="s">
        <v>526</v>
      </c>
      <c r="B1939" s="2"/>
      <c r="C1939" s="2"/>
      <c r="D1939" s="2"/>
      <c r="E1939" s="2"/>
      <c r="F1939" s="523"/>
      <c r="G1939" s="523"/>
      <c r="H1939" s="523"/>
      <c r="L1939" s="64"/>
    </row>
    <row r="1940" spans="1:13" s="3" customFormat="1" x14ac:dyDescent="0.25">
      <c r="A1940" s="39" t="s">
        <v>527</v>
      </c>
      <c r="B1940" s="2"/>
      <c r="C1940" s="2"/>
      <c r="D1940" s="2"/>
      <c r="E1940" s="2"/>
      <c r="F1940" s="523"/>
      <c r="G1940" s="523"/>
      <c r="H1940" s="523"/>
      <c r="L1940" s="64"/>
    </row>
    <row r="1941" spans="1:13" s="3" customFormat="1" x14ac:dyDescent="0.25">
      <c r="A1941" s="39" t="s">
        <v>664</v>
      </c>
      <c r="B1941" s="2"/>
      <c r="C1941" s="2"/>
      <c r="D1941" s="2"/>
      <c r="E1941" s="2"/>
      <c r="F1941" s="523"/>
      <c r="G1941" s="523"/>
      <c r="H1941" s="523"/>
      <c r="L1941" s="64"/>
    </row>
    <row r="1942" spans="1:13" s="3" customFormat="1" x14ac:dyDescent="0.25">
      <c r="A1942" s="39" t="s">
        <v>663</v>
      </c>
      <c r="B1942" s="2"/>
      <c r="C1942" s="2"/>
      <c r="D1942" s="2"/>
      <c r="E1942" s="2"/>
      <c r="F1942" s="523"/>
      <c r="G1942" s="523"/>
      <c r="H1942" s="523"/>
      <c r="L1942" s="64"/>
    </row>
    <row r="1943" spans="1:13" s="3" customFormat="1" x14ac:dyDescent="0.25">
      <c r="A1943" s="39" t="s">
        <v>850</v>
      </c>
      <c r="B1943" s="2"/>
      <c r="C1943" s="2"/>
      <c r="D1943" s="2"/>
      <c r="E1943" s="2"/>
      <c r="F1943" s="523"/>
      <c r="G1943" s="523"/>
      <c r="H1943" s="523"/>
      <c r="L1943" s="64"/>
    </row>
    <row r="1944" spans="1:13" s="3" customFormat="1" x14ac:dyDescent="0.25">
      <c r="A1944" s="41" t="s">
        <v>1072</v>
      </c>
      <c r="B1944" s="33"/>
      <c r="C1944" s="33"/>
      <c r="D1944" s="33"/>
      <c r="E1944" s="33"/>
      <c r="F1944" s="524"/>
      <c r="G1944" s="524"/>
      <c r="H1944" s="524"/>
      <c r="I1944" s="34"/>
      <c r="J1944" s="34"/>
      <c r="K1944" s="34"/>
      <c r="L1944" s="48"/>
    </row>
    <row r="1945" spans="1:13" s="3" customFormat="1" x14ac:dyDescent="0.25"/>
    <row r="1946" spans="1:13" s="3" customFormat="1" x14ac:dyDescent="0.25">
      <c r="A1946" s="6" t="s">
        <v>14</v>
      </c>
      <c r="B1946" s="481" t="s">
        <v>79</v>
      </c>
      <c r="C1946" s="7" t="s">
        <v>15</v>
      </c>
    </row>
    <row r="1947" spans="1:13" s="3" customFormat="1" x14ac:dyDescent="0.25">
      <c r="A1947" s="41" t="s">
        <v>16</v>
      </c>
      <c r="B1947" s="477"/>
      <c r="C1947" s="9">
        <v>2015</v>
      </c>
      <c r="D1947" s="9">
        <v>2016</v>
      </c>
      <c r="E1947" s="9">
        <v>2017</v>
      </c>
      <c r="F1947" s="9">
        <v>2018</v>
      </c>
      <c r="G1947" s="9">
        <v>2019</v>
      </c>
      <c r="H1947" s="9">
        <v>2020</v>
      </c>
      <c r="I1947" s="154">
        <v>2021</v>
      </c>
      <c r="J1947" s="154">
        <v>2022</v>
      </c>
      <c r="K1947" s="154">
        <v>2023</v>
      </c>
      <c r="L1947" s="154">
        <v>2024</v>
      </c>
      <c r="M1947" s="501">
        <v>2024</v>
      </c>
    </row>
    <row r="1948" spans="1:13" s="3" customFormat="1" x14ac:dyDescent="0.25">
      <c r="A1948" s="10" t="s">
        <v>17</v>
      </c>
      <c r="B1948" s="277"/>
      <c r="C1948" s="277">
        <v>15</v>
      </c>
      <c r="D1948" s="277">
        <v>15</v>
      </c>
      <c r="E1948" s="277">
        <v>15</v>
      </c>
      <c r="F1948" s="277">
        <v>15</v>
      </c>
      <c r="G1948" s="277">
        <v>15</v>
      </c>
      <c r="H1948" s="300">
        <v>15</v>
      </c>
      <c r="I1948" s="12">
        <v>15</v>
      </c>
      <c r="J1948" s="12">
        <v>15</v>
      </c>
      <c r="K1948" s="12">
        <v>15</v>
      </c>
      <c r="L1948" s="12">
        <v>15</v>
      </c>
      <c r="M1948" s="131">
        <v>15</v>
      </c>
    </row>
    <row r="1949" spans="1:13" s="3" customFormat="1" x14ac:dyDescent="0.25">
      <c r="A1949" s="10" t="s">
        <v>18</v>
      </c>
      <c r="B1949" s="277"/>
      <c r="C1949" s="277"/>
      <c r="D1949" s="277">
        <v>-59.3</v>
      </c>
      <c r="E1949" s="277">
        <v>-64.199999999999989</v>
      </c>
      <c r="F1949" s="277">
        <v>-49.199999999999989</v>
      </c>
      <c r="G1949" s="277">
        <v>-34.199999999999989</v>
      </c>
      <c r="H1949" s="277">
        <f>G1952+H1948</f>
        <v>-19.199999999999989</v>
      </c>
      <c r="I1949" s="12">
        <f>I1948+H1952</f>
        <v>-4.1999999999999886</v>
      </c>
      <c r="J1949" s="12">
        <f>J1948+I1952</f>
        <v>10.440000000000012</v>
      </c>
      <c r="K1949" s="12"/>
      <c r="L1949" s="12">
        <f t="shared" ref="L1949" si="81">L1948+K1952</f>
        <v>15</v>
      </c>
      <c r="M1949" s="12"/>
    </row>
    <row r="1950" spans="1:13" s="3" customFormat="1" x14ac:dyDescent="0.25">
      <c r="A1950" s="10" t="s">
        <v>19</v>
      </c>
      <c r="B1950" s="278"/>
      <c r="C1950" s="278"/>
      <c r="D1950" s="293">
        <v>1</v>
      </c>
      <c r="E1950" s="293">
        <v>2</v>
      </c>
      <c r="F1950" s="293">
        <v>3</v>
      </c>
      <c r="G1950" s="293">
        <v>4</v>
      </c>
      <c r="H1950" s="293">
        <v>5</v>
      </c>
      <c r="I1950" s="197">
        <v>6</v>
      </c>
      <c r="J1950" s="197">
        <v>7</v>
      </c>
      <c r="K1950" s="197">
        <v>8</v>
      </c>
      <c r="L1950" s="197">
        <v>9</v>
      </c>
      <c r="M1950" s="249">
        <v>10</v>
      </c>
    </row>
    <row r="1951" spans="1:13" s="3" customFormat="1" x14ac:dyDescent="0.25">
      <c r="A1951" s="10" t="s">
        <v>20</v>
      </c>
      <c r="B1951" s="12"/>
      <c r="C1951" s="12">
        <v>31.9</v>
      </c>
      <c r="D1951" s="12">
        <v>19.899999999999999</v>
      </c>
      <c r="E1951" s="12">
        <v>0</v>
      </c>
      <c r="F1951" s="12">
        <v>0</v>
      </c>
      <c r="G1951" s="12">
        <v>0</v>
      </c>
      <c r="H1951" s="12">
        <v>0</v>
      </c>
      <c r="I1951" s="12">
        <v>0.36</v>
      </c>
      <c r="J1951" s="12">
        <v>0</v>
      </c>
      <c r="K1951" s="12">
        <v>0</v>
      </c>
      <c r="L1951" s="12">
        <v>1.53</v>
      </c>
      <c r="M1951" s="90"/>
    </row>
    <row r="1952" spans="1:13" s="3" customFormat="1" x14ac:dyDescent="0.25">
      <c r="A1952" s="10" t="s">
        <v>21</v>
      </c>
      <c r="B1952" s="12"/>
      <c r="C1952" s="12">
        <v>-74.3</v>
      </c>
      <c r="D1952" s="12">
        <v>-79.199999999999989</v>
      </c>
      <c r="E1952" s="12">
        <v>-64.199999999999989</v>
      </c>
      <c r="F1952" s="12">
        <v>-49.199999999999989</v>
      </c>
      <c r="G1952" s="12">
        <f t="shared" ref="G1952:L1952" si="82">G1949-G1951</f>
        <v>-34.199999999999989</v>
      </c>
      <c r="H1952" s="12">
        <f t="shared" si="82"/>
        <v>-19.199999999999989</v>
      </c>
      <c r="I1952" s="12">
        <f t="shared" si="82"/>
        <v>-4.559999999999989</v>
      </c>
      <c r="J1952" s="12">
        <f t="shared" si="82"/>
        <v>10.440000000000012</v>
      </c>
      <c r="K1952" s="12">
        <f t="shared" si="82"/>
        <v>0</v>
      </c>
      <c r="L1952" s="12">
        <f t="shared" si="82"/>
        <v>13.47</v>
      </c>
      <c r="M1952" s="12"/>
    </row>
    <row r="1953" spans="1:13" s="3" customFormat="1" x14ac:dyDescent="0.25">
      <c r="A1953" s="62" t="s">
        <v>22</v>
      </c>
      <c r="B1953" s="127"/>
      <c r="C1953" s="655">
        <v>2016</v>
      </c>
      <c r="D1953" s="655">
        <v>2017</v>
      </c>
      <c r="E1953" s="655">
        <v>2018</v>
      </c>
      <c r="F1953" s="655">
        <v>2019</v>
      </c>
      <c r="G1953" s="655">
        <v>2020</v>
      </c>
      <c r="H1953" s="655">
        <v>2021</v>
      </c>
      <c r="I1953" s="655">
        <v>2022</v>
      </c>
      <c r="J1953" s="655"/>
      <c r="K1953" s="655"/>
      <c r="L1953" s="655"/>
      <c r="M1953" s="62"/>
    </row>
    <row r="1954" spans="1:13" s="3" customFormat="1" x14ac:dyDescent="0.25">
      <c r="A1954" s="18" t="s">
        <v>523</v>
      </c>
      <c r="B1954" s="289"/>
      <c r="C1954" s="289"/>
      <c r="D1954" s="447"/>
      <c r="E1954" s="447"/>
      <c r="F1954" s="447"/>
      <c r="G1954" s="447"/>
      <c r="H1954" s="447"/>
      <c r="I1954" s="447"/>
      <c r="J1954" s="447"/>
      <c r="K1954" s="19"/>
      <c r="L1954" s="19"/>
      <c r="M1954" s="63"/>
    </row>
    <row r="1955" spans="1:13" s="3" customFormat="1" x14ac:dyDescent="0.25">
      <c r="A1955" s="39" t="s">
        <v>524</v>
      </c>
      <c r="B1955" s="2"/>
      <c r="C1955" s="2"/>
      <c r="D1955" s="454"/>
      <c r="E1955" s="454"/>
      <c r="F1955" s="454"/>
      <c r="G1955" s="454"/>
      <c r="H1955" s="454"/>
      <c r="I1955" s="454"/>
      <c r="J1955" s="454"/>
      <c r="M1955" s="64"/>
    </row>
    <row r="1956" spans="1:13" s="3" customFormat="1" x14ac:dyDescent="0.25">
      <c r="A1956" s="39" t="s">
        <v>525</v>
      </c>
      <c r="B1956" s="2"/>
      <c r="C1956" s="2"/>
      <c r="D1956" s="454"/>
      <c r="E1956" s="454"/>
      <c r="F1956" s="454"/>
      <c r="G1956" s="454"/>
      <c r="H1956" s="454"/>
      <c r="I1956" s="454"/>
      <c r="J1956" s="454"/>
      <c r="M1956" s="64"/>
    </row>
    <row r="1957" spans="1:13" s="3" customFormat="1" x14ac:dyDescent="0.25">
      <c r="A1957" s="39" t="s">
        <v>526</v>
      </c>
      <c r="B1957" s="2"/>
      <c r="C1957" s="2"/>
      <c r="D1957" s="454"/>
      <c r="E1957" s="454"/>
      <c r="F1957" s="454"/>
      <c r="G1957" s="454"/>
      <c r="H1957" s="454"/>
      <c r="I1957" s="454"/>
      <c r="J1957" s="454"/>
      <c r="M1957" s="64"/>
    </row>
    <row r="1958" spans="1:13" s="3" customFormat="1" x14ac:dyDescent="0.25">
      <c r="A1958" s="39" t="s">
        <v>528</v>
      </c>
      <c r="B1958" s="2"/>
      <c r="C1958" s="2"/>
      <c r="D1958" s="454"/>
      <c r="E1958" s="454"/>
      <c r="F1958" s="454"/>
      <c r="G1958" s="454"/>
      <c r="H1958" s="454"/>
      <c r="I1958" s="454"/>
      <c r="J1958" s="454"/>
      <c r="M1958" s="64"/>
    </row>
    <row r="1959" spans="1:13" s="3" customFormat="1" x14ac:dyDescent="0.25">
      <c r="A1959" s="39" t="s">
        <v>529</v>
      </c>
      <c r="B1959" s="2"/>
      <c r="C1959" s="2"/>
      <c r="D1959" s="454"/>
      <c r="E1959" s="454"/>
      <c r="F1959" s="454"/>
      <c r="G1959" s="454"/>
      <c r="H1959" s="454"/>
      <c r="I1959" s="454"/>
      <c r="J1959" s="454"/>
      <c r="M1959" s="64"/>
    </row>
    <row r="1960" spans="1:13" s="3" customFormat="1" x14ac:dyDescent="0.25">
      <c r="A1960" s="39" t="s">
        <v>665</v>
      </c>
      <c r="B1960" s="2"/>
      <c r="C1960" s="2"/>
      <c r="D1960" s="454"/>
      <c r="E1960" s="454"/>
      <c r="F1960" s="454"/>
      <c r="G1960" s="454"/>
      <c r="H1960" s="454"/>
      <c r="I1960" s="454"/>
      <c r="J1960" s="454"/>
      <c r="M1960" s="64"/>
    </row>
    <row r="1961" spans="1:13" s="3" customFormat="1" x14ac:dyDescent="0.25">
      <c r="A1961" s="41"/>
      <c r="B1961" s="34"/>
      <c r="C1961" s="34"/>
      <c r="D1961" s="34"/>
      <c r="E1961" s="34"/>
      <c r="F1961" s="34"/>
      <c r="G1961" s="34"/>
      <c r="H1961" s="34"/>
      <c r="I1961" s="34"/>
      <c r="J1961" s="34"/>
      <c r="K1961" s="34"/>
      <c r="L1961" s="34"/>
      <c r="M1961" s="48"/>
    </row>
    <row r="1962" spans="1:13" s="3" customFormat="1" x14ac:dyDescent="0.25"/>
    <row r="1963" spans="1:13" s="3" customFormat="1" x14ac:dyDescent="0.25">
      <c r="A1963" s="6" t="s">
        <v>11</v>
      </c>
      <c r="B1963" s="7" t="s">
        <v>38</v>
      </c>
    </row>
    <row r="1964" spans="1:13" s="3" customFormat="1" x14ac:dyDescent="0.25">
      <c r="A1964" s="6" t="s">
        <v>1</v>
      </c>
      <c r="B1964" s="481" t="s">
        <v>642</v>
      </c>
      <c r="C1964" s="9" t="s">
        <v>2</v>
      </c>
    </row>
    <row r="1965" spans="1:13" s="3" customFormat="1" x14ac:dyDescent="0.25">
      <c r="A1965" s="11" t="s">
        <v>3</v>
      </c>
      <c r="B1965" s="526">
        <v>2016</v>
      </c>
      <c r="C1965" s="527">
        <v>2017</v>
      </c>
      <c r="D1965" s="527">
        <v>2018</v>
      </c>
      <c r="E1965" s="527">
        <v>2019</v>
      </c>
      <c r="F1965" s="154">
        <v>2020</v>
      </c>
      <c r="G1965" s="154">
        <v>2021</v>
      </c>
      <c r="H1965" s="154">
        <v>2022</v>
      </c>
      <c r="I1965" s="154">
        <v>2023</v>
      </c>
      <c r="J1965" s="154">
        <v>2024</v>
      </c>
      <c r="K1965" s="154">
        <v>2025</v>
      </c>
    </row>
    <row r="1966" spans="1:13" s="3" customFormat="1" x14ac:dyDescent="0.25">
      <c r="A1966" s="10" t="s">
        <v>4</v>
      </c>
      <c r="B1966" s="528">
        <v>1491.71</v>
      </c>
      <c r="C1966" s="528">
        <v>1791</v>
      </c>
      <c r="D1966" s="189">
        <v>2115</v>
      </c>
      <c r="E1966" s="189">
        <v>2400</v>
      </c>
      <c r="F1966" s="189">
        <v>2655</v>
      </c>
      <c r="G1966" s="189">
        <v>2655</v>
      </c>
      <c r="H1966" s="189">
        <v>2655</v>
      </c>
      <c r="I1966" s="189">
        <v>3000</v>
      </c>
      <c r="J1966" s="189">
        <v>3000</v>
      </c>
      <c r="K1966" s="189">
        <v>3000</v>
      </c>
    </row>
    <row r="1967" spans="1:13" s="3" customFormat="1" x14ac:dyDescent="0.25">
      <c r="A1967" s="10" t="s">
        <v>5</v>
      </c>
      <c r="B1967" s="528">
        <v>1491.71</v>
      </c>
      <c r="C1967" s="528">
        <v>1791</v>
      </c>
      <c r="D1967" s="189">
        <v>2115</v>
      </c>
      <c r="E1967" s="189">
        <v>2400</v>
      </c>
      <c r="F1967" s="189">
        <v>2675.4</v>
      </c>
      <c r="G1967" s="189">
        <f>G1966+79.2+21.55</f>
        <v>2755.75</v>
      </c>
      <c r="H1967" s="189">
        <f>H1966+24.72</f>
        <v>2679.72</v>
      </c>
      <c r="I1967" s="189">
        <v>3020</v>
      </c>
      <c r="J1967" s="189">
        <v>3030</v>
      </c>
      <c r="K1967" s="189">
        <v>3020.62</v>
      </c>
    </row>
    <row r="1968" spans="1:13" s="3" customFormat="1" x14ac:dyDescent="0.25">
      <c r="A1968" s="10" t="s">
        <v>6</v>
      </c>
      <c r="B1968" s="12"/>
      <c r="C1968" s="188"/>
      <c r="D1968" s="12"/>
      <c r="E1968" s="189"/>
      <c r="F1968" s="189"/>
      <c r="G1968" s="189"/>
      <c r="H1968" s="189"/>
      <c r="I1968" s="189"/>
      <c r="J1968" s="189"/>
      <c r="K1968" s="189"/>
    </row>
    <row r="1969" spans="1:11" s="3" customFormat="1" x14ac:dyDescent="0.25">
      <c r="A1969" s="10" t="s">
        <v>7</v>
      </c>
      <c r="B1969" s="189">
        <v>1490.58</v>
      </c>
      <c r="C1969" s="189">
        <v>1789.538</v>
      </c>
      <c r="D1969" s="189">
        <v>2102.0929999999998</v>
      </c>
      <c r="E1969" s="189">
        <v>2379.1309999999999</v>
      </c>
      <c r="F1969" s="189">
        <v>2653.377</v>
      </c>
      <c r="G1969" s="189">
        <v>2729.7379999999998</v>
      </c>
      <c r="H1969" s="189">
        <v>2652.7869999999998</v>
      </c>
      <c r="I1969" s="189">
        <v>2989.87</v>
      </c>
      <c r="J1969" s="529">
        <v>2998</v>
      </c>
      <c r="K1969" s="529"/>
    </row>
    <row r="1970" spans="1:11" s="3" customFormat="1" x14ac:dyDescent="0.25">
      <c r="A1970" s="10" t="s">
        <v>8</v>
      </c>
      <c r="B1970" s="12">
        <v>1.1300000000001091</v>
      </c>
      <c r="C1970" s="12">
        <v>1.4619999999999891</v>
      </c>
      <c r="D1970" s="12">
        <v>12.907000000000153</v>
      </c>
      <c r="E1970" s="12">
        <f t="shared" ref="E1970:J1970" si="83">E1967-E1969</f>
        <v>20.869000000000142</v>
      </c>
      <c r="F1970" s="189">
        <f t="shared" si="83"/>
        <v>22.023000000000138</v>
      </c>
      <c r="G1970" s="189">
        <f t="shared" si="83"/>
        <v>26.012000000000171</v>
      </c>
      <c r="H1970" s="189">
        <f t="shared" si="83"/>
        <v>26.932999999999993</v>
      </c>
      <c r="I1970" s="189">
        <f t="shared" si="83"/>
        <v>30.130000000000109</v>
      </c>
      <c r="J1970" s="189">
        <f t="shared" si="83"/>
        <v>32</v>
      </c>
      <c r="K1970" s="189"/>
    </row>
    <row r="1971" spans="1:11" s="3" customFormat="1" x14ac:dyDescent="0.25">
      <c r="A1971" s="10" t="s">
        <v>9</v>
      </c>
      <c r="B1971" s="11">
        <v>2017</v>
      </c>
      <c r="C1971" s="11">
        <v>2018</v>
      </c>
      <c r="D1971" s="11">
        <v>2019</v>
      </c>
      <c r="E1971" s="11">
        <v>2020</v>
      </c>
      <c r="F1971" s="11">
        <v>2021</v>
      </c>
      <c r="G1971" s="11">
        <v>2022</v>
      </c>
      <c r="H1971" s="37">
        <v>2023</v>
      </c>
      <c r="I1971" s="37">
        <v>2024</v>
      </c>
      <c r="J1971" s="37">
        <v>2025</v>
      </c>
      <c r="K1971" s="37">
        <v>2026</v>
      </c>
    </row>
    <row r="1972" spans="1:11" s="3" customFormat="1" x14ac:dyDescent="0.25">
      <c r="A1972" s="16" t="s">
        <v>10</v>
      </c>
      <c r="B1972" s="46"/>
      <c r="C1972" s="46"/>
      <c r="D1972" s="46"/>
      <c r="E1972" s="46"/>
      <c r="F1972" s="47"/>
      <c r="G1972" s="47"/>
      <c r="H1972" s="47"/>
      <c r="I1972" s="47"/>
      <c r="J1972" s="47"/>
    </row>
    <row r="1973" spans="1:11" s="3" customFormat="1" x14ac:dyDescent="0.25">
      <c r="A1973" s="16" t="s">
        <v>530</v>
      </c>
      <c r="B1973" s="46"/>
      <c r="C1973" s="46"/>
      <c r="D1973" s="46"/>
      <c r="E1973" s="46"/>
      <c r="F1973" s="46"/>
      <c r="G1973" s="46"/>
      <c r="H1973" s="46"/>
      <c r="I1973" s="46"/>
      <c r="J1973" s="47"/>
    </row>
    <row r="1974" spans="1:11" s="3" customFormat="1" x14ac:dyDescent="0.25">
      <c r="A1974" s="39" t="s">
        <v>251</v>
      </c>
      <c r="J1974" s="64"/>
    </row>
    <row r="1975" spans="1:11" s="3" customFormat="1" x14ac:dyDescent="0.25">
      <c r="A1975" s="660" t="s">
        <v>595</v>
      </c>
      <c r="B1975" s="661"/>
      <c r="C1975" s="661"/>
      <c r="D1975" s="661"/>
      <c r="E1975" s="661"/>
      <c r="F1975" s="661"/>
      <c r="G1975" s="661"/>
      <c r="J1975" s="64"/>
    </row>
    <row r="1976" spans="1:11" s="3" customFormat="1" x14ac:dyDescent="0.25">
      <c r="A1976" s="161" t="s">
        <v>955</v>
      </c>
      <c r="B1976" s="32"/>
      <c r="C1976" s="32"/>
      <c r="D1976" s="32"/>
      <c r="E1976" s="32"/>
      <c r="F1976" s="32"/>
      <c r="G1976" s="32"/>
      <c r="J1976" s="64"/>
    </row>
    <row r="1977" spans="1:11" s="3" customFormat="1" x14ac:dyDescent="0.25">
      <c r="A1977" s="161" t="s">
        <v>851</v>
      </c>
      <c r="B1977" s="32"/>
      <c r="C1977" s="32"/>
      <c r="D1977" s="32"/>
      <c r="E1977" s="32"/>
      <c r="F1977" s="32"/>
      <c r="G1977" s="32"/>
      <c r="J1977" s="64"/>
    </row>
    <row r="1978" spans="1:11" s="3" customFormat="1" x14ac:dyDescent="0.25">
      <c r="A1978" s="123" t="s">
        <v>1073</v>
      </c>
      <c r="B1978" s="32"/>
      <c r="C1978" s="32"/>
      <c r="D1978" s="32"/>
      <c r="E1978" s="32"/>
      <c r="F1978" s="32"/>
      <c r="G1978" s="32"/>
    </row>
    <row r="1979" spans="1:11" s="43" customFormat="1" x14ac:dyDescent="0.25">
      <c r="A1979" s="171" t="s">
        <v>1148</v>
      </c>
      <c r="B1979" s="530"/>
      <c r="C1979" s="530"/>
      <c r="D1979" s="530"/>
      <c r="E1979" s="530"/>
      <c r="F1979" s="530"/>
      <c r="G1979" s="530"/>
    </row>
    <row r="1980" spans="1:11" s="3" customFormat="1" x14ac:dyDescent="0.25"/>
    <row r="1981" spans="1:11" s="3" customFormat="1" x14ac:dyDescent="0.25"/>
    <row r="1982" spans="1:11" s="3" customFormat="1" x14ac:dyDescent="0.25">
      <c r="A1982" s="531" t="s">
        <v>12</v>
      </c>
      <c r="B1982" s="532" t="s">
        <v>864</v>
      </c>
      <c r="D1982" s="533"/>
      <c r="E1982" s="533"/>
      <c r="F1982" s="533"/>
      <c r="G1982" s="533"/>
      <c r="H1982" s="533"/>
    </row>
    <row r="1983" spans="1:11" s="3" customFormat="1" x14ac:dyDescent="0.25">
      <c r="A1983" s="531" t="s">
        <v>14</v>
      </c>
      <c r="B1983" s="534" t="s">
        <v>642</v>
      </c>
      <c r="C1983" s="535" t="s">
        <v>15</v>
      </c>
      <c r="D1983" s="533"/>
      <c r="E1983" s="533"/>
      <c r="F1983" s="533"/>
      <c r="G1983" s="533"/>
      <c r="H1983" s="533"/>
    </row>
    <row r="1984" spans="1:11" s="3" customFormat="1" x14ac:dyDescent="0.25">
      <c r="A1984" s="536" t="s">
        <v>16</v>
      </c>
      <c r="B1984" s="537"/>
      <c r="C1984" s="538">
        <v>2022</v>
      </c>
      <c r="D1984" s="539">
        <v>2023</v>
      </c>
      <c r="E1984" s="539">
        <v>2024</v>
      </c>
      <c r="F1984" s="539">
        <v>2025</v>
      </c>
    </row>
    <row r="1985" spans="1:8" s="3" customFormat="1" x14ac:dyDescent="0.25">
      <c r="A1985" s="536" t="s">
        <v>17</v>
      </c>
      <c r="B1985" s="537"/>
      <c r="C1985" s="540">
        <v>2305</v>
      </c>
      <c r="D1985" s="540">
        <v>2600</v>
      </c>
      <c r="E1985" s="540">
        <v>2600</v>
      </c>
      <c r="F1985" s="540">
        <v>2600</v>
      </c>
    </row>
    <row r="1986" spans="1:8" s="3" customFormat="1" x14ac:dyDescent="0.25">
      <c r="A1986" s="536" t="s">
        <v>18</v>
      </c>
      <c r="B1986" s="537"/>
      <c r="C1986" s="541"/>
      <c r="D1986" s="540">
        <f>D1985+C1989+440.79+67.08+128</f>
        <v>3246.0209999999997</v>
      </c>
      <c r="E1986" s="540">
        <f>E1985+D1989+128+507.87</f>
        <v>3200.74</v>
      </c>
      <c r="F1986" s="540">
        <f>F1985+128</f>
        <v>2728</v>
      </c>
    </row>
    <row r="1987" spans="1:8" s="3" customFormat="1" x14ac:dyDescent="0.25">
      <c r="A1987" s="536" t="s">
        <v>19</v>
      </c>
      <c r="B1987" s="537"/>
      <c r="C1987" s="542"/>
      <c r="D1987" s="543" t="str">
        <f>"(1)"</f>
        <v>(1)</v>
      </c>
      <c r="E1987" s="543" t="str">
        <f>"(2)"</f>
        <v>(2)</v>
      </c>
      <c r="F1987" s="543" t="str">
        <f>"(3)"</f>
        <v>(3)</v>
      </c>
    </row>
    <row r="1988" spans="1:8" s="3" customFormat="1" x14ac:dyDescent="0.25">
      <c r="A1988" s="536" t="s">
        <v>20</v>
      </c>
      <c r="B1988" s="537"/>
      <c r="C1988" s="540">
        <v>2294.8490000000002</v>
      </c>
      <c r="D1988" s="544">
        <f>D1986-D1989</f>
        <v>3281.1509999999998</v>
      </c>
      <c r="E1988" s="544">
        <v>3200.48</v>
      </c>
      <c r="F1988" s="544"/>
    </row>
    <row r="1989" spans="1:8" s="3" customFormat="1" x14ac:dyDescent="0.25">
      <c r="A1989" s="536" t="s">
        <v>21</v>
      </c>
      <c r="B1989" s="537"/>
      <c r="C1989" s="540">
        <f>C1985-C1988</f>
        <v>10.15099999999984</v>
      </c>
      <c r="D1989" s="540">
        <v>-35.130000000000003</v>
      </c>
      <c r="E1989" s="540">
        <v>0.26</v>
      </c>
      <c r="F1989" s="540"/>
    </row>
    <row r="1990" spans="1:8" s="3" customFormat="1" x14ac:dyDescent="0.25">
      <c r="A1990" s="545" t="s">
        <v>22</v>
      </c>
      <c r="B1990" s="546"/>
      <c r="C1990" s="547">
        <v>2023</v>
      </c>
      <c r="D1990" s="548">
        <v>2024</v>
      </c>
      <c r="E1990" s="548">
        <v>2025</v>
      </c>
      <c r="F1990" s="548">
        <v>2026</v>
      </c>
    </row>
    <row r="1991" spans="1:8" s="3" customFormat="1" x14ac:dyDescent="0.25">
      <c r="A1991" s="556" t="s">
        <v>934</v>
      </c>
      <c r="B1991" s="566"/>
      <c r="C1991" s="567"/>
      <c r="D1991" s="567"/>
      <c r="E1991" s="567"/>
      <c r="F1991" s="63"/>
    </row>
    <row r="1992" spans="1:8" s="3" customFormat="1" x14ac:dyDescent="0.25">
      <c r="A1992" s="558" t="s">
        <v>960</v>
      </c>
      <c r="B1992" s="533"/>
      <c r="C1992" s="568"/>
      <c r="D1992" s="568"/>
      <c r="E1992" s="568"/>
      <c r="F1992" s="64"/>
    </row>
    <row r="1993" spans="1:8" s="3" customFormat="1" x14ac:dyDescent="0.25">
      <c r="A1993" s="42" t="s">
        <v>1247</v>
      </c>
      <c r="B1993" s="549"/>
      <c r="C1993" s="550"/>
      <c r="D1993" s="550"/>
      <c r="E1993" s="550"/>
      <c r="F1993" s="48"/>
    </row>
    <row r="1994" spans="1:8" s="3" customFormat="1" x14ac:dyDescent="0.25">
      <c r="A1994" s="533"/>
      <c r="B1994" s="533"/>
      <c r="C1994" s="533"/>
      <c r="D1994" s="533"/>
      <c r="E1994" s="533"/>
    </row>
    <row r="1995" spans="1:8" s="3" customFormat="1" x14ac:dyDescent="0.25">
      <c r="A1995" s="531" t="s">
        <v>14</v>
      </c>
      <c r="B1995" s="534" t="s">
        <v>865</v>
      </c>
      <c r="C1995" s="535" t="s">
        <v>15</v>
      </c>
      <c r="D1995" s="533"/>
      <c r="E1995" s="533"/>
      <c r="F1995" s="533"/>
      <c r="G1995" s="533"/>
      <c r="H1995" s="533"/>
    </row>
    <row r="1996" spans="1:8" s="3" customFormat="1" x14ac:dyDescent="0.25">
      <c r="A1996" s="536" t="s">
        <v>16</v>
      </c>
      <c r="B1996" s="537"/>
      <c r="C1996" s="538">
        <v>2023</v>
      </c>
      <c r="D1996" s="539">
        <v>2024</v>
      </c>
      <c r="E1996" s="539">
        <v>2025</v>
      </c>
    </row>
    <row r="1997" spans="1:8" s="3" customFormat="1" x14ac:dyDescent="0.25">
      <c r="A1997" s="536" t="s">
        <v>17</v>
      </c>
      <c r="B1997" s="537"/>
      <c r="C1997" s="540">
        <v>225</v>
      </c>
      <c r="D1997" s="540">
        <v>225</v>
      </c>
      <c r="E1997" s="540">
        <v>225</v>
      </c>
    </row>
    <row r="1998" spans="1:8" s="3" customFormat="1" x14ac:dyDescent="0.25">
      <c r="A1998" s="536" t="s">
        <v>18</v>
      </c>
      <c r="B1998" s="537"/>
      <c r="C1998" s="540">
        <v>150</v>
      </c>
      <c r="D1998" s="540">
        <v>150</v>
      </c>
      <c r="E1998" s="540">
        <v>150</v>
      </c>
    </row>
    <row r="1999" spans="1:8" s="3" customFormat="1" x14ac:dyDescent="0.25">
      <c r="A1999" s="536" t="s">
        <v>19</v>
      </c>
      <c r="B1999" s="537"/>
      <c r="C1999" s="551" t="s">
        <v>866</v>
      </c>
      <c r="D1999" s="551" t="s">
        <v>866</v>
      </c>
      <c r="E1999" s="551" t="s">
        <v>1216</v>
      </c>
    </row>
    <row r="2000" spans="1:8" s="3" customFormat="1" x14ac:dyDescent="0.25">
      <c r="A2000" s="536" t="s">
        <v>20</v>
      </c>
      <c r="B2000" s="537"/>
      <c r="C2000" s="540">
        <v>149.94999999999999</v>
      </c>
      <c r="D2000" s="544">
        <v>150</v>
      </c>
      <c r="E2000" s="544">
        <v>150</v>
      </c>
    </row>
    <row r="2001" spans="1:8" s="3" customFormat="1" x14ac:dyDescent="0.25">
      <c r="A2001" s="536" t="s">
        <v>21</v>
      </c>
      <c r="B2001" s="537"/>
      <c r="C2001" s="540">
        <f>C1998-C2000</f>
        <v>5.0000000000011369E-2</v>
      </c>
      <c r="D2001" s="540">
        <f>D1998-D2000</f>
        <v>0</v>
      </c>
      <c r="E2001" s="540">
        <f>E1998-E2000</f>
        <v>0</v>
      </c>
    </row>
    <row r="2002" spans="1:8" s="3" customFormat="1" x14ac:dyDescent="0.25">
      <c r="A2002" s="545" t="s">
        <v>22</v>
      </c>
      <c r="B2002" s="546"/>
      <c r="C2002" s="547"/>
      <c r="D2002" s="548"/>
      <c r="E2002" s="548"/>
    </row>
    <row r="2003" spans="1:8" s="3" customFormat="1" x14ac:dyDescent="0.25">
      <c r="A2003" s="578" t="s">
        <v>867</v>
      </c>
      <c r="B2003" s="579"/>
      <c r="C2003" s="593"/>
      <c r="D2003" s="593"/>
      <c r="E2003" s="88"/>
    </row>
    <row r="2004" spans="1:8" s="3" customFormat="1" x14ac:dyDescent="0.25">
      <c r="A2004" s="649" t="s">
        <v>1215</v>
      </c>
      <c r="B2004" s="579"/>
      <c r="C2004" s="579"/>
      <c r="D2004" s="579"/>
      <c r="E2004" s="650"/>
    </row>
    <row r="2005" spans="1:8" s="3" customFormat="1" x14ac:dyDescent="0.25">
      <c r="A2005" s="533"/>
      <c r="B2005" s="533"/>
      <c r="C2005" s="533"/>
      <c r="D2005" s="533"/>
      <c r="E2005" s="533"/>
    </row>
    <row r="2006" spans="1:8" s="3" customFormat="1" x14ac:dyDescent="0.25">
      <c r="A2006" s="531" t="s">
        <v>12</v>
      </c>
      <c r="B2006" s="532" t="s">
        <v>584</v>
      </c>
      <c r="D2006" s="533"/>
      <c r="E2006" s="533"/>
      <c r="F2006" s="533"/>
      <c r="G2006" s="533"/>
      <c r="H2006" s="533"/>
    </row>
    <row r="2007" spans="1:8" s="3" customFormat="1" x14ac:dyDescent="0.25">
      <c r="A2007" s="531" t="s">
        <v>14</v>
      </c>
      <c r="B2007" s="534" t="s">
        <v>624</v>
      </c>
      <c r="C2007" s="535" t="s">
        <v>15</v>
      </c>
      <c r="D2007" s="533"/>
      <c r="E2007" s="533"/>
      <c r="F2007" s="533"/>
      <c r="G2007" s="533"/>
      <c r="H2007" s="533"/>
    </row>
    <row r="2008" spans="1:8" s="3" customFormat="1" x14ac:dyDescent="0.25">
      <c r="A2008" s="536" t="s">
        <v>16</v>
      </c>
      <c r="B2008" s="537"/>
      <c r="C2008" s="538">
        <v>2021</v>
      </c>
      <c r="D2008" s="539">
        <v>2022</v>
      </c>
      <c r="E2008" s="552">
        <v>2023</v>
      </c>
      <c r="F2008" s="552">
        <v>2024</v>
      </c>
      <c r="G2008" s="552">
        <v>2025</v>
      </c>
      <c r="H2008" s="552" t="s">
        <v>1218</v>
      </c>
    </row>
    <row r="2009" spans="1:8" s="3" customFormat="1" x14ac:dyDescent="0.25">
      <c r="A2009" s="536" t="s">
        <v>17</v>
      </c>
      <c r="B2009" s="537"/>
      <c r="C2009" s="540">
        <f>434.04</f>
        <v>434.04</v>
      </c>
      <c r="D2009" s="540">
        <v>442.25</v>
      </c>
      <c r="E2009" s="540">
        <v>442.25</v>
      </c>
      <c r="F2009" s="540">
        <v>752.8</v>
      </c>
      <c r="G2009" s="540">
        <v>752.8</v>
      </c>
      <c r="H2009" s="553">
        <v>752.8</v>
      </c>
    </row>
    <row r="2010" spans="1:8" s="3" customFormat="1" x14ac:dyDescent="0.25">
      <c r="A2010" s="536" t="s">
        <v>18</v>
      </c>
      <c r="B2010" s="537"/>
      <c r="C2010" s="540">
        <f>C2009+53.75</f>
        <v>487.79</v>
      </c>
      <c r="D2010" s="540">
        <f>D2009+53.75</f>
        <v>496</v>
      </c>
      <c r="E2010" s="542">
        <f>E2009+0.25*C2009</f>
        <v>550.76</v>
      </c>
      <c r="F2010" s="542">
        <f>F2009+0.25*D2009</f>
        <v>863.36249999999995</v>
      </c>
      <c r="G2010" s="542">
        <f>G2009+0.25*E2009</f>
        <v>863.36249999999995</v>
      </c>
      <c r="H2010" s="553">
        <v>941</v>
      </c>
    </row>
    <row r="2011" spans="1:8" s="3" customFormat="1" x14ac:dyDescent="0.25">
      <c r="A2011" s="536" t="s">
        <v>19</v>
      </c>
      <c r="B2011" s="537"/>
      <c r="C2011" s="542" t="s">
        <v>685</v>
      </c>
      <c r="D2011" s="542" t="s">
        <v>687</v>
      </c>
      <c r="E2011" s="542" t="s">
        <v>686</v>
      </c>
      <c r="F2011" s="542" t="s">
        <v>854</v>
      </c>
      <c r="G2011" s="542" t="s">
        <v>1074</v>
      </c>
      <c r="H2011" s="554" t="s">
        <v>1219</v>
      </c>
    </row>
    <row r="2012" spans="1:8" s="3" customFormat="1" x14ac:dyDescent="0.25">
      <c r="A2012" s="536" t="s">
        <v>20</v>
      </c>
      <c r="B2012" s="537"/>
      <c r="C2012" s="540">
        <v>169.39099999999999</v>
      </c>
      <c r="D2012" s="544">
        <v>125.35080000000001</v>
      </c>
      <c r="E2012" s="542">
        <v>112.47</v>
      </c>
      <c r="F2012" s="542">
        <v>8.23</v>
      </c>
      <c r="G2012" s="542"/>
      <c r="H2012" s="554"/>
    </row>
    <row r="2013" spans="1:8" s="3" customFormat="1" x14ac:dyDescent="0.25">
      <c r="A2013" s="536" t="s">
        <v>21</v>
      </c>
      <c r="B2013" s="537"/>
      <c r="C2013" s="540">
        <f>C2010-C2012</f>
        <v>318.399</v>
      </c>
      <c r="D2013" s="540">
        <f>D2010-D2012</f>
        <v>370.64920000000001</v>
      </c>
      <c r="E2013" s="540">
        <f>E2010-E2012</f>
        <v>438.28999999999996</v>
      </c>
      <c r="F2013" s="540">
        <f>F2010-F2012</f>
        <v>855.13249999999994</v>
      </c>
      <c r="G2013" s="542"/>
      <c r="H2013" s="554"/>
    </row>
    <row r="2014" spans="1:8" s="3" customFormat="1" x14ac:dyDescent="0.25">
      <c r="A2014" s="545" t="s">
        <v>22</v>
      </c>
      <c r="B2014" s="546"/>
      <c r="C2014" s="547">
        <v>2023</v>
      </c>
      <c r="D2014" s="548">
        <v>2024</v>
      </c>
      <c r="E2014" s="547">
        <v>2025</v>
      </c>
      <c r="F2014" s="547">
        <v>2026</v>
      </c>
      <c r="G2014" s="547">
        <v>2027</v>
      </c>
      <c r="H2014" s="555">
        <v>2028</v>
      </c>
    </row>
    <row r="2015" spans="1:8" s="3" customFormat="1" x14ac:dyDescent="0.25">
      <c r="A2015" s="556" t="s">
        <v>692</v>
      </c>
      <c r="B2015" s="557"/>
      <c r="C2015" s="557"/>
      <c r="D2015" s="557"/>
      <c r="E2015" s="557"/>
      <c r="F2015" s="19"/>
      <c r="G2015" s="19"/>
      <c r="H2015" s="63"/>
    </row>
    <row r="2016" spans="1:8" s="3" customFormat="1" ht="12.75" customHeight="1" x14ac:dyDescent="0.25">
      <c r="A2016" s="558" t="s">
        <v>700</v>
      </c>
      <c r="B2016" s="559"/>
      <c r="C2016" s="559"/>
      <c r="D2016" s="559"/>
      <c r="E2016" s="559"/>
      <c r="H2016" s="64"/>
    </row>
    <row r="2017" spans="1:8" s="3" customFormat="1" x14ac:dyDescent="0.25">
      <c r="A2017" s="560" t="s">
        <v>701</v>
      </c>
      <c r="B2017" s="561"/>
      <c r="C2017" s="561"/>
      <c r="D2017" s="561"/>
      <c r="E2017" s="561"/>
      <c r="H2017" s="64"/>
    </row>
    <row r="2018" spans="1:8" s="3" customFormat="1" x14ac:dyDescent="0.25">
      <c r="A2018" s="560" t="s">
        <v>943</v>
      </c>
      <c r="B2018" s="561"/>
      <c r="C2018" s="561"/>
      <c r="D2018" s="561"/>
      <c r="E2018" s="561"/>
      <c r="H2018" s="64"/>
    </row>
    <row r="2019" spans="1:8" s="3" customFormat="1" x14ac:dyDescent="0.25">
      <c r="A2019" s="560" t="s">
        <v>1075</v>
      </c>
      <c r="B2019" s="561"/>
      <c r="C2019" s="561"/>
      <c r="D2019" s="561"/>
      <c r="E2019" s="561"/>
      <c r="H2019" s="64"/>
    </row>
    <row r="2020" spans="1:8" s="3" customFormat="1" x14ac:dyDescent="0.25">
      <c r="A2020" s="562" t="s">
        <v>1217</v>
      </c>
      <c r="B2020" s="563"/>
      <c r="C2020" s="563"/>
      <c r="D2020" s="563"/>
      <c r="E2020" s="563"/>
      <c r="F2020" s="34"/>
      <c r="G2020" s="34"/>
      <c r="H2020" s="48"/>
    </row>
    <row r="2021" spans="1:8" s="3" customFormat="1" x14ac:dyDescent="0.25">
      <c r="A2021" s="533"/>
      <c r="B2021" s="559"/>
      <c r="C2021" s="563"/>
      <c r="D2021" s="559"/>
      <c r="E2021" s="559"/>
    </row>
    <row r="2022" spans="1:8" s="3" customFormat="1" x14ac:dyDescent="0.25">
      <c r="A2022" s="561"/>
      <c r="B2022" s="561"/>
      <c r="C2022" s="564"/>
      <c r="D2022" s="561"/>
      <c r="E2022" s="561"/>
    </row>
    <row r="2023" spans="1:8" s="3" customFormat="1" x14ac:dyDescent="0.25">
      <c r="A2023" s="531" t="s">
        <v>14</v>
      </c>
      <c r="B2023" s="534" t="s">
        <v>638</v>
      </c>
      <c r="C2023" s="535" t="s">
        <v>15</v>
      </c>
      <c r="D2023" s="533"/>
      <c r="E2023" s="533"/>
      <c r="F2023" s="533"/>
      <c r="G2023" s="533"/>
      <c r="H2023" s="533"/>
    </row>
    <row r="2024" spans="1:8" s="3" customFormat="1" x14ac:dyDescent="0.25">
      <c r="A2024" s="536" t="s">
        <v>16</v>
      </c>
      <c r="B2024" s="537"/>
      <c r="C2024" s="538">
        <v>2021</v>
      </c>
      <c r="D2024" s="539">
        <v>2022</v>
      </c>
      <c r="E2024" s="552">
        <v>2023</v>
      </c>
      <c r="F2024" s="552">
        <v>2024</v>
      </c>
      <c r="G2024" s="552">
        <v>2025</v>
      </c>
      <c r="H2024" s="552">
        <v>2026</v>
      </c>
    </row>
    <row r="2025" spans="1:8" s="3" customFormat="1" x14ac:dyDescent="0.25">
      <c r="A2025" s="536" t="s">
        <v>17</v>
      </c>
      <c r="B2025" s="537"/>
      <c r="C2025" s="540">
        <v>100</v>
      </c>
      <c r="D2025" s="540">
        <v>100</v>
      </c>
      <c r="E2025" s="542">
        <v>120</v>
      </c>
      <c r="F2025" s="542">
        <v>120</v>
      </c>
      <c r="G2025" s="542">
        <v>120</v>
      </c>
      <c r="H2025" s="554">
        <v>120</v>
      </c>
    </row>
    <row r="2026" spans="1:8" s="3" customFormat="1" x14ac:dyDescent="0.25">
      <c r="A2026" s="536" t="s">
        <v>18</v>
      </c>
      <c r="B2026" s="537"/>
      <c r="C2026" s="540"/>
      <c r="D2026" s="540">
        <v>125</v>
      </c>
      <c r="E2026" s="565">
        <f>E2025+0.25*C2025</f>
        <v>145</v>
      </c>
      <c r="F2026" s="565">
        <f>F2025+1.49</f>
        <v>121.49</v>
      </c>
      <c r="G2026" s="565">
        <f>G2025+0.25*E2025</f>
        <v>150</v>
      </c>
      <c r="H2026" s="554">
        <v>150</v>
      </c>
    </row>
    <row r="2027" spans="1:8" s="3" customFormat="1" x14ac:dyDescent="0.25">
      <c r="A2027" s="536" t="s">
        <v>19</v>
      </c>
      <c r="B2027" s="537"/>
      <c r="C2027" s="565"/>
      <c r="D2027" s="565" t="s">
        <v>682</v>
      </c>
      <c r="E2027" s="565" t="s">
        <v>681</v>
      </c>
      <c r="F2027" s="565" t="s">
        <v>932</v>
      </c>
      <c r="G2027" s="565" t="s">
        <v>1077</v>
      </c>
      <c r="H2027" s="554" t="s">
        <v>1221</v>
      </c>
    </row>
    <row r="2028" spans="1:8" s="3" customFormat="1" x14ac:dyDescent="0.25">
      <c r="A2028" s="536" t="s">
        <v>20</v>
      </c>
      <c r="B2028" s="537"/>
      <c r="C2028" s="540">
        <v>0</v>
      </c>
      <c r="D2028" s="544">
        <v>0</v>
      </c>
      <c r="E2028" s="542">
        <v>0</v>
      </c>
      <c r="F2028" s="542">
        <v>0</v>
      </c>
      <c r="G2028" s="542"/>
      <c r="H2028" s="554"/>
    </row>
    <row r="2029" spans="1:8" s="3" customFormat="1" x14ac:dyDescent="0.25">
      <c r="A2029" s="536" t="s">
        <v>21</v>
      </c>
      <c r="B2029" s="537"/>
      <c r="C2029" s="540">
        <f>C2025-C2028</f>
        <v>100</v>
      </c>
      <c r="D2029" s="540">
        <f>D2026-D2028</f>
        <v>125</v>
      </c>
      <c r="E2029" s="540">
        <f>E2026-E2028</f>
        <v>145</v>
      </c>
      <c r="F2029" s="540">
        <f>F2026-F2028</f>
        <v>121.49</v>
      </c>
      <c r="G2029" s="542"/>
      <c r="H2029" s="554"/>
    </row>
    <row r="2030" spans="1:8" s="3" customFormat="1" x14ac:dyDescent="0.25">
      <c r="A2030" s="545" t="s">
        <v>22</v>
      </c>
      <c r="B2030" s="546"/>
      <c r="C2030" s="547">
        <v>2023</v>
      </c>
      <c r="D2030" s="548">
        <v>2024</v>
      </c>
      <c r="E2030" s="547">
        <v>2025</v>
      </c>
      <c r="F2030" s="547">
        <v>2026</v>
      </c>
      <c r="G2030" s="547">
        <v>2027</v>
      </c>
      <c r="H2030" s="555">
        <v>2028</v>
      </c>
    </row>
    <row r="2031" spans="1:8" s="3" customFormat="1" x14ac:dyDescent="0.25">
      <c r="A2031" s="556" t="s">
        <v>735</v>
      </c>
      <c r="B2031" s="566"/>
      <c r="C2031" s="567"/>
      <c r="D2031" s="567"/>
      <c r="E2031" s="567"/>
      <c r="F2031" s="567"/>
      <c r="G2031" s="567"/>
      <c r="H2031" s="63"/>
    </row>
    <row r="2032" spans="1:8" s="3" customFormat="1" x14ac:dyDescent="0.25">
      <c r="A2032" s="558" t="s">
        <v>933</v>
      </c>
      <c r="B2032" s="533"/>
      <c r="C2032" s="568"/>
      <c r="D2032" s="568"/>
      <c r="E2032" s="568"/>
      <c r="F2032" s="568"/>
      <c r="G2032" s="568"/>
      <c r="H2032" s="64"/>
    </row>
    <row r="2033" spans="1:8" s="3" customFormat="1" x14ac:dyDescent="0.25">
      <c r="A2033" s="558" t="s">
        <v>1076</v>
      </c>
      <c r="B2033" s="533"/>
      <c r="C2033" s="568"/>
      <c r="D2033" s="568"/>
      <c r="E2033" s="568"/>
      <c r="F2033" s="568"/>
      <c r="G2033" s="568"/>
      <c r="H2033" s="64"/>
    </row>
    <row r="2034" spans="1:8" s="3" customFormat="1" x14ac:dyDescent="0.25">
      <c r="A2034" s="562" t="s">
        <v>1220</v>
      </c>
      <c r="B2034" s="549"/>
      <c r="C2034" s="549"/>
      <c r="D2034" s="549"/>
      <c r="E2034" s="549"/>
      <c r="F2034" s="34"/>
      <c r="G2034" s="34"/>
      <c r="H2034" s="48"/>
    </row>
    <row r="2035" spans="1:8" s="3" customFormat="1" x14ac:dyDescent="0.25">
      <c r="A2035" s="533"/>
      <c r="B2035" s="533"/>
      <c r="C2035" s="533"/>
      <c r="D2035" s="533"/>
      <c r="E2035" s="533"/>
    </row>
    <row r="2036" spans="1:8" s="3" customFormat="1" x14ac:dyDescent="0.25">
      <c r="A2036" s="531" t="s">
        <v>14</v>
      </c>
      <c r="B2036" s="534" t="s">
        <v>623</v>
      </c>
      <c r="C2036" s="535" t="s">
        <v>15</v>
      </c>
      <c r="D2036" s="533"/>
      <c r="E2036" s="533"/>
      <c r="F2036" s="533"/>
      <c r="G2036" s="533"/>
      <c r="H2036" s="533"/>
    </row>
    <row r="2037" spans="1:8" s="3" customFormat="1" x14ac:dyDescent="0.25">
      <c r="A2037" s="536" t="s">
        <v>16</v>
      </c>
      <c r="B2037" s="537"/>
      <c r="C2037" s="538">
        <v>2021</v>
      </c>
      <c r="D2037" s="539">
        <v>2022</v>
      </c>
      <c r="E2037" s="552">
        <v>2023</v>
      </c>
      <c r="F2037" s="552">
        <v>2024</v>
      </c>
      <c r="G2037" s="552">
        <v>2025</v>
      </c>
      <c r="H2037" s="552">
        <v>2026</v>
      </c>
    </row>
    <row r="2038" spans="1:8" s="3" customFormat="1" x14ac:dyDescent="0.25">
      <c r="A2038" s="536" t="s">
        <v>17</v>
      </c>
      <c r="B2038" s="537"/>
      <c r="C2038" s="540">
        <v>35</v>
      </c>
      <c r="D2038" s="540">
        <v>35</v>
      </c>
      <c r="E2038" s="540">
        <v>35.67</v>
      </c>
      <c r="F2038" s="540">
        <v>35.67</v>
      </c>
      <c r="G2038" s="540">
        <v>35.67</v>
      </c>
      <c r="H2038" s="554">
        <v>35.67</v>
      </c>
    </row>
    <row r="2039" spans="1:8" s="3" customFormat="1" x14ac:dyDescent="0.25">
      <c r="A2039" s="536" t="s">
        <v>18</v>
      </c>
      <c r="B2039" s="537"/>
      <c r="C2039" s="540">
        <v>49.67</v>
      </c>
      <c r="D2039" s="540">
        <v>49.67</v>
      </c>
      <c r="E2039" s="542">
        <f>E2038+0.4*C2038</f>
        <v>49.67</v>
      </c>
      <c r="F2039" s="542">
        <f>F2038+0.4*D2038</f>
        <v>49.67</v>
      </c>
      <c r="G2039" s="542">
        <f>G2038+0.4*E2038</f>
        <v>49.938000000000002</v>
      </c>
      <c r="H2039" s="554">
        <v>49.94</v>
      </c>
    </row>
    <row r="2040" spans="1:8" s="3" customFormat="1" ht="30.75" customHeight="1" x14ac:dyDescent="0.25">
      <c r="A2040" s="536" t="s">
        <v>19</v>
      </c>
      <c r="B2040" s="537"/>
      <c r="C2040" s="569" t="s">
        <v>703</v>
      </c>
      <c r="D2040" s="569" t="s">
        <v>704</v>
      </c>
      <c r="E2040" s="569" t="s">
        <v>688</v>
      </c>
      <c r="F2040" s="569" t="s">
        <v>855</v>
      </c>
      <c r="G2040" s="569" t="s">
        <v>1080</v>
      </c>
      <c r="H2040" s="554" t="s">
        <v>1222</v>
      </c>
    </row>
    <row r="2041" spans="1:8" s="3" customFormat="1" x14ac:dyDescent="0.25">
      <c r="A2041" s="536" t="s">
        <v>20</v>
      </c>
      <c r="B2041" s="537"/>
      <c r="C2041" s="540">
        <v>5.9</v>
      </c>
      <c r="D2041" s="544">
        <v>3.351</v>
      </c>
      <c r="E2041" s="542">
        <v>3.54</v>
      </c>
      <c r="F2041" s="542">
        <v>4.3899999999999997</v>
      </c>
      <c r="G2041" s="542"/>
      <c r="H2041" s="554"/>
    </row>
    <row r="2042" spans="1:8" s="3" customFormat="1" x14ac:dyDescent="0.25">
      <c r="A2042" s="536" t="s">
        <v>21</v>
      </c>
      <c r="B2042" s="537"/>
      <c r="C2042" s="540">
        <f>C2039-C2041</f>
        <v>43.77</v>
      </c>
      <c r="D2042" s="540">
        <f>D2039-D2041</f>
        <v>46.319000000000003</v>
      </c>
      <c r="E2042" s="540">
        <f>E2039-E2041</f>
        <v>46.13</v>
      </c>
      <c r="F2042" s="540">
        <f>F2039-F2041</f>
        <v>45.28</v>
      </c>
      <c r="G2042" s="542"/>
      <c r="H2042" s="554"/>
    </row>
    <row r="2043" spans="1:8" s="3" customFormat="1" x14ac:dyDescent="0.25">
      <c r="A2043" s="545" t="s">
        <v>22</v>
      </c>
      <c r="B2043" s="546"/>
      <c r="C2043" s="547">
        <v>2023</v>
      </c>
      <c r="D2043" s="547">
        <v>2024</v>
      </c>
      <c r="E2043" s="547">
        <v>2025</v>
      </c>
      <c r="F2043" s="547">
        <v>2026</v>
      </c>
      <c r="G2043" s="547">
        <v>2027</v>
      </c>
      <c r="H2043" s="555">
        <v>2028</v>
      </c>
    </row>
    <row r="2044" spans="1:8" s="3" customFormat="1" x14ac:dyDescent="0.25">
      <c r="A2044" s="556" t="s">
        <v>702</v>
      </c>
      <c r="B2044" s="566"/>
      <c r="C2044" s="566"/>
      <c r="D2044" s="566"/>
      <c r="E2044" s="566"/>
      <c r="F2044" s="19"/>
      <c r="G2044" s="19"/>
      <c r="H2044" s="63"/>
    </row>
    <row r="2045" spans="1:8" s="3" customFormat="1" x14ac:dyDescent="0.25">
      <c r="A2045" s="558" t="s">
        <v>706</v>
      </c>
      <c r="B2045" s="533"/>
      <c r="C2045" s="533"/>
      <c r="D2045" s="533"/>
      <c r="E2045" s="533"/>
      <c r="H2045" s="64"/>
    </row>
    <row r="2046" spans="1:8" s="3" customFormat="1" x14ac:dyDescent="0.25">
      <c r="A2046" s="558" t="s">
        <v>705</v>
      </c>
      <c r="B2046" s="533"/>
      <c r="C2046" s="533"/>
      <c r="D2046" s="533"/>
      <c r="E2046" s="533"/>
      <c r="H2046" s="64"/>
    </row>
    <row r="2047" spans="1:8" s="3" customFormat="1" x14ac:dyDescent="0.25">
      <c r="A2047" s="558" t="s">
        <v>1078</v>
      </c>
      <c r="B2047" s="533"/>
      <c r="C2047" s="533"/>
      <c r="D2047" s="533"/>
      <c r="E2047" s="533"/>
      <c r="H2047" s="64"/>
    </row>
    <row r="2048" spans="1:8" s="3" customFormat="1" x14ac:dyDescent="0.25">
      <c r="A2048" s="558" t="s">
        <v>1079</v>
      </c>
      <c r="B2048" s="533"/>
      <c r="C2048" s="533"/>
      <c r="D2048" s="533"/>
      <c r="E2048" s="533"/>
      <c r="H2048" s="64"/>
    </row>
    <row r="2049" spans="1:8" s="3" customFormat="1" x14ac:dyDescent="0.25">
      <c r="A2049" s="562" t="s">
        <v>1223</v>
      </c>
      <c r="B2049" s="549"/>
      <c r="C2049" s="549"/>
      <c r="D2049" s="549"/>
      <c r="E2049" s="549"/>
      <c r="F2049" s="34"/>
      <c r="G2049" s="34"/>
      <c r="H2049" s="48"/>
    </row>
    <row r="2050" spans="1:8" s="3" customFormat="1" x14ac:dyDescent="0.25">
      <c r="A2050" s="561"/>
      <c r="B2050" s="561"/>
      <c r="C2050" s="564"/>
      <c r="D2050" s="561"/>
      <c r="E2050" s="561"/>
    </row>
    <row r="2051" spans="1:8" s="3" customFormat="1" x14ac:dyDescent="0.25">
      <c r="A2051" s="531" t="s">
        <v>14</v>
      </c>
      <c r="B2051" s="534" t="s">
        <v>641</v>
      </c>
      <c r="C2051" s="535" t="s">
        <v>15</v>
      </c>
      <c r="D2051" s="533"/>
      <c r="E2051" s="533"/>
      <c r="F2051" s="533"/>
      <c r="G2051" s="533"/>
      <c r="H2051" s="533"/>
    </row>
    <row r="2052" spans="1:8" s="3" customFormat="1" x14ac:dyDescent="0.25">
      <c r="A2052" s="536" t="s">
        <v>16</v>
      </c>
      <c r="B2052" s="537"/>
      <c r="C2052" s="538">
        <v>2021</v>
      </c>
      <c r="D2052" s="539">
        <v>2022</v>
      </c>
      <c r="E2052" s="552">
        <v>2023</v>
      </c>
      <c r="F2052" s="552">
        <v>2024</v>
      </c>
      <c r="G2052" s="552">
        <v>2025</v>
      </c>
      <c r="H2052" s="552">
        <v>2026</v>
      </c>
    </row>
    <row r="2053" spans="1:8" s="3" customFormat="1" x14ac:dyDescent="0.25">
      <c r="A2053" s="536" t="s">
        <v>17</v>
      </c>
      <c r="B2053" s="537"/>
      <c r="C2053" s="540">
        <v>25</v>
      </c>
      <c r="D2053" s="540">
        <v>25</v>
      </c>
      <c r="E2053" s="540">
        <v>25</v>
      </c>
      <c r="F2053" s="540">
        <v>25</v>
      </c>
      <c r="G2053" s="540">
        <v>25</v>
      </c>
      <c r="H2053" s="553">
        <v>25</v>
      </c>
    </row>
    <row r="2054" spans="1:8" s="3" customFormat="1" x14ac:dyDescent="0.25">
      <c r="A2054" s="536" t="s">
        <v>18</v>
      </c>
      <c r="B2054" s="537"/>
      <c r="C2054" s="540">
        <v>30</v>
      </c>
      <c r="D2054" s="540">
        <v>30</v>
      </c>
      <c r="E2054" s="565">
        <f>E2053+0.1*C2053</f>
        <v>27.5</v>
      </c>
      <c r="F2054" s="565">
        <f>F2053+0.1*D2053</f>
        <v>27.5</v>
      </c>
      <c r="G2054" s="565">
        <f>G2053+0.1*E2053</f>
        <v>27.5</v>
      </c>
      <c r="H2054" s="553">
        <v>27.5</v>
      </c>
    </row>
    <row r="2055" spans="1:8" s="3" customFormat="1" x14ac:dyDescent="0.25">
      <c r="A2055" s="536" t="s">
        <v>19</v>
      </c>
      <c r="B2055" s="537"/>
      <c r="C2055" s="565" t="s">
        <v>683</v>
      </c>
      <c r="D2055" s="565" t="s">
        <v>684</v>
      </c>
      <c r="E2055" s="565" t="s">
        <v>1081</v>
      </c>
      <c r="F2055" s="565" t="s">
        <v>1082</v>
      </c>
      <c r="G2055" s="565" t="s">
        <v>1083</v>
      </c>
      <c r="H2055" s="554" t="s">
        <v>1226</v>
      </c>
    </row>
    <row r="2056" spans="1:8" s="3" customFormat="1" x14ac:dyDescent="0.25">
      <c r="A2056" s="536" t="s">
        <v>20</v>
      </c>
      <c r="B2056" s="537"/>
      <c r="C2056" s="540">
        <v>0</v>
      </c>
      <c r="D2056" s="544">
        <v>0</v>
      </c>
      <c r="E2056" s="542">
        <v>0</v>
      </c>
      <c r="F2056" s="542">
        <v>0</v>
      </c>
      <c r="G2056" s="542"/>
      <c r="H2056" s="554"/>
    </row>
    <row r="2057" spans="1:8" s="3" customFormat="1" x14ac:dyDescent="0.25">
      <c r="A2057" s="536" t="s">
        <v>21</v>
      </c>
      <c r="B2057" s="537"/>
      <c r="C2057" s="540">
        <v>30</v>
      </c>
      <c r="D2057" s="544">
        <f>D2054-D2056</f>
        <v>30</v>
      </c>
      <c r="E2057" s="544">
        <f>E2054-E2056</f>
        <v>27.5</v>
      </c>
      <c r="F2057" s="544">
        <f>F2054-F2056</f>
        <v>27.5</v>
      </c>
      <c r="G2057" s="542"/>
      <c r="H2057" s="554"/>
    </row>
    <row r="2058" spans="1:8" s="3" customFormat="1" x14ac:dyDescent="0.25">
      <c r="A2058" s="545" t="s">
        <v>22</v>
      </c>
      <c r="B2058" s="546"/>
      <c r="C2058" s="547">
        <v>2023</v>
      </c>
      <c r="D2058" s="548">
        <v>2024</v>
      </c>
      <c r="E2058" s="547">
        <v>2025</v>
      </c>
      <c r="F2058" s="547">
        <v>2026</v>
      </c>
      <c r="G2058" s="547">
        <v>2027</v>
      </c>
      <c r="H2058" s="555">
        <v>2028</v>
      </c>
    </row>
    <row r="2059" spans="1:8" s="3" customFormat="1" x14ac:dyDescent="0.25">
      <c r="A2059" s="556" t="s">
        <v>689</v>
      </c>
      <c r="B2059" s="566"/>
      <c r="C2059" s="567"/>
      <c r="D2059" s="567"/>
      <c r="E2059" s="567"/>
      <c r="F2059" s="567"/>
      <c r="G2059" s="19"/>
      <c r="H2059" s="63"/>
    </row>
    <row r="2060" spans="1:8" s="3" customFormat="1" x14ac:dyDescent="0.25">
      <c r="A2060" s="558" t="s">
        <v>1084</v>
      </c>
      <c r="B2060" s="533"/>
      <c r="C2060" s="533"/>
      <c r="D2060" s="533"/>
      <c r="E2060" s="533"/>
      <c r="H2060" s="64"/>
    </row>
    <row r="2061" spans="1:8" s="3" customFormat="1" x14ac:dyDescent="0.25">
      <c r="A2061" s="558" t="s">
        <v>1085</v>
      </c>
      <c r="B2061" s="533"/>
      <c r="C2061" s="533"/>
      <c r="D2061" s="533"/>
      <c r="E2061" s="533"/>
      <c r="H2061" s="64"/>
    </row>
    <row r="2062" spans="1:8" s="3" customFormat="1" x14ac:dyDescent="0.25">
      <c r="A2062" s="562" t="s">
        <v>1224</v>
      </c>
      <c r="B2062" s="549"/>
      <c r="C2062" s="549"/>
      <c r="D2062" s="549"/>
      <c r="E2062" s="549"/>
      <c r="F2062" s="34"/>
      <c r="G2062" s="34"/>
      <c r="H2062" s="48"/>
    </row>
    <row r="2063" spans="1:8" s="3" customFormat="1" x14ac:dyDescent="0.25">
      <c r="A2063" s="533"/>
      <c r="B2063" s="533"/>
      <c r="C2063" s="533"/>
      <c r="D2063" s="533"/>
      <c r="E2063" s="533"/>
    </row>
    <row r="2064" spans="1:8" s="3" customFormat="1" x14ac:dyDescent="0.25">
      <c r="A2064" s="531" t="s">
        <v>14</v>
      </c>
      <c r="B2064" s="534" t="s">
        <v>642</v>
      </c>
      <c r="C2064" s="535" t="s">
        <v>15</v>
      </c>
      <c r="D2064" s="533"/>
      <c r="E2064" s="533"/>
      <c r="F2064" s="533"/>
      <c r="G2064" s="533"/>
      <c r="H2064" s="533"/>
    </row>
    <row r="2065" spans="1:8" s="3" customFormat="1" x14ac:dyDescent="0.25">
      <c r="A2065" s="536" t="s">
        <v>16</v>
      </c>
      <c r="B2065" s="537"/>
      <c r="C2065" s="538">
        <v>2021</v>
      </c>
      <c r="D2065" s="539">
        <v>2022</v>
      </c>
      <c r="E2065" s="552">
        <v>2023</v>
      </c>
      <c r="F2065" s="552">
        <v>2024</v>
      </c>
      <c r="G2065" s="552">
        <v>2025</v>
      </c>
      <c r="H2065" s="552">
        <v>2026</v>
      </c>
    </row>
    <row r="2066" spans="1:8" s="3" customFormat="1" x14ac:dyDescent="0.25">
      <c r="A2066" s="536" t="s">
        <v>17</v>
      </c>
      <c r="B2066" s="537"/>
      <c r="C2066" s="540">
        <v>48.4</v>
      </c>
      <c r="D2066" s="540">
        <v>48.4</v>
      </c>
      <c r="E2066" s="540">
        <v>63</v>
      </c>
      <c r="F2066" s="540">
        <v>63</v>
      </c>
      <c r="G2066" s="540">
        <v>63</v>
      </c>
      <c r="H2066" s="540">
        <v>63</v>
      </c>
    </row>
    <row r="2067" spans="1:8" s="3" customFormat="1" x14ac:dyDescent="0.25">
      <c r="A2067" s="536" t="s">
        <v>18</v>
      </c>
      <c r="B2067" s="537"/>
      <c r="C2067" s="540"/>
      <c r="D2067" s="540">
        <f>D2066+0.05*C2066</f>
        <v>50.82</v>
      </c>
      <c r="E2067" s="542">
        <f>E2066+0.05*D2066</f>
        <v>65.42</v>
      </c>
      <c r="F2067" s="542">
        <f>F2066+0.05*E2066</f>
        <v>66.150000000000006</v>
      </c>
      <c r="G2067" s="542">
        <v>66.150000000000006</v>
      </c>
      <c r="H2067" s="554"/>
    </row>
    <row r="2068" spans="1:8" s="3" customFormat="1" x14ac:dyDescent="0.25">
      <c r="A2068" s="536" t="s">
        <v>19</v>
      </c>
      <c r="B2068" s="537"/>
      <c r="C2068" s="542"/>
      <c r="D2068" s="544" t="s">
        <v>856</v>
      </c>
      <c r="E2068" s="542" t="s">
        <v>857</v>
      </c>
      <c r="F2068" s="542" t="s">
        <v>858</v>
      </c>
      <c r="G2068" s="542" t="s">
        <v>1086</v>
      </c>
      <c r="H2068" s="554" t="s">
        <v>1227</v>
      </c>
    </row>
    <row r="2069" spans="1:8" s="3" customFormat="1" x14ac:dyDescent="0.25">
      <c r="A2069" s="536" t="s">
        <v>20</v>
      </c>
      <c r="B2069" s="537"/>
      <c r="C2069" s="540">
        <v>2.92</v>
      </c>
      <c r="D2069" s="544">
        <v>4.609</v>
      </c>
      <c r="E2069" s="542">
        <v>22.1</v>
      </c>
      <c r="F2069" s="542">
        <v>39.75</v>
      </c>
      <c r="G2069" s="542"/>
      <c r="H2069" s="554"/>
    </row>
    <row r="2070" spans="1:8" s="3" customFormat="1" x14ac:dyDescent="0.25">
      <c r="A2070" s="536" t="s">
        <v>21</v>
      </c>
      <c r="B2070" s="537"/>
      <c r="C2070" s="540">
        <f>C2066-C2069</f>
        <v>45.48</v>
      </c>
      <c r="D2070" s="540">
        <f>D2067-D2069</f>
        <v>46.210999999999999</v>
      </c>
      <c r="E2070" s="540">
        <f>E2067-E2069</f>
        <v>43.32</v>
      </c>
      <c r="F2070" s="540">
        <f>F2067-F2069</f>
        <v>26.400000000000006</v>
      </c>
      <c r="G2070" s="542"/>
      <c r="H2070" s="554"/>
    </row>
    <row r="2071" spans="1:8" s="3" customFormat="1" x14ac:dyDescent="0.25">
      <c r="A2071" s="545" t="s">
        <v>22</v>
      </c>
      <c r="B2071" s="546"/>
      <c r="C2071" s="547">
        <v>2022</v>
      </c>
      <c r="D2071" s="548">
        <v>2023</v>
      </c>
      <c r="E2071" s="547">
        <v>2024</v>
      </c>
      <c r="F2071" s="547">
        <v>2025</v>
      </c>
      <c r="G2071" s="547">
        <v>2026</v>
      </c>
      <c r="H2071" s="555">
        <v>2027</v>
      </c>
    </row>
    <row r="2072" spans="1:8" s="3" customFormat="1" x14ac:dyDescent="0.25">
      <c r="A2072" s="556" t="s">
        <v>690</v>
      </c>
      <c r="B2072" s="566"/>
      <c r="C2072" s="567"/>
      <c r="D2072" s="567"/>
      <c r="E2072" s="567"/>
      <c r="F2072" s="567"/>
      <c r="G2072" s="567"/>
      <c r="H2072" s="63"/>
    </row>
    <row r="2073" spans="1:8" s="3" customFormat="1" x14ac:dyDescent="0.25">
      <c r="A2073" s="558" t="s">
        <v>859</v>
      </c>
      <c r="B2073" s="533"/>
      <c r="C2073" s="568"/>
      <c r="D2073" s="568"/>
      <c r="E2073" s="568"/>
      <c r="F2073" s="568"/>
      <c r="G2073" s="568"/>
      <c r="H2073" s="64"/>
    </row>
    <row r="2074" spans="1:8" s="3" customFormat="1" x14ac:dyDescent="0.25">
      <c r="A2074" s="558" t="s">
        <v>1087</v>
      </c>
      <c r="B2074" s="533"/>
      <c r="C2074" s="568"/>
      <c r="D2074" s="568"/>
      <c r="E2074" s="568"/>
      <c r="F2074" s="568"/>
      <c r="G2074" s="568"/>
      <c r="H2074" s="64"/>
    </row>
    <row r="2075" spans="1:8" s="3" customFormat="1" x14ac:dyDescent="0.25">
      <c r="A2075" s="562" t="s">
        <v>1225</v>
      </c>
      <c r="B2075" s="549"/>
      <c r="C2075" s="549"/>
      <c r="D2075" s="549"/>
      <c r="E2075" s="549"/>
      <c r="F2075" s="34"/>
      <c r="G2075" s="34"/>
      <c r="H2075" s="48"/>
    </row>
    <row r="2076" spans="1:8" s="3" customFormat="1" x14ac:dyDescent="0.25">
      <c r="A2076" s="533"/>
      <c r="B2076" s="533"/>
      <c r="C2076" s="533"/>
      <c r="D2076" s="533"/>
      <c r="E2076" s="533"/>
    </row>
    <row r="2077" spans="1:8" s="3" customFormat="1" x14ac:dyDescent="0.25">
      <c r="A2077" s="531" t="s">
        <v>14</v>
      </c>
      <c r="B2077" s="534" t="s">
        <v>645</v>
      </c>
      <c r="C2077" s="535" t="s">
        <v>15</v>
      </c>
      <c r="D2077" s="533"/>
      <c r="E2077" s="533"/>
      <c r="F2077" s="533"/>
      <c r="G2077" s="533"/>
      <c r="H2077" s="533"/>
    </row>
    <row r="2078" spans="1:8" s="3" customFormat="1" x14ac:dyDescent="0.25">
      <c r="A2078" s="536" t="s">
        <v>16</v>
      </c>
      <c r="B2078" s="537"/>
      <c r="C2078" s="538">
        <v>2021</v>
      </c>
      <c r="D2078" s="539">
        <v>2022</v>
      </c>
      <c r="E2078" s="552">
        <v>2023</v>
      </c>
      <c r="F2078" s="552">
        <v>2024</v>
      </c>
      <c r="G2078" s="552">
        <v>2025</v>
      </c>
      <c r="H2078" s="552">
        <v>2026</v>
      </c>
    </row>
    <row r="2079" spans="1:8" s="3" customFormat="1" x14ac:dyDescent="0.25">
      <c r="A2079" s="536" t="s">
        <v>17</v>
      </c>
      <c r="B2079" s="537"/>
      <c r="C2079" s="540">
        <v>5.31</v>
      </c>
      <c r="D2079" s="540">
        <v>6.18</v>
      </c>
      <c r="E2079" s="540">
        <v>6.18</v>
      </c>
      <c r="F2079" s="540">
        <v>6.18</v>
      </c>
      <c r="G2079" s="540">
        <v>6.18</v>
      </c>
      <c r="H2079" s="554">
        <v>6.18</v>
      </c>
    </row>
    <row r="2080" spans="1:8" s="3" customFormat="1" x14ac:dyDescent="0.25">
      <c r="A2080" s="536" t="s">
        <v>18</v>
      </c>
      <c r="B2080" s="537"/>
      <c r="C2080" s="540">
        <v>10.62</v>
      </c>
      <c r="D2080" s="540">
        <f>D2079+C2079</f>
        <v>11.489999999999998</v>
      </c>
      <c r="E2080" s="542">
        <f>E2079+D2079</f>
        <v>12.36</v>
      </c>
      <c r="F2080" s="542">
        <f>F2079*2</f>
        <v>12.36</v>
      </c>
      <c r="G2080" s="542">
        <f>G2079*2</f>
        <v>12.36</v>
      </c>
      <c r="H2080" s="554">
        <v>12.36</v>
      </c>
    </row>
    <row r="2081" spans="1:8" s="3" customFormat="1" x14ac:dyDescent="0.25">
      <c r="A2081" s="536" t="s">
        <v>19</v>
      </c>
      <c r="B2081" s="537"/>
      <c r="C2081" s="542"/>
      <c r="D2081" s="544" t="s">
        <v>860</v>
      </c>
      <c r="E2081" s="542" t="s">
        <v>861</v>
      </c>
      <c r="F2081" s="542" t="s">
        <v>862</v>
      </c>
      <c r="G2081" s="542" t="s">
        <v>1088</v>
      </c>
      <c r="H2081" s="554" t="s">
        <v>1228</v>
      </c>
    </row>
    <row r="2082" spans="1:8" s="3" customFormat="1" x14ac:dyDescent="0.25">
      <c r="A2082" s="536" t="s">
        <v>20</v>
      </c>
      <c r="B2082" s="537"/>
      <c r="C2082" s="540">
        <v>0.71</v>
      </c>
      <c r="D2082" s="544">
        <v>0</v>
      </c>
      <c r="E2082" s="542">
        <v>0.55000000000000004</v>
      </c>
      <c r="F2082" s="542">
        <v>0</v>
      </c>
      <c r="G2082" s="542"/>
      <c r="H2082" s="554"/>
    </row>
    <row r="2083" spans="1:8" s="3" customFormat="1" x14ac:dyDescent="0.25">
      <c r="A2083" s="536" t="s">
        <v>21</v>
      </c>
      <c r="B2083" s="537"/>
      <c r="C2083" s="540">
        <f>C2080-C2082</f>
        <v>9.91</v>
      </c>
      <c r="D2083" s="540">
        <f>D2080-D2082</f>
        <v>11.489999999999998</v>
      </c>
      <c r="E2083" s="540">
        <f>E2080-E2082</f>
        <v>11.809999999999999</v>
      </c>
      <c r="F2083" s="540">
        <f>F2080-F2082</f>
        <v>12.36</v>
      </c>
      <c r="G2083" s="542"/>
      <c r="H2083" s="554"/>
    </row>
    <row r="2084" spans="1:8" s="3" customFormat="1" x14ac:dyDescent="0.25">
      <c r="A2084" s="545" t="s">
        <v>22</v>
      </c>
      <c r="B2084" s="546"/>
      <c r="C2084" s="547">
        <v>2022</v>
      </c>
      <c r="D2084" s="548">
        <v>2023</v>
      </c>
      <c r="E2084" s="547">
        <v>2024</v>
      </c>
      <c r="F2084" s="547">
        <v>2025</v>
      </c>
      <c r="G2084" s="547">
        <v>2026</v>
      </c>
      <c r="H2084" s="555">
        <v>2027</v>
      </c>
    </row>
    <row r="2085" spans="1:8" s="3" customFormat="1" x14ac:dyDescent="0.25">
      <c r="A2085" s="556" t="s">
        <v>691</v>
      </c>
      <c r="B2085" s="566"/>
      <c r="C2085" s="567"/>
      <c r="D2085" s="567"/>
      <c r="E2085" s="567"/>
      <c r="F2085" s="567"/>
      <c r="G2085" s="567"/>
      <c r="H2085" s="63"/>
    </row>
    <row r="2086" spans="1:8" s="3" customFormat="1" x14ac:dyDescent="0.25">
      <c r="A2086" s="558" t="s">
        <v>863</v>
      </c>
      <c r="B2086" s="533"/>
      <c r="C2086" s="533"/>
      <c r="D2086" s="533"/>
      <c r="E2086" s="533"/>
      <c r="F2086" s="533"/>
      <c r="G2086" s="533"/>
      <c r="H2086" s="64"/>
    </row>
    <row r="2087" spans="1:8" s="3" customFormat="1" x14ac:dyDescent="0.25">
      <c r="A2087" s="558" t="s">
        <v>1089</v>
      </c>
      <c r="B2087" s="533"/>
      <c r="C2087" s="533"/>
      <c r="D2087" s="533"/>
      <c r="E2087" s="533"/>
      <c r="F2087" s="533"/>
      <c r="G2087" s="533"/>
      <c r="H2087" s="64"/>
    </row>
    <row r="2088" spans="1:8" s="3" customFormat="1" x14ac:dyDescent="0.25">
      <c r="A2088" s="562" t="s">
        <v>1229</v>
      </c>
      <c r="B2088" s="549"/>
      <c r="C2088" s="549"/>
      <c r="D2088" s="549"/>
      <c r="E2088" s="549"/>
      <c r="F2088" s="34"/>
      <c r="G2088" s="34"/>
      <c r="H2088" s="48"/>
    </row>
    <row r="2089" spans="1:8" s="3" customFormat="1" x14ac:dyDescent="0.25">
      <c r="A2089" s="533"/>
      <c r="B2089" s="533"/>
      <c r="C2089" s="533"/>
      <c r="D2089" s="533"/>
      <c r="E2089" s="533"/>
    </row>
    <row r="2090" spans="1:8" s="3" customFormat="1" x14ac:dyDescent="0.25">
      <c r="A2090" s="6" t="s">
        <v>204</v>
      </c>
      <c r="B2090" s="7" t="s">
        <v>819</v>
      </c>
    </row>
    <row r="2091" spans="1:8" s="3" customFormat="1" x14ac:dyDescent="0.25">
      <c r="A2091" s="6" t="s">
        <v>203</v>
      </c>
      <c r="B2091" s="7" t="s">
        <v>638</v>
      </c>
      <c r="C2091" s="9" t="s">
        <v>15</v>
      </c>
    </row>
    <row r="2092" spans="1:8" s="3" customFormat="1" x14ac:dyDescent="0.25">
      <c r="A2092" s="11" t="s">
        <v>16</v>
      </c>
      <c r="B2092" s="11"/>
      <c r="C2092" s="11"/>
      <c r="D2092" s="154">
        <v>2022</v>
      </c>
      <c r="E2092" s="154">
        <v>2023</v>
      </c>
      <c r="F2092" s="154">
        <v>2024</v>
      </c>
      <c r="G2092" s="154">
        <v>2025</v>
      </c>
    </row>
    <row r="2093" spans="1:8" s="3" customFormat="1" x14ac:dyDescent="0.25">
      <c r="A2093" s="11" t="s">
        <v>17</v>
      </c>
      <c r="B2093" s="12"/>
      <c r="C2093" s="12"/>
      <c r="D2093" s="12">
        <v>440</v>
      </c>
      <c r="E2093" s="12">
        <v>530</v>
      </c>
      <c r="F2093" s="12">
        <v>530</v>
      </c>
      <c r="G2093" s="12">
        <v>530</v>
      </c>
    </row>
    <row r="2094" spans="1:8" s="3" customFormat="1" x14ac:dyDescent="0.25">
      <c r="A2094" s="11" t="s">
        <v>18</v>
      </c>
      <c r="B2094" s="12"/>
      <c r="C2094" s="12"/>
      <c r="D2094" s="12">
        <f>D2093+0.25*440-52.95</f>
        <v>497.05</v>
      </c>
      <c r="E2094" s="12">
        <f>E2093+0.25*440-100</f>
        <v>540</v>
      </c>
      <c r="F2094" s="12">
        <f>F2093-100</f>
        <v>430</v>
      </c>
      <c r="G2094" s="12">
        <f>G2093+0.25*E2093-100</f>
        <v>562.5</v>
      </c>
    </row>
    <row r="2095" spans="1:8" s="3" customFormat="1" x14ac:dyDescent="0.25">
      <c r="A2095" s="10" t="s">
        <v>19</v>
      </c>
      <c r="B2095" s="286"/>
      <c r="C2095" s="12"/>
      <c r="D2095" s="12"/>
      <c r="E2095" s="12"/>
      <c r="F2095" s="12"/>
      <c r="G2095" s="12"/>
    </row>
    <row r="2096" spans="1:8" s="3" customFormat="1" x14ac:dyDescent="0.25">
      <c r="A2096" s="10" t="s">
        <v>20</v>
      </c>
      <c r="B2096" s="12"/>
      <c r="C2096" s="12"/>
      <c r="D2096" s="12">
        <v>0</v>
      </c>
      <c r="E2096" s="12">
        <v>0</v>
      </c>
      <c r="F2096" s="12"/>
      <c r="G2096" s="12"/>
    </row>
    <row r="2097" spans="1:12" s="3" customFormat="1" x14ac:dyDescent="0.25">
      <c r="A2097" s="10" t="s">
        <v>21</v>
      </c>
      <c r="B2097" s="12"/>
      <c r="C2097" s="12"/>
      <c r="D2097" s="12">
        <f>D2094-D2096</f>
        <v>497.05</v>
      </c>
      <c r="E2097" s="12">
        <f>E2094-E2096</f>
        <v>540</v>
      </c>
      <c r="F2097" s="12"/>
      <c r="G2097" s="12"/>
    </row>
    <row r="2098" spans="1:12" s="3" customFormat="1" x14ac:dyDescent="0.25">
      <c r="A2098" s="16" t="s">
        <v>22</v>
      </c>
      <c r="B2098" s="17"/>
      <c r="C2098" s="17"/>
      <c r="D2098" s="159">
        <v>2024</v>
      </c>
      <c r="E2098" s="159">
        <v>2025</v>
      </c>
      <c r="F2098" s="159">
        <v>2026</v>
      </c>
      <c r="G2098" s="159">
        <v>2027</v>
      </c>
    </row>
    <row r="2099" spans="1:12" s="3" customFormat="1" x14ac:dyDescent="0.25">
      <c r="A2099" s="16" t="s">
        <v>23</v>
      </c>
      <c r="B2099" s="46"/>
      <c r="C2099" s="46"/>
      <c r="D2099" s="178"/>
      <c r="E2099" s="178"/>
      <c r="F2099" s="178"/>
      <c r="G2099" s="179"/>
    </row>
    <row r="2100" spans="1:12" s="3" customFormat="1" x14ac:dyDescent="0.25">
      <c r="A2100" s="39" t="s">
        <v>909</v>
      </c>
      <c r="D2100" s="454"/>
      <c r="E2100" s="454"/>
      <c r="F2100" s="454"/>
      <c r="G2100" s="525"/>
    </row>
    <row r="2101" spans="1:12" s="3" customFormat="1" x14ac:dyDescent="0.25">
      <c r="A2101" s="39" t="s">
        <v>820</v>
      </c>
      <c r="G2101" s="64"/>
    </row>
    <row r="2102" spans="1:12" s="3" customFormat="1" x14ac:dyDescent="0.25">
      <c r="A2102" s="39" t="s">
        <v>1102</v>
      </c>
      <c r="G2102" s="64"/>
    </row>
    <row r="2103" spans="1:12" s="3" customFormat="1" x14ac:dyDescent="0.25">
      <c r="A2103" s="41" t="s">
        <v>1103</v>
      </c>
      <c r="B2103" s="34"/>
      <c r="C2103" s="34"/>
      <c r="D2103" s="34"/>
      <c r="E2103" s="34"/>
      <c r="F2103" s="34"/>
      <c r="G2103" s="48"/>
    </row>
    <row r="2104" spans="1:12" s="3" customFormat="1" x14ac:dyDescent="0.25"/>
    <row r="2105" spans="1:12" s="3" customFormat="1" x14ac:dyDescent="0.25"/>
    <row r="2106" spans="1:12" s="3" customFormat="1" x14ac:dyDescent="0.25">
      <c r="A2106" s="531" t="s">
        <v>12</v>
      </c>
      <c r="B2106" s="532" t="s">
        <v>114</v>
      </c>
      <c r="D2106" s="533"/>
      <c r="E2106" s="533"/>
      <c r="F2106" s="533"/>
      <c r="G2106" s="533"/>
      <c r="H2106" s="533"/>
    </row>
    <row r="2107" spans="1:12" s="3" customFormat="1" x14ac:dyDescent="0.25">
      <c r="A2107" s="531" t="s">
        <v>14</v>
      </c>
      <c r="B2107" s="534" t="s">
        <v>624</v>
      </c>
      <c r="C2107" s="535" t="s">
        <v>15</v>
      </c>
      <c r="D2107" s="533"/>
      <c r="E2107" s="533"/>
      <c r="F2107" s="533"/>
      <c r="G2107" s="533"/>
      <c r="H2107" s="533"/>
    </row>
    <row r="2108" spans="1:12" s="3" customFormat="1" x14ac:dyDescent="0.25">
      <c r="A2108" s="536" t="s">
        <v>16</v>
      </c>
      <c r="B2108" s="537"/>
      <c r="C2108" s="538">
        <v>2016</v>
      </c>
      <c r="D2108" s="539">
        <v>2017</v>
      </c>
      <c r="E2108" s="552">
        <v>2018</v>
      </c>
      <c r="F2108" s="570">
        <v>2019</v>
      </c>
      <c r="G2108" s="571">
        <v>2020</v>
      </c>
      <c r="H2108" s="571">
        <v>2021</v>
      </c>
      <c r="I2108" s="571">
        <v>2022</v>
      </c>
      <c r="J2108" s="571">
        <v>2023</v>
      </c>
      <c r="K2108" s="571">
        <v>2024</v>
      </c>
      <c r="L2108" s="571">
        <v>2025</v>
      </c>
    </row>
    <row r="2109" spans="1:12" s="3" customFormat="1" x14ac:dyDescent="0.25">
      <c r="A2109" s="536" t="s">
        <v>17</v>
      </c>
      <c r="B2109" s="537"/>
      <c r="C2109" s="540">
        <v>527</v>
      </c>
      <c r="D2109" s="540">
        <v>527</v>
      </c>
      <c r="E2109" s="542">
        <v>632.4</v>
      </c>
      <c r="F2109" s="572">
        <v>632.4</v>
      </c>
      <c r="G2109" s="573">
        <v>632.4</v>
      </c>
      <c r="H2109" s="573">
        <v>711.5</v>
      </c>
      <c r="I2109" s="573">
        <v>711.5</v>
      </c>
      <c r="J2109" s="573">
        <v>711.5</v>
      </c>
      <c r="K2109" s="573">
        <v>889.4</v>
      </c>
      <c r="L2109" s="573">
        <v>889.4</v>
      </c>
    </row>
    <row r="2110" spans="1:12" s="3" customFormat="1" x14ac:dyDescent="0.25">
      <c r="A2110" s="536" t="s">
        <v>18</v>
      </c>
      <c r="B2110" s="537"/>
      <c r="C2110" s="540">
        <v>658.75</v>
      </c>
      <c r="D2110" s="540">
        <v>658.75</v>
      </c>
      <c r="E2110" s="542">
        <v>764.15</v>
      </c>
      <c r="F2110" s="572">
        <v>790.5</v>
      </c>
      <c r="G2110" s="573">
        <v>790.5</v>
      </c>
      <c r="H2110" s="573">
        <f>H2109+0.25*G2109</f>
        <v>869.6</v>
      </c>
      <c r="I2110" s="573">
        <f>I2109+0.25*H2109</f>
        <v>889.375</v>
      </c>
      <c r="J2110" s="573">
        <f>J2109+0.25*I2109</f>
        <v>889.375</v>
      </c>
      <c r="K2110" s="573">
        <f>K2109+0.25*J2109</f>
        <v>1067.2750000000001</v>
      </c>
      <c r="L2110" s="573">
        <f>L2109+0.25*K2109</f>
        <v>1111.75</v>
      </c>
    </row>
    <row r="2111" spans="1:12" s="3" customFormat="1" x14ac:dyDescent="0.25">
      <c r="A2111" s="536" t="s">
        <v>19</v>
      </c>
      <c r="B2111" s="537"/>
      <c r="C2111" s="542"/>
      <c r="D2111" s="544"/>
      <c r="E2111" s="542"/>
      <c r="F2111" s="572"/>
      <c r="G2111" s="573"/>
      <c r="H2111" s="573"/>
      <c r="I2111" s="573"/>
      <c r="J2111" s="573"/>
      <c r="K2111" s="573"/>
      <c r="L2111" s="573"/>
    </row>
    <row r="2112" spans="1:12" s="3" customFormat="1" x14ac:dyDescent="0.25">
      <c r="A2112" s="536" t="s">
        <v>20</v>
      </c>
      <c r="B2112" s="537"/>
      <c r="C2112" s="540">
        <v>250.22</v>
      </c>
      <c r="D2112" s="544">
        <v>238.35</v>
      </c>
      <c r="E2112" s="542">
        <v>102.57</v>
      </c>
      <c r="F2112" s="572">
        <v>221.13</v>
      </c>
      <c r="G2112" s="573">
        <v>328.36</v>
      </c>
      <c r="H2112" s="573">
        <v>295.93</v>
      </c>
      <c r="I2112" s="573">
        <v>310.56</v>
      </c>
      <c r="J2112" s="574">
        <v>180.1</v>
      </c>
      <c r="K2112" s="574">
        <v>228.4</v>
      </c>
      <c r="L2112" s="573"/>
    </row>
    <row r="2113" spans="1:26" s="3" customFormat="1" x14ac:dyDescent="0.25">
      <c r="A2113" s="536" t="s">
        <v>21</v>
      </c>
      <c r="B2113" s="537"/>
      <c r="C2113" s="540">
        <v>408.53</v>
      </c>
      <c r="D2113" s="544">
        <v>420.4</v>
      </c>
      <c r="E2113" s="542">
        <f t="shared" ref="E2113:K2113" si="84">E2110-E2112</f>
        <v>661.57999999999993</v>
      </c>
      <c r="F2113" s="572">
        <f t="shared" si="84"/>
        <v>569.37</v>
      </c>
      <c r="G2113" s="573">
        <f t="shared" si="84"/>
        <v>462.14</v>
      </c>
      <c r="H2113" s="573">
        <f t="shared" si="84"/>
        <v>573.67000000000007</v>
      </c>
      <c r="I2113" s="573">
        <f t="shared" si="84"/>
        <v>578.81500000000005</v>
      </c>
      <c r="J2113" s="574">
        <f t="shared" si="84"/>
        <v>709.27499999999998</v>
      </c>
      <c r="K2113" s="574">
        <f t="shared" si="84"/>
        <v>838.87500000000011</v>
      </c>
      <c r="L2113" s="573"/>
    </row>
    <row r="2114" spans="1:26" s="3" customFormat="1" x14ac:dyDescent="0.25">
      <c r="A2114" s="545" t="s">
        <v>22</v>
      </c>
      <c r="B2114" s="546"/>
      <c r="C2114" s="547">
        <v>2017</v>
      </c>
      <c r="D2114" s="548">
        <v>2018</v>
      </c>
      <c r="E2114" s="547">
        <v>2019</v>
      </c>
      <c r="F2114" s="575">
        <v>2020</v>
      </c>
      <c r="G2114" s="576">
        <v>2021</v>
      </c>
      <c r="H2114" s="576">
        <v>2022</v>
      </c>
      <c r="I2114" s="576">
        <v>2023</v>
      </c>
      <c r="J2114" s="576">
        <v>2024</v>
      </c>
      <c r="K2114" s="576">
        <v>2025</v>
      </c>
      <c r="L2114" s="577">
        <v>2026</v>
      </c>
    </row>
    <row r="2115" spans="1:26" s="3" customFormat="1" x14ac:dyDescent="0.25">
      <c r="A2115" s="578" t="s">
        <v>115</v>
      </c>
      <c r="B2115" s="579"/>
      <c r="C2115" s="579"/>
      <c r="D2115" s="579"/>
      <c r="E2115" s="579"/>
      <c r="F2115" s="579"/>
      <c r="G2115" s="579"/>
      <c r="H2115" s="579"/>
      <c r="I2115" s="579"/>
      <c r="J2115" s="579"/>
      <c r="K2115" s="579"/>
      <c r="L2115" s="88"/>
    </row>
    <row r="2116" spans="1:26" s="3" customFormat="1" x14ac:dyDescent="0.25">
      <c r="A2116" s="556" t="s">
        <v>116</v>
      </c>
      <c r="B2116" s="566"/>
      <c r="C2116" s="566"/>
      <c r="D2116" s="497"/>
      <c r="E2116" s="497"/>
      <c r="F2116" s="497"/>
      <c r="G2116" s="497"/>
      <c r="H2116" s="497"/>
      <c r="I2116" s="497"/>
      <c r="J2116" s="566"/>
      <c r="K2116" s="566"/>
      <c r="L2116" s="63"/>
    </row>
    <row r="2117" spans="1:26" s="3" customFormat="1" x14ac:dyDescent="0.25">
      <c r="A2117" s="558" t="s">
        <v>117</v>
      </c>
      <c r="B2117" s="533"/>
      <c r="C2117" s="533"/>
      <c r="D2117" s="533"/>
      <c r="E2117" s="533"/>
      <c r="F2117" s="533"/>
      <c r="G2117" s="533"/>
      <c r="H2117" s="533"/>
      <c r="I2117" s="533"/>
      <c r="J2117" s="533"/>
      <c r="K2117" s="533"/>
      <c r="L2117" s="64"/>
    </row>
    <row r="2118" spans="1:26" s="3" customFormat="1" x14ac:dyDescent="0.25">
      <c r="A2118" s="558" t="s">
        <v>118</v>
      </c>
      <c r="B2118" s="533"/>
      <c r="C2118" s="533"/>
      <c r="D2118" s="533"/>
      <c r="E2118" s="533"/>
      <c r="F2118" s="533"/>
      <c r="G2118" s="533"/>
      <c r="H2118" s="533"/>
      <c r="I2118" s="533"/>
      <c r="J2118" s="533"/>
      <c r="K2118" s="533"/>
      <c r="L2118" s="64"/>
    </row>
    <row r="2119" spans="1:26" s="3" customFormat="1" x14ac:dyDescent="0.25">
      <c r="A2119" s="558" t="s">
        <v>119</v>
      </c>
      <c r="B2119" s="533"/>
      <c r="C2119" s="533"/>
      <c r="D2119" s="533"/>
      <c r="E2119" s="533"/>
      <c r="F2119" s="533"/>
      <c r="G2119" s="533"/>
      <c r="H2119" s="533"/>
      <c r="I2119" s="533"/>
      <c r="J2119" s="533"/>
      <c r="K2119" s="533"/>
      <c r="L2119" s="64"/>
    </row>
    <row r="2120" spans="1:26" s="3" customFormat="1" x14ac:dyDescent="0.25">
      <c r="A2120" s="558" t="s">
        <v>301</v>
      </c>
      <c r="B2120" s="533"/>
      <c r="C2120" s="533"/>
      <c r="D2120" s="533"/>
      <c r="E2120" s="533"/>
      <c r="F2120" s="533"/>
      <c r="G2120" s="533"/>
      <c r="H2120" s="533"/>
      <c r="I2120" s="533"/>
      <c r="J2120" s="533"/>
      <c r="K2120" s="533"/>
      <c r="L2120" s="64"/>
    </row>
    <row r="2121" spans="1:26" s="3" customFormat="1" x14ac:dyDescent="0.25">
      <c r="A2121" s="558" t="s">
        <v>532</v>
      </c>
      <c r="B2121" s="533"/>
      <c r="C2121" s="533"/>
      <c r="D2121" s="533"/>
      <c r="E2121" s="533"/>
      <c r="F2121" s="533"/>
      <c r="G2121" s="533"/>
      <c r="H2121" s="533"/>
      <c r="I2121" s="533"/>
      <c r="J2121" s="533"/>
      <c r="K2121" s="533"/>
      <c r="L2121" s="64"/>
    </row>
    <row r="2122" spans="1:26" s="3" customFormat="1" x14ac:dyDescent="0.25">
      <c r="A2122" s="558" t="s">
        <v>666</v>
      </c>
      <c r="B2122" s="533"/>
      <c r="C2122" s="533"/>
      <c r="D2122" s="533"/>
      <c r="E2122" s="533"/>
      <c r="F2122" s="533"/>
      <c r="G2122" s="533"/>
      <c r="H2122" s="533"/>
      <c r="I2122" s="533"/>
      <c r="J2122" s="533"/>
      <c r="K2122" s="533"/>
      <c r="L2122" s="64"/>
    </row>
    <row r="2123" spans="1:26" s="3" customFormat="1" x14ac:dyDescent="0.25">
      <c r="A2123" s="558" t="s">
        <v>868</v>
      </c>
      <c r="B2123" s="533"/>
      <c r="C2123" s="533"/>
      <c r="D2123" s="533"/>
      <c r="E2123" s="533"/>
      <c r="F2123" s="533"/>
      <c r="G2123" s="533"/>
      <c r="H2123" s="533"/>
      <c r="I2123" s="533"/>
      <c r="J2123" s="533"/>
      <c r="K2123" s="533"/>
      <c r="L2123" s="64"/>
    </row>
    <row r="2124" spans="1:26" s="50" customFormat="1" ht="14.4" x14ac:dyDescent="0.3">
      <c r="A2124" s="39" t="s">
        <v>1023</v>
      </c>
      <c r="B2124" s="3"/>
      <c r="C2124" s="3"/>
      <c r="D2124" s="3"/>
      <c r="E2124" s="3"/>
      <c r="F2124" s="3"/>
      <c r="G2124" s="3"/>
      <c r="H2124" s="3"/>
      <c r="I2124" s="3"/>
      <c r="J2124" s="3"/>
      <c r="K2124" s="3"/>
      <c r="L2124" s="64"/>
      <c r="M2124" s="3"/>
      <c r="N2124" s="3"/>
      <c r="O2124" s="3"/>
      <c r="P2124" s="3"/>
      <c r="Q2124" s="3"/>
      <c r="R2124" s="3"/>
      <c r="S2124" s="3"/>
      <c r="T2124" s="3"/>
      <c r="U2124" s="3"/>
      <c r="V2124" s="3"/>
      <c r="W2124" s="3"/>
      <c r="X2124" s="3"/>
      <c r="Y2124" s="3"/>
      <c r="Z2124" s="3"/>
    </row>
    <row r="2125" spans="1:26" s="50" customFormat="1" ht="14.4" x14ac:dyDescent="0.3">
      <c r="A2125" s="150" t="s">
        <v>1127</v>
      </c>
      <c r="B2125" s="3"/>
      <c r="C2125" s="3"/>
      <c r="D2125" s="3"/>
      <c r="E2125" s="3"/>
      <c r="F2125" s="3"/>
      <c r="G2125" s="3"/>
      <c r="H2125" s="3"/>
      <c r="I2125" s="3"/>
      <c r="J2125" s="3"/>
      <c r="K2125" s="3"/>
      <c r="L2125" s="64"/>
      <c r="M2125" s="3"/>
      <c r="N2125" s="3"/>
      <c r="O2125" s="3"/>
      <c r="P2125" s="3"/>
      <c r="Q2125" s="3"/>
      <c r="R2125" s="3"/>
      <c r="S2125" s="3"/>
      <c r="T2125" s="3"/>
      <c r="U2125" s="3"/>
      <c r="V2125" s="3"/>
      <c r="W2125" s="3"/>
      <c r="X2125" s="3"/>
      <c r="Y2125" s="3"/>
      <c r="Z2125" s="3"/>
    </row>
    <row r="2126" spans="1:26" s="3" customFormat="1" x14ac:dyDescent="0.25">
      <c r="A2126" s="558" t="s">
        <v>533</v>
      </c>
      <c r="B2126" s="533"/>
      <c r="C2126" s="533"/>
      <c r="D2126" s="533"/>
      <c r="E2126" s="533"/>
      <c r="F2126" s="533"/>
      <c r="G2126" s="533"/>
      <c r="H2126" s="533"/>
      <c r="I2126" s="533"/>
      <c r="J2126" s="533"/>
      <c r="K2126" s="533"/>
      <c r="L2126" s="64"/>
    </row>
    <row r="2127" spans="1:26" s="3" customFormat="1" x14ac:dyDescent="0.25">
      <c r="A2127" s="558" t="s">
        <v>534</v>
      </c>
      <c r="B2127" s="533"/>
      <c r="C2127" s="533"/>
      <c r="D2127" s="533"/>
      <c r="E2127" s="533"/>
      <c r="F2127" s="533"/>
      <c r="G2127" s="533"/>
      <c r="H2127" s="533"/>
      <c r="I2127" s="533"/>
      <c r="J2127" s="533"/>
      <c r="K2127" s="533"/>
      <c r="L2127" s="64"/>
    </row>
    <row r="2128" spans="1:26" s="50" customFormat="1" ht="12.75" customHeight="1" x14ac:dyDescent="0.3">
      <c r="A2128" s="39" t="s">
        <v>1024</v>
      </c>
      <c r="B2128" s="3"/>
      <c r="C2128" s="3"/>
      <c r="D2128" s="3"/>
      <c r="E2128" s="3"/>
      <c r="F2128" s="3"/>
      <c r="G2128" s="3"/>
      <c r="H2128" s="3"/>
      <c r="I2128" s="3"/>
      <c r="J2128" s="3"/>
      <c r="K2128" s="3"/>
      <c r="L2128" s="64"/>
      <c r="M2128" s="3"/>
      <c r="N2128" s="3"/>
      <c r="O2128" s="3"/>
      <c r="P2128" s="3"/>
      <c r="Q2128" s="3"/>
      <c r="R2128" s="3"/>
      <c r="S2128" s="3"/>
      <c r="T2128" s="3"/>
      <c r="U2128" s="3"/>
      <c r="V2128" s="3"/>
      <c r="W2128" s="3"/>
      <c r="X2128" s="3"/>
      <c r="Y2128" s="3"/>
      <c r="Z2128" s="3"/>
    </row>
    <row r="2129" spans="1:26" s="59" customFormat="1" ht="12.75" customHeight="1" x14ac:dyDescent="0.3">
      <c r="A2129" s="42" t="s">
        <v>1128</v>
      </c>
      <c r="B2129" s="34"/>
      <c r="C2129" s="34"/>
      <c r="D2129" s="34"/>
      <c r="E2129" s="34"/>
      <c r="F2129" s="34"/>
      <c r="G2129" s="34"/>
      <c r="H2129" s="34"/>
      <c r="I2129" s="34"/>
      <c r="J2129" s="34"/>
      <c r="K2129" s="34"/>
      <c r="L2129" s="48"/>
      <c r="M2129" s="34"/>
      <c r="N2129" s="34"/>
      <c r="O2129" s="34"/>
      <c r="P2129" s="34"/>
      <c r="Q2129" s="34"/>
      <c r="R2129" s="34"/>
      <c r="S2129" s="34"/>
      <c r="T2129" s="34"/>
      <c r="U2129" s="34"/>
      <c r="V2129" s="34"/>
      <c r="W2129" s="34"/>
      <c r="X2129" s="34"/>
      <c r="Y2129" s="34"/>
      <c r="Z2129" s="34"/>
    </row>
    <row r="2130" spans="1:26" s="3" customFormat="1" x14ac:dyDescent="0.25"/>
    <row r="2131" spans="1:26" s="3" customFormat="1" x14ac:dyDescent="0.25">
      <c r="A2131" s="531" t="s">
        <v>14</v>
      </c>
      <c r="B2131" s="534" t="s">
        <v>623</v>
      </c>
      <c r="C2131" s="535" t="s">
        <v>15</v>
      </c>
      <c r="D2131" s="533"/>
      <c r="E2131" s="533"/>
      <c r="F2131" s="533"/>
      <c r="G2131" s="533"/>
      <c r="H2131" s="533"/>
    </row>
    <row r="2132" spans="1:26" s="3" customFormat="1" x14ac:dyDescent="0.25">
      <c r="A2132" s="536" t="s">
        <v>16</v>
      </c>
      <c r="B2132" s="537"/>
      <c r="C2132" s="580">
        <v>2017</v>
      </c>
      <c r="D2132" s="552">
        <v>2018</v>
      </c>
      <c r="E2132" s="552">
        <v>2019</v>
      </c>
      <c r="F2132" s="570">
        <v>2020</v>
      </c>
      <c r="G2132" s="571">
        <v>2021</v>
      </c>
      <c r="H2132" s="571">
        <v>2022</v>
      </c>
      <c r="I2132" s="571">
        <v>2023</v>
      </c>
      <c r="J2132" s="571">
        <v>2024</v>
      </c>
      <c r="K2132" s="581">
        <v>2025</v>
      </c>
    </row>
    <row r="2133" spans="1:26" s="3" customFormat="1" x14ac:dyDescent="0.25">
      <c r="A2133" s="536" t="s">
        <v>17</v>
      </c>
      <c r="B2133" s="537"/>
      <c r="C2133" s="540">
        <v>3907</v>
      </c>
      <c r="D2133" s="540">
        <v>3907</v>
      </c>
      <c r="E2133" s="542">
        <v>3907</v>
      </c>
      <c r="F2133" s="572">
        <v>3907</v>
      </c>
      <c r="G2133" s="573">
        <v>3907</v>
      </c>
      <c r="H2133" s="573">
        <v>3907</v>
      </c>
      <c r="I2133" s="573">
        <v>3907</v>
      </c>
      <c r="J2133" s="573">
        <v>3907</v>
      </c>
      <c r="K2133" s="574">
        <v>3907</v>
      </c>
    </row>
    <row r="2134" spans="1:26" s="3" customFormat="1" x14ac:dyDescent="0.25">
      <c r="A2134" s="536" t="s">
        <v>18</v>
      </c>
      <c r="B2134" s="537"/>
      <c r="C2134" s="540">
        <v>4468.05</v>
      </c>
      <c r="D2134" s="540">
        <v>4493.05</v>
      </c>
      <c r="E2134" s="542">
        <v>4493.05</v>
      </c>
      <c r="F2134" s="572">
        <v>4493.05</v>
      </c>
      <c r="G2134" s="573">
        <v>4493.05</v>
      </c>
      <c r="H2134" s="573">
        <v>4493.05</v>
      </c>
      <c r="I2134" s="573">
        <v>4493.05</v>
      </c>
      <c r="J2134" s="573">
        <f>J2133+I2133*0.15-200</f>
        <v>4293.05</v>
      </c>
      <c r="K2134" s="574">
        <f>K2133+(K2133*0.15)-300</f>
        <v>4193.05</v>
      </c>
    </row>
    <row r="2135" spans="1:26" s="3" customFormat="1" x14ac:dyDescent="0.25">
      <c r="A2135" s="536" t="s">
        <v>19</v>
      </c>
      <c r="B2135" s="537"/>
      <c r="C2135" s="582"/>
      <c r="D2135" s="542"/>
      <c r="E2135" s="542"/>
      <c r="F2135" s="572"/>
      <c r="G2135" s="573"/>
      <c r="H2135" s="573"/>
      <c r="I2135" s="573"/>
      <c r="J2135" s="573"/>
      <c r="K2135" s="574"/>
    </row>
    <row r="2136" spans="1:26" s="3" customFormat="1" x14ac:dyDescent="0.25">
      <c r="A2136" s="536" t="s">
        <v>20</v>
      </c>
      <c r="B2136" s="537"/>
      <c r="C2136" s="583">
        <v>1404.81</v>
      </c>
      <c r="D2136" s="542">
        <v>1274.78</v>
      </c>
      <c r="E2136" s="542">
        <v>1736.49</v>
      </c>
      <c r="F2136" s="572">
        <v>1441.75</v>
      </c>
      <c r="G2136" s="573">
        <v>1231.69</v>
      </c>
      <c r="H2136" s="573">
        <v>1339.32</v>
      </c>
      <c r="I2136" s="573">
        <v>1008.8</v>
      </c>
      <c r="J2136" s="573">
        <v>890.44</v>
      </c>
      <c r="K2136" s="574"/>
    </row>
    <row r="2137" spans="1:26" s="3" customFormat="1" x14ac:dyDescent="0.25">
      <c r="A2137" s="536" t="s">
        <v>21</v>
      </c>
      <c r="B2137" s="537"/>
      <c r="C2137" s="540">
        <v>3063.24</v>
      </c>
      <c r="D2137" s="542">
        <f t="shared" ref="D2137:H2137" si="85">D2134-D2136</f>
        <v>3218.2700000000004</v>
      </c>
      <c r="E2137" s="542">
        <f t="shared" si="85"/>
        <v>2756.5600000000004</v>
      </c>
      <c r="F2137" s="542">
        <f t="shared" si="85"/>
        <v>3051.3</v>
      </c>
      <c r="G2137" s="573">
        <f t="shared" si="85"/>
        <v>3261.36</v>
      </c>
      <c r="H2137" s="573">
        <f t="shared" si="85"/>
        <v>3153.7300000000005</v>
      </c>
      <c r="I2137" s="573">
        <v>3484.25</v>
      </c>
      <c r="J2137" s="573">
        <v>3402.61</v>
      </c>
      <c r="K2137" s="574"/>
    </row>
    <row r="2138" spans="1:26" s="3" customFormat="1" x14ac:dyDescent="0.25">
      <c r="A2138" s="545" t="s">
        <v>22</v>
      </c>
      <c r="B2138" s="546"/>
      <c r="C2138" s="568">
        <v>2018</v>
      </c>
      <c r="D2138" s="547">
        <v>2019</v>
      </c>
      <c r="E2138" s="547">
        <v>2020</v>
      </c>
      <c r="F2138" s="575">
        <v>2021</v>
      </c>
      <c r="G2138" s="576">
        <v>2022</v>
      </c>
      <c r="H2138" s="576">
        <v>2023</v>
      </c>
      <c r="I2138" s="576">
        <v>2024</v>
      </c>
      <c r="J2138" s="576">
        <v>2025</v>
      </c>
      <c r="K2138" s="584">
        <v>2026</v>
      </c>
    </row>
    <row r="2139" spans="1:26" s="3" customFormat="1" x14ac:dyDescent="0.25">
      <c r="A2139" s="578" t="s">
        <v>120</v>
      </c>
      <c r="B2139" s="579"/>
      <c r="C2139" s="579"/>
      <c r="D2139" s="579"/>
      <c r="E2139" s="579"/>
      <c r="F2139" s="579"/>
      <c r="G2139" s="579"/>
      <c r="H2139" s="579"/>
      <c r="I2139" s="579"/>
      <c r="J2139" s="579"/>
      <c r="K2139" s="88"/>
    </row>
    <row r="2140" spans="1:26" s="3" customFormat="1" x14ac:dyDescent="0.25">
      <c r="A2140" s="556" t="s">
        <v>121</v>
      </c>
      <c r="B2140" s="566"/>
      <c r="C2140" s="566"/>
      <c r="D2140" s="566"/>
      <c r="E2140" s="566"/>
      <c r="F2140" s="566"/>
      <c r="G2140" s="566"/>
      <c r="H2140" s="566"/>
      <c r="I2140" s="566"/>
      <c r="J2140" s="566"/>
      <c r="K2140" s="63"/>
    </row>
    <row r="2141" spans="1:26" s="3" customFormat="1" x14ac:dyDescent="0.25">
      <c r="A2141" s="558" t="s">
        <v>122</v>
      </c>
      <c r="B2141" s="533"/>
      <c r="C2141" s="533"/>
      <c r="D2141" s="533"/>
      <c r="E2141" s="533"/>
      <c r="F2141" s="533"/>
      <c r="G2141" s="533"/>
      <c r="H2141" s="533"/>
      <c r="I2141" s="533"/>
      <c r="J2141" s="533"/>
      <c r="K2141" s="64"/>
    </row>
    <row r="2142" spans="1:26" s="3" customFormat="1" x14ac:dyDescent="0.25">
      <c r="A2142" s="558" t="s">
        <v>123</v>
      </c>
      <c r="B2142" s="533"/>
      <c r="C2142" s="533"/>
      <c r="D2142" s="533"/>
      <c r="E2142" s="533"/>
      <c r="F2142" s="533"/>
      <c r="G2142" s="533"/>
      <c r="H2142" s="533"/>
      <c r="I2142" s="533"/>
      <c r="J2142" s="533"/>
      <c r="K2142" s="64"/>
    </row>
    <row r="2143" spans="1:26" s="3" customFormat="1" x14ac:dyDescent="0.25">
      <c r="A2143" s="39" t="s">
        <v>302</v>
      </c>
      <c r="B2143" s="533"/>
      <c r="C2143" s="533"/>
      <c r="D2143" s="533"/>
      <c r="E2143" s="533"/>
      <c r="F2143" s="533"/>
      <c r="G2143" s="533"/>
      <c r="H2143" s="533"/>
      <c r="I2143" s="533"/>
      <c r="J2143" s="533"/>
      <c r="K2143" s="64"/>
    </row>
    <row r="2144" spans="1:26" s="3" customFormat="1" x14ac:dyDescent="0.25">
      <c r="A2144" s="558" t="s">
        <v>535</v>
      </c>
      <c r="B2144" s="533"/>
      <c r="C2144" s="533"/>
      <c r="D2144" s="533"/>
      <c r="E2144" s="533"/>
      <c r="F2144" s="533"/>
      <c r="G2144" s="533"/>
      <c r="H2144" s="533"/>
      <c r="I2144" s="533"/>
      <c r="J2144" s="533"/>
      <c r="K2144" s="64"/>
    </row>
    <row r="2145" spans="1:11" s="3" customFormat="1" x14ac:dyDescent="0.25">
      <c r="A2145" s="558" t="s">
        <v>667</v>
      </c>
      <c r="B2145" s="533"/>
      <c r="C2145" s="533"/>
      <c r="D2145" s="533"/>
      <c r="E2145" s="533"/>
      <c r="F2145" s="533"/>
      <c r="G2145" s="533"/>
      <c r="H2145" s="533"/>
      <c r="I2145" s="533"/>
      <c r="J2145" s="533"/>
      <c r="K2145" s="64"/>
    </row>
    <row r="2146" spans="1:11" s="3" customFormat="1" x14ac:dyDescent="0.25">
      <c r="A2146" s="558" t="s">
        <v>869</v>
      </c>
      <c r="B2146" s="533"/>
      <c r="C2146" s="533"/>
      <c r="D2146" s="533"/>
      <c r="E2146" s="533"/>
      <c r="F2146" s="533"/>
      <c r="G2146" s="533"/>
      <c r="H2146" s="533"/>
      <c r="I2146" s="533"/>
      <c r="J2146" s="533"/>
      <c r="K2146" s="64"/>
    </row>
    <row r="2147" spans="1:11" s="3" customFormat="1" x14ac:dyDescent="0.25">
      <c r="A2147" s="558" t="s">
        <v>1025</v>
      </c>
      <c r="B2147" s="533"/>
      <c r="C2147" s="533"/>
      <c r="D2147" s="533"/>
      <c r="E2147" s="533"/>
      <c r="F2147" s="533"/>
      <c r="G2147" s="533"/>
      <c r="H2147" s="533"/>
      <c r="I2147" s="533"/>
      <c r="J2147" s="533"/>
      <c r="K2147" s="64"/>
    </row>
    <row r="2148" spans="1:11" s="3" customFormat="1" x14ac:dyDescent="0.25">
      <c r="A2148" s="562" t="s">
        <v>1230</v>
      </c>
      <c r="B2148" s="549"/>
      <c r="C2148" s="549"/>
      <c r="D2148" s="549"/>
      <c r="E2148" s="549"/>
      <c r="F2148" s="549"/>
      <c r="G2148" s="549"/>
      <c r="H2148" s="549"/>
      <c r="I2148" s="549"/>
      <c r="J2148" s="549"/>
      <c r="K2148" s="48"/>
    </row>
    <row r="2149" spans="1:11" s="3" customFormat="1" x14ac:dyDescent="0.25"/>
    <row r="2150" spans="1:11" s="3" customFormat="1" x14ac:dyDescent="0.25">
      <c r="A2150" s="531" t="s">
        <v>14</v>
      </c>
      <c r="B2150" s="534" t="s">
        <v>641</v>
      </c>
      <c r="C2150" s="535" t="s">
        <v>15</v>
      </c>
      <c r="D2150" s="533"/>
      <c r="E2150" s="533"/>
      <c r="F2150" s="533"/>
      <c r="G2150" s="533"/>
      <c r="H2150" s="533"/>
    </row>
    <row r="2151" spans="1:11" s="3" customFormat="1" x14ac:dyDescent="0.25">
      <c r="A2151" s="536" t="s">
        <v>16</v>
      </c>
      <c r="B2151" s="537"/>
      <c r="C2151" s="585">
        <v>2017</v>
      </c>
      <c r="D2151" s="586">
        <v>2018</v>
      </c>
      <c r="E2151" s="586">
        <v>2019</v>
      </c>
      <c r="F2151" s="587">
        <v>2020</v>
      </c>
      <c r="G2151" s="571">
        <v>2021</v>
      </c>
      <c r="H2151" s="571">
        <v>2022</v>
      </c>
      <c r="I2151" s="571">
        <v>2023</v>
      </c>
      <c r="J2151" s="571">
        <v>2024</v>
      </c>
      <c r="K2151" s="581">
        <v>2025</v>
      </c>
    </row>
    <row r="2152" spans="1:11" s="3" customFormat="1" x14ac:dyDescent="0.25">
      <c r="A2152" s="536" t="s">
        <v>17</v>
      </c>
      <c r="B2152" s="536"/>
      <c r="C2152" s="588">
        <v>100</v>
      </c>
      <c r="D2152" s="588">
        <v>100</v>
      </c>
      <c r="E2152" s="573">
        <v>100</v>
      </c>
      <c r="F2152" s="573">
        <v>100</v>
      </c>
      <c r="G2152" s="573">
        <v>100</v>
      </c>
      <c r="H2152" s="573">
        <v>100</v>
      </c>
      <c r="I2152" s="573">
        <v>100</v>
      </c>
      <c r="J2152" s="573">
        <v>100</v>
      </c>
      <c r="K2152" s="574">
        <v>100</v>
      </c>
    </row>
    <row r="2153" spans="1:11" s="3" customFormat="1" x14ac:dyDescent="0.25">
      <c r="A2153" s="536" t="s">
        <v>18</v>
      </c>
      <c r="B2153" s="536"/>
      <c r="C2153" s="588">
        <v>99.94</v>
      </c>
      <c r="D2153" s="588">
        <v>99.94</v>
      </c>
      <c r="E2153" s="573">
        <v>99.94</v>
      </c>
      <c r="F2153" s="573">
        <v>99.94</v>
      </c>
      <c r="G2153" s="573">
        <v>99.94</v>
      </c>
      <c r="H2153" s="573">
        <f>H2152-50-25-24.94+G2156</f>
        <v>100</v>
      </c>
      <c r="I2153" s="573">
        <f>I2152-50-25-25+H2156</f>
        <v>100</v>
      </c>
      <c r="J2153" s="573">
        <f>J2152-50-25-25+I2156</f>
        <v>100</v>
      </c>
      <c r="K2153" s="574">
        <f t="shared" ref="K2153" si="86">K2152-50-25-25+I2156</f>
        <v>100</v>
      </c>
    </row>
    <row r="2154" spans="1:11" s="3" customFormat="1" x14ac:dyDescent="0.25">
      <c r="A2154" s="536" t="s">
        <v>19</v>
      </c>
      <c r="B2154" s="536"/>
      <c r="C2154" s="573"/>
      <c r="D2154" s="573"/>
      <c r="E2154" s="573"/>
      <c r="F2154" s="573"/>
      <c r="G2154" s="573"/>
      <c r="H2154" s="573"/>
      <c r="I2154" s="573"/>
      <c r="J2154" s="573"/>
      <c r="K2154" s="574"/>
    </row>
    <row r="2155" spans="1:11" s="3" customFormat="1" x14ac:dyDescent="0.25">
      <c r="A2155" s="536" t="s">
        <v>20</v>
      </c>
      <c r="B2155" s="536"/>
      <c r="C2155" s="588">
        <v>0</v>
      </c>
      <c r="D2155" s="588">
        <v>0</v>
      </c>
      <c r="E2155" s="588">
        <v>0</v>
      </c>
      <c r="F2155" s="573">
        <v>0</v>
      </c>
      <c r="G2155" s="573">
        <v>0</v>
      </c>
      <c r="H2155" s="573">
        <v>0</v>
      </c>
      <c r="I2155" s="573">
        <v>0</v>
      </c>
      <c r="J2155" s="574">
        <v>0</v>
      </c>
      <c r="K2155" s="574"/>
    </row>
    <row r="2156" spans="1:11" s="3" customFormat="1" x14ac:dyDescent="0.25">
      <c r="A2156" s="536" t="s">
        <v>21</v>
      </c>
      <c r="B2156" s="537"/>
      <c r="C2156" s="589">
        <v>99.94</v>
      </c>
      <c r="D2156" s="589">
        <v>99.94</v>
      </c>
      <c r="E2156" s="589">
        <v>99.94</v>
      </c>
      <c r="F2156" s="582">
        <v>99.94</v>
      </c>
      <c r="G2156" s="573">
        <v>99.94</v>
      </c>
      <c r="H2156" s="573">
        <f>H2152-H2155</f>
        <v>100</v>
      </c>
      <c r="I2156" s="573">
        <v>100</v>
      </c>
      <c r="J2156" s="574">
        <v>100</v>
      </c>
      <c r="K2156" s="574"/>
    </row>
    <row r="2157" spans="1:11" s="3" customFormat="1" x14ac:dyDescent="0.25">
      <c r="A2157" s="545" t="s">
        <v>22</v>
      </c>
      <c r="B2157" s="546"/>
      <c r="C2157" s="568">
        <v>2018</v>
      </c>
      <c r="D2157" s="547">
        <v>2019</v>
      </c>
      <c r="E2157" s="547">
        <v>2020</v>
      </c>
      <c r="F2157" s="575">
        <v>2021</v>
      </c>
      <c r="G2157" s="576">
        <v>2022</v>
      </c>
      <c r="H2157" s="576">
        <v>2023</v>
      </c>
      <c r="I2157" s="576">
        <v>2024</v>
      </c>
      <c r="J2157" s="576">
        <v>2025</v>
      </c>
      <c r="K2157" s="584">
        <v>2026</v>
      </c>
    </row>
    <row r="2158" spans="1:11" s="3" customFormat="1" x14ac:dyDescent="0.25">
      <c r="A2158" s="556" t="s">
        <v>124</v>
      </c>
      <c r="B2158" s="566"/>
      <c r="C2158" s="566"/>
      <c r="D2158" s="566"/>
      <c r="E2158" s="566"/>
      <c r="F2158" s="566"/>
      <c r="G2158" s="566"/>
      <c r="H2158" s="566"/>
      <c r="I2158" s="566"/>
      <c r="J2158" s="566"/>
      <c r="K2158" s="63"/>
    </row>
    <row r="2159" spans="1:11" s="3" customFormat="1" x14ac:dyDescent="0.25">
      <c r="A2159" s="558" t="s">
        <v>125</v>
      </c>
      <c r="B2159" s="533"/>
      <c r="C2159" s="533"/>
      <c r="D2159" s="533"/>
      <c r="E2159" s="533"/>
      <c r="F2159" s="533"/>
      <c r="G2159" s="533"/>
      <c r="H2159" s="533"/>
      <c r="I2159" s="533"/>
      <c r="J2159" s="533"/>
      <c r="K2159" s="64"/>
    </row>
    <row r="2160" spans="1:11" s="3" customFormat="1" x14ac:dyDescent="0.25">
      <c r="A2160" s="558" t="s">
        <v>126</v>
      </c>
      <c r="B2160" s="533"/>
      <c r="C2160" s="533"/>
      <c r="D2160" s="533"/>
      <c r="E2160" s="533"/>
      <c r="F2160" s="533"/>
      <c r="G2160" s="533"/>
      <c r="H2160" s="533"/>
      <c r="I2160" s="533"/>
      <c r="J2160" s="533"/>
      <c r="K2160" s="64"/>
    </row>
    <row r="2161" spans="1:12" s="3" customFormat="1" x14ac:dyDescent="0.25">
      <c r="A2161" s="558" t="s">
        <v>127</v>
      </c>
      <c r="B2161" s="533"/>
      <c r="C2161" s="533"/>
      <c r="D2161" s="533"/>
      <c r="E2161" s="533"/>
      <c r="F2161" s="533"/>
      <c r="G2161" s="533"/>
      <c r="H2161" s="533"/>
      <c r="I2161" s="533"/>
      <c r="J2161" s="533"/>
      <c r="K2161" s="64"/>
    </row>
    <row r="2162" spans="1:12" s="3" customFormat="1" x14ac:dyDescent="0.25">
      <c r="A2162" s="558" t="s">
        <v>303</v>
      </c>
      <c r="B2162" s="533"/>
      <c r="C2162" s="533"/>
      <c r="D2162" s="533"/>
      <c r="E2162" s="533"/>
      <c r="F2162" s="533"/>
      <c r="G2162" s="533"/>
      <c r="H2162" s="533"/>
      <c r="I2162" s="533"/>
      <c r="J2162" s="533"/>
      <c r="K2162" s="64"/>
    </row>
    <row r="2163" spans="1:12" s="3" customFormat="1" x14ac:dyDescent="0.25">
      <c r="A2163" s="558" t="s">
        <v>536</v>
      </c>
      <c r="B2163" s="533"/>
      <c r="C2163" s="533"/>
      <c r="D2163" s="533"/>
      <c r="E2163" s="533"/>
      <c r="F2163" s="533"/>
      <c r="G2163" s="533"/>
      <c r="H2163" s="533"/>
      <c r="I2163" s="533"/>
      <c r="J2163" s="533"/>
      <c r="K2163" s="64"/>
    </row>
    <row r="2164" spans="1:12" s="3" customFormat="1" x14ac:dyDescent="0.25">
      <c r="A2164" s="558" t="s">
        <v>577</v>
      </c>
      <c r="B2164" s="533"/>
      <c r="C2164" s="533"/>
      <c r="D2164" s="533"/>
      <c r="E2164" s="533"/>
      <c r="F2164" s="533"/>
      <c r="G2164" s="533"/>
      <c r="H2164" s="533"/>
      <c r="I2164" s="533"/>
      <c r="J2164" s="533"/>
      <c r="K2164" s="64"/>
    </row>
    <row r="2165" spans="1:12" s="3" customFormat="1" x14ac:dyDescent="0.25">
      <c r="A2165" s="558" t="s">
        <v>870</v>
      </c>
      <c r="B2165" s="533"/>
      <c r="C2165" s="533"/>
      <c r="D2165" s="533"/>
      <c r="E2165" s="533"/>
      <c r="F2165" s="533"/>
      <c r="G2165" s="533"/>
      <c r="H2165" s="533"/>
      <c r="I2165" s="533"/>
      <c r="J2165" s="533"/>
      <c r="K2165" s="64"/>
    </row>
    <row r="2166" spans="1:12" s="3" customFormat="1" x14ac:dyDescent="0.25">
      <c r="A2166" s="558" t="s">
        <v>1026</v>
      </c>
      <c r="B2166" s="533"/>
      <c r="C2166" s="533"/>
      <c r="D2166" s="533"/>
      <c r="E2166" s="533"/>
      <c r="F2166" s="533"/>
      <c r="G2166" s="533"/>
      <c r="H2166" s="533"/>
      <c r="I2166" s="533"/>
      <c r="J2166" s="533"/>
      <c r="K2166" s="64"/>
    </row>
    <row r="2167" spans="1:12" s="3" customFormat="1" x14ac:dyDescent="0.25">
      <c r="A2167" s="42" t="s">
        <v>1231</v>
      </c>
      <c r="B2167" s="549"/>
      <c r="C2167" s="549"/>
      <c r="D2167" s="549"/>
      <c r="E2167" s="549"/>
      <c r="F2167" s="549"/>
      <c r="G2167" s="549"/>
      <c r="H2167" s="549"/>
      <c r="I2167" s="549"/>
      <c r="J2167" s="549"/>
      <c r="K2167" s="48"/>
    </row>
    <row r="2168" spans="1:12" s="3" customFormat="1" x14ac:dyDescent="0.25"/>
    <row r="2169" spans="1:12" s="3" customFormat="1" x14ac:dyDescent="0.25">
      <c r="A2169" s="531" t="s">
        <v>14</v>
      </c>
      <c r="B2169" s="534" t="s">
        <v>645</v>
      </c>
      <c r="C2169" s="535" t="s">
        <v>15</v>
      </c>
      <c r="D2169" s="533"/>
      <c r="E2169" s="533"/>
      <c r="F2169" s="533"/>
    </row>
    <row r="2170" spans="1:12" s="3" customFormat="1" x14ac:dyDescent="0.25">
      <c r="A2170" s="536" t="s">
        <v>16</v>
      </c>
      <c r="B2170" s="537"/>
      <c r="C2170" s="538">
        <v>2016</v>
      </c>
      <c r="D2170" s="570">
        <v>2017</v>
      </c>
      <c r="E2170" s="552">
        <v>2018</v>
      </c>
      <c r="F2170" s="570">
        <v>2019</v>
      </c>
      <c r="G2170" s="154">
        <v>2020</v>
      </c>
      <c r="H2170" s="154">
        <v>2021</v>
      </c>
      <c r="I2170" s="154">
        <v>2022</v>
      </c>
      <c r="J2170" s="154">
        <v>2023</v>
      </c>
      <c r="K2170" s="154">
        <v>2024</v>
      </c>
      <c r="L2170" s="581">
        <v>2025</v>
      </c>
    </row>
    <row r="2171" spans="1:12" s="3" customFormat="1" x14ac:dyDescent="0.25">
      <c r="A2171" s="536" t="s">
        <v>17</v>
      </c>
      <c r="B2171" s="537"/>
      <c r="C2171" s="590">
        <v>1083.79</v>
      </c>
      <c r="D2171" s="590">
        <v>1083.79</v>
      </c>
      <c r="E2171" s="537">
        <v>1272.8599999999999</v>
      </c>
      <c r="F2171" s="591">
        <v>1272.8599999999999</v>
      </c>
      <c r="G2171" s="11">
        <v>1272.8599999999999</v>
      </c>
      <c r="H2171" s="11">
        <v>1272.8599999999999</v>
      </c>
      <c r="I2171" s="12">
        <v>1341.14</v>
      </c>
      <c r="J2171" s="11">
        <v>1341.14</v>
      </c>
      <c r="K2171" s="11">
        <v>1341.14</v>
      </c>
      <c r="L2171" s="592">
        <v>1341.14</v>
      </c>
    </row>
    <row r="2172" spans="1:12" s="3" customFormat="1" x14ac:dyDescent="0.25">
      <c r="A2172" s="536" t="s">
        <v>18</v>
      </c>
      <c r="B2172" s="537"/>
      <c r="C2172" s="590">
        <v>1192.17</v>
      </c>
      <c r="D2172" s="590">
        <v>1192.17</v>
      </c>
      <c r="E2172" s="537">
        <v>1381.24</v>
      </c>
      <c r="F2172" s="591">
        <v>1400.15</v>
      </c>
      <c r="G2172" s="11">
        <v>1400.15</v>
      </c>
      <c r="H2172" s="11">
        <v>1400.15</v>
      </c>
      <c r="I2172" s="12">
        <f>I2171+0.1*H2171</f>
        <v>1468.4260000000002</v>
      </c>
      <c r="J2172" s="12">
        <f>J2171+I2175</f>
        <v>1447.6760000000002</v>
      </c>
      <c r="K2172" s="12">
        <f>K2171+0.1*J2171</f>
        <v>1475.2540000000001</v>
      </c>
      <c r="L2172" s="574">
        <v>1199.96</v>
      </c>
    </row>
    <row r="2173" spans="1:12" s="3" customFormat="1" x14ac:dyDescent="0.25">
      <c r="A2173" s="536" t="s">
        <v>19</v>
      </c>
      <c r="B2173" s="537"/>
      <c r="C2173" s="537"/>
      <c r="D2173" s="591"/>
      <c r="E2173" s="537"/>
      <c r="F2173" s="591"/>
      <c r="G2173" s="11"/>
      <c r="H2173" s="11"/>
      <c r="I2173" s="12"/>
      <c r="J2173" s="11"/>
      <c r="K2173" s="11"/>
      <c r="L2173" s="592"/>
    </row>
    <row r="2174" spans="1:12" s="3" customFormat="1" x14ac:dyDescent="0.25">
      <c r="A2174" s="536" t="s">
        <v>20</v>
      </c>
      <c r="B2174" s="537"/>
      <c r="C2174" s="590">
        <v>1025.0999999999999</v>
      </c>
      <c r="D2174" s="591">
        <v>996.8</v>
      </c>
      <c r="E2174" s="537">
        <v>1028.26</v>
      </c>
      <c r="F2174" s="591">
        <v>1190.78</v>
      </c>
      <c r="G2174" s="11">
        <v>1184.99</v>
      </c>
      <c r="H2174" s="11">
        <v>1205.69</v>
      </c>
      <c r="I2174" s="12">
        <v>1361.89</v>
      </c>
      <c r="J2174" s="11">
        <v>1311.3</v>
      </c>
      <c r="K2174" s="11">
        <v>1616.43</v>
      </c>
      <c r="L2174" s="592"/>
    </row>
    <row r="2175" spans="1:12" s="3" customFormat="1" x14ac:dyDescent="0.25">
      <c r="A2175" s="536" t="s">
        <v>21</v>
      </c>
      <c r="B2175" s="537"/>
      <c r="C2175" s="590">
        <f t="shared" ref="C2175:I2175" si="87">C2172-C2174</f>
        <v>167.07000000000016</v>
      </c>
      <c r="D2175" s="590">
        <f t="shared" si="87"/>
        <v>195.37000000000012</v>
      </c>
      <c r="E2175" s="590">
        <f t="shared" si="87"/>
        <v>352.98</v>
      </c>
      <c r="F2175" s="590">
        <f t="shared" si="87"/>
        <v>209.37000000000012</v>
      </c>
      <c r="G2175" s="590">
        <f t="shared" si="87"/>
        <v>215.16000000000008</v>
      </c>
      <c r="H2175" s="11">
        <f t="shared" si="87"/>
        <v>194.46000000000004</v>
      </c>
      <c r="I2175" s="12">
        <f t="shared" si="87"/>
        <v>106.53600000000006</v>
      </c>
      <c r="J2175" s="12">
        <v>136.3760000000002</v>
      </c>
      <c r="K2175" s="25">
        <v>-141.18</v>
      </c>
      <c r="L2175" s="592"/>
    </row>
    <row r="2176" spans="1:12" s="3" customFormat="1" x14ac:dyDescent="0.25">
      <c r="A2176" s="545" t="s">
        <v>22</v>
      </c>
      <c r="B2176" s="546"/>
      <c r="C2176" s="547">
        <v>2017</v>
      </c>
      <c r="D2176" s="575">
        <v>2018</v>
      </c>
      <c r="E2176" s="547">
        <v>2019</v>
      </c>
      <c r="F2176" s="575">
        <v>2020</v>
      </c>
      <c r="G2176" s="159">
        <v>2021</v>
      </c>
      <c r="H2176" s="159">
        <v>2022</v>
      </c>
      <c r="I2176" s="159">
        <v>2023</v>
      </c>
      <c r="J2176" s="159">
        <v>2024</v>
      </c>
      <c r="K2176" s="159">
        <v>2025</v>
      </c>
      <c r="L2176" s="584">
        <v>2026</v>
      </c>
    </row>
    <row r="2177" spans="1:16384" s="3" customFormat="1" x14ac:dyDescent="0.25">
      <c r="A2177" s="578" t="s">
        <v>538</v>
      </c>
      <c r="B2177" s="579"/>
      <c r="C2177" s="593"/>
      <c r="D2177" s="593"/>
      <c r="E2177" s="593"/>
      <c r="F2177" s="593"/>
      <c r="G2177" s="186"/>
      <c r="H2177" s="186"/>
      <c r="I2177" s="186"/>
      <c r="J2177" s="186"/>
      <c r="K2177" s="186"/>
      <c r="L2177" s="88"/>
    </row>
    <row r="2178" spans="1:16384" s="3" customFormat="1" x14ac:dyDescent="0.25">
      <c r="A2178" s="556" t="s">
        <v>128</v>
      </c>
      <c r="B2178" s="566"/>
      <c r="C2178" s="566"/>
      <c r="D2178" s="566"/>
      <c r="E2178" s="566"/>
      <c r="F2178" s="566"/>
      <c r="G2178" s="19"/>
      <c r="H2178" s="19"/>
      <c r="I2178" s="19"/>
      <c r="J2178" s="19"/>
      <c r="K2178" s="19"/>
      <c r="L2178" s="63"/>
    </row>
    <row r="2179" spans="1:16384" s="3" customFormat="1" x14ac:dyDescent="0.25">
      <c r="A2179" s="558" t="s">
        <v>129</v>
      </c>
      <c r="B2179" s="533"/>
      <c r="C2179" s="533"/>
      <c r="D2179" s="533"/>
      <c r="E2179" s="533"/>
      <c r="F2179" s="533"/>
      <c r="L2179" s="64"/>
    </row>
    <row r="2180" spans="1:16384" s="3" customFormat="1" x14ac:dyDescent="0.25">
      <c r="A2180" s="558" t="s">
        <v>130</v>
      </c>
      <c r="B2180" s="533"/>
      <c r="C2180" s="533"/>
      <c r="D2180" s="533"/>
      <c r="E2180" s="533"/>
      <c r="F2180" s="533"/>
      <c r="L2180" s="64"/>
    </row>
    <row r="2181" spans="1:16384" s="3" customFormat="1" x14ac:dyDescent="0.25">
      <c r="A2181" s="558" t="s">
        <v>131</v>
      </c>
      <c r="B2181" s="533"/>
      <c r="C2181" s="533"/>
      <c r="D2181" s="533"/>
      <c r="E2181" s="533"/>
      <c r="F2181" s="533"/>
      <c r="L2181" s="64"/>
    </row>
    <row r="2182" spans="1:16384" s="3" customFormat="1" x14ac:dyDescent="0.25">
      <c r="A2182" s="558" t="s">
        <v>304</v>
      </c>
      <c r="B2182" s="533"/>
      <c r="C2182" s="533"/>
      <c r="D2182" s="533"/>
      <c r="E2182" s="533"/>
      <c r="F2182" s="533"/>
      <c r="L2182" s="64"/>
    </row>
    <row r="2183" spans="1:16384" s="3" customFormat="1" x14ac:dyDescent="0.25">
      <c r="A2183" s="558" t="s">
        <v>537</v>
      </c>
      <c r="B2183" s="533"/>
      <c r="C2183" s="533"/>
      <c r="D2183" s="533"/>
      <c r="E2183" s="533"/>
      <c r="F2183" s="533"/>
      <c r="L2183" s="64"/>
    </row>
    <row r="2184" spans="1:16384" s="3" customFormat="1" x14ac:dyDescent="0.25">
      <c r="A2184" s="558" t="s">
        <v>669</v>
      </c>
      <c r="B2184" s="533"/>
      <c r="C2184" s="533"/>
      <c r="D2184" s="533"/>
      <c r="E2184" s="533"/>
      <c r="F2184" s="533"/>
      <c r="L2184" s="64"/>
    </row>
    <row r="2185" spans="1:16384" s="3" customFormat="1" x14ac:dyDescent="0.25">
      <c r="A2185" s="558" t="s">
        <v>871</v>
      </c>
      <c r="B2185" s="533"/>
      <c r="C2185" s="533"/>
      <c r="D2185" s="533"/>
      <c r="E2185" s="533"/>
      <c r="F2185" s="533"/>
      <c r="L2185" s="64"/>
    </row>
    <row r="2186" spans="1:16384" s="50" customFormat="1" ht="12.75" customHeight="1" x14ac:dyDescent="0.3">
      <c r="A2186" s="39" t="s">
        <v>1027</v>
      </c>
      <c r="B2186" s="3"/>
      <c r="C2186" s="3"/>
      <c r="D2186" s="3"/>
      <c r="E2186" s="3"/>
      <c r="F2186" s="3"/>
      <c r="G2186" s="3"/>
      <c r="H2186" s="3"/>
      <c r="I2186" s="3"/>
      <c r="J2186" s="3"/>
      <c r="K2186" s="3"/>
      <c r="L2186" s="64"/>
      <c r="M2186" s="3"/>
      <c r="N2186" s="3"/>
      <c r="O2186" s="3"/>
      <c r="P2186" s="3"/>
      <c r="Q2186" s="3"/>
      <c r="R2186" s="3"/>
      <c r="S2186" s="3"/>
      <c r="T2186" s="3"/>
      <c r="U2186" s="3"/>
      <c r="V2186" s="3"/>
      <c r="W2186" s="3"/>
      <c r="X2186" s="3"/>
      <c r="Y2186" s="3"/>
      <c r="Z2186" s="3"/>
    </row>
    <row r="2187" spans="1:16384" s="594" customFormat="1" ht="12.75" customHeight="1" x14ac:dyDescent="0.3">
      <c r="A2187" s="150" t="s">
        <v>1232</v>
      </c>
      <c r="B2187" s="45" t="s">
        <v>1232</v>
      </c>
      <c r="C2187" s="45" t="s">
        <v>1232</v>
      </c>
      <c r="D2187" s="45" t="s">
        <v>1232</v>
      </c>
      <c r="E2187" s="45" t="s">
        <v>1232</v>
      </c>
      <c r="F2187" s="45" t="s">
        <v>1232</v>
      </c>
      <c r="G2187" s="45" t="s">
        <v>1232</v>
      </c>
      <c r="H2187" s="45" t="s">
        <v>1232</v>
      </c>
      <c r="I2187" s="45" t="s">
        <v>1232</v>
      </c>
      <c r="J2187" s="45" t="s">
        <v>1232</v>
      </c>
      <c r="K2187" s="45" t="s">
        <v>1232</v>
      </c>
      <c r="L2187" s="40" t="s">
        <v>1232</v>
      </c>
      <c r="M2187" s="45" t="s">
        <v>1232</v>
      </c>
      <c r="N2187" s="45" t="s">
        <v>1232</v>
      </c>
      <c r="O2187" s="45" t="s">
        <v>1232</v>
      </c>
      <c r="P2187" s="45" t="s">
        <v>1232</v>
      </c>
      <c r="Q2187" s="45" t="s">
        <v>1232</v>
      </c>
      <c r="R2187" s="45" t="s">
        <v>1232</v>
      </c>
      <c r="S2187" s="45" t="s">
        <v>1232</v>
      </c>
      <c r="T2187" s="45" t="s">
        <v>1232</v>
      </c>
      <c r="U2187" s="45" t="s">
        <v>1232</v>
      </c>
      <c r="V2187" s="45" t="s">
        <v>1232</v>
      </c>
      <c r="W2187" s="45" t="s">
        <v>1232</v>
      </c>
      <c r="X2187" s="45" t="s">
        <v>1232</v>
      </c>
      <c r="Y2187" s="45" t="s">
        <v>1232</v>
      </c>
      <c r="Z2187" s="45" t="s">
        <v>1232</v>
      </c>
      <c r="AA2187" s="594" t="s">
        <v>1232</v>
      </c>
      <c r="AB2187" s="594" t="s">
        <v>1232</v>
      </c>
      <c r="AC2187" s="594" t="s">
        <v>1232</v>
      </c>
      <c r="AD2187" s="594" t="s">
        <v>1232</v>
      </c>
      <c r="AE2187" s="594" t="s">
        <v>1232</v>
      </c>
      <c r="AF2187" s="594" t="s">
        <v>1232</v>
      </c>
      <c r="AG2187" s="594" t="s">
        <v>1232</v>
      </c>
      <c r="AH2187" s="594" t="s">
        <v>1232</v>
      </c>
      <c r="AI2187" s="594" t="s">
        <v>1232</v>
      </c>
      <c r="AJ2187" s="594" t="s">
        <v>1232</v>
      </c>
      <c r="AK2187" s="594" t="s">
        <v>1232</v>
      </c>
      <c r="AL2187" s="594" t="s">
        <v>1232</v>
      </c>
      <c r="AM2187" s="594" t="s">
        <v>1232</v>
      </c>
      <c r="AN2187" s="594" t="s">
        <v>1232</v>
      </c>
      <c r="AO2187" s="594" t="s">
        <v>1232</v>
      </c>
      <c r="AP2187" s="594" t="s">
        <v>1232</v>
      </c>
      <c r="AQ2187" s="594" t="s">
        <v>1232</v>
      </c>
      <c r="AR2187" s="594" t="s">
        <v>1232</v>
      </c>
      <c r="AS2187" s="594" t="s">
        <v>1232</v>
      </c>
      <c r="AT2187" s="594" t="s">
        <v>1232</v>
      </c>
      <c r="AU2187" s="594" t="s">
        <v>1232</v>
      </c>
      <c r="AV2187" s="594" t="s">
        <v>1232</v>
      </c>
      <c r="AW2187" s="594" t="s">
        <v>1232</v>
      </c>
      <c r="AX2187" s="594" t="s">
        <v>1232</v>
      </c>
      <c r="AY2187" s="594" t="s">
        <v>1232</v>
      </c>
      <c r="AZ2187" s="594" t="s">
        <v>1232</v>
      </c>
      <c r="BA2187" s="594" t="s">
        <v>1232</v>
      </c>
      <c r="BB2187" s="594" t="s">
        <v>1232</v>
      </c>
      <c r="BC2187" s="594" t="s">
        <v>1232</v>
      </c>
      <c r="BD2187" s="594" t="s">
        <v>1232</v>
      </c>
      <c r="BE2187" s="594" t="s">
        <v>1232</v>
      </c>
      <c r="BF2187" s="594" t="s">
        <v>1232</v>
      </c>
      <c r="BG2187" s="594" t="s">
        <v>1232</v>
      </c>
      <c r="BH2187" s="594" t="s">
        <v>1232</v>
      </c>
      <c r="BI2187" s="594" t="s">
        <v>1232</v>
      </c>
      <c r="BJ2187" s="594" t="s">
        <v>1232</v>
      </c>
      <c r="BK2187" s="594" t="s">
        <v>1232</v>
      </c>
      <c r="BL2187" s="594" t="s">
        <v>1232</v>
      </c>
      <c r="BM2187" s="594" t="s">
        <v>1232</v>
      </c>
      <c r="BN2187" s="594" t="s">
        <v>1232</v>
      </c>
      <c r="BO2187" s="594" t="s">
        <v>1232</v>
      </c>
      <c r="BP2187" s="594" t="s">
        <v>1232</v>
      </c>
      <c r="BQ2187" s="594" t="s">
        <v>1232</v>
      </c>
      <c r="BR2187" s="594" t="s">
        <v>1232</v>
      </c>
      <c r="BS2187" s="594" t="s">
        <v>1232</v>
      </c>
      <c r="BT2187" s="594" t="s">
        <v>1232</v>
      </c>
      <c r="BU2187" s="594" t="s">
        <v>1232</v>
      </c>
      <c r="BV2187" s="594" t="s">
        <v>1232</v>
      </c>
      <c r="BW2187" s="594" t="s">
        <v>1232</v>
      </c>
      <c r="BX2187" s="594" t="s">
        <v>1232</v>
      </c>
      <c r="BY2187" s="594" t="s">
        <v>1232</v>
      </c>
      <c r="BZ2187" s="594" t="s">
        <v>1232</v>
      </c>
      <c r="CA2187" s="594" t="s">
        <v>1232</v>
      </c>
      <c r="CB2187" s="594" t="s">
        <v>1232</v>
      </c>
      <c r="CC2187" s="594" t="s">
        <v>1232</v>
      </c>
      <c r="CD2187" s="594" t="s">
        <v>1232</v>
      </c>
      <c r="CE2187" s="594" t="s">
        <v>1232</v>
      </c>
      <c r="CF2187" s="594" t="s">
        <v>1232</v>
      </c>
      <c r="CG2187" s="594" t="s">
        <v>1232</v>
      </c>
      <c r="CH2187" s="594" t="s">
        <v>1232</v>
      </c>
      <c r="CI2187" s="594" t="s">
        <v>1232</v>
      </c>
      <c r="CJ2187" s="594" t="s">
        <v>1232</v>
      </c>
      <c r="CK2187" s="594" t="s">
        <v>1232</v>
      </c>
      <c r="CL2187" s="594" t="s">
        <v>1232</v>
      </c>
      <c r="CM2187" s="594" t="s">
        <v>1232</v>
      </c>
      <c r="CN2187" s="594" t="s">
        <v>1232</v>
      </c>
      <c r="CO2187" s="594" t="s">
        <v>1232</v>
      </c>
      <c r="CP2187" s="594" t="s">
        <v>1232</v>
      </c>
      <c r="CQ2187" s="594" t="s">
        <v>1232</v>
      </c>
      <c r="CR2187" s="594" t="s">
        <v>1232</v>
      </c>
      <c r="CS2187" s="594" t="s">
        <v>1232</v>
      </c>
      <c r="CT2187" s="594" t="s">
        <v>1232</v>
      </c>
      <c r="CU2187" s="594" t="s">
        <v>1232</v>
      </c>
      <c r="CV2187" s="594" t="s">
        <v>1232</v>
      </c>
      <c r="CW2187" s="594" t="s">
        <v>1232</v>
      </c>
      <c r="CX2187" s="594" t="s">
        <v>1232</v>
      </c>
      <c r="CY2187" s="594" t="s">
        <v>1232</v>
      </c>
      <c r="CZ2187" s="594" t="s">
        <v>1232</v>
      </c>
      <c r="DA2187" s="594" t="s">
        <v>1232</v>
      </c>
      <c r="DB2187" s="594" t="s">
        <v>1232</v>
      </c>
      <c r="DC2187" s="594" t="s">
        <v>1232</v>
      </c>
      <c r="DD2187" s="594" t="s">
        <v>1232</v>
      </c>
      <c r="DE2187" s="594" t="s">
        <v>1232</v>
      </c>
      <c r="DF2187" s="594" t="s">
        <v>1232</v>
      </c>
      <c r="DG2187" s="594" t="s">
        <v>1232</v>
      </c>
      <c r="DH2187" s="594" t="s">
        <v>1232</v>
      </c>
      <c r="DI2187" s="594" t="s">
        <v>1232</v>
      </c>
      <c r="DJ2187" s="594" t="s">
        <v>1232</v>
      </c>
      <c r="DK2187" s="594" t="s">
        <v>1232</v>
      </c>
      <c r="DL2187" s="594" t="s">
        <v>1232</v>
      </c>
      <c r="DM2187" s="594" t="s">
        <v>1232</v>
      </c>
      <c r="DN2187" s="594" t="s">
        <v>1232</v>
      </c>
      <c r="DO2187" s="594" t="s">
        <v>1232</v>
      </c>
      <c r="DP2187" s="594" t="s">
        <v>1232</v>
      </c>
      <c r="DQ2187" s="594" t="s">
        <v>1232</v>
      </c>
      <c r="DR2187" s="594" t="s">
        <v>1232</v>
      </c>
      <c r="DS2187" s="594" t="s">
        <v>1232</v>
      </c>
      <c r="DT2187" s="594" t="s">
        <v>1232</v>
      </c>
      <c r="DU2187" s="594" t="s">
        <v>1232</v>
      </c>
      <c r="DV2187" s="594" t="s">
        <v>1232</v>
      </c>
      <c r="DW2187" s="594" t="s">
        <v>1232</v>
      </c>
      <c r="DX2187" s="594" t="s">
        <v>1232</v>
      </c>
      <c r="DY2187" s="594" t="s">
        <v>1232</v>
      </c>
      <c r="DZ2187" s="594" t="s">
        <v>1232</v>
      </c>
      <c r="EA2187" s="594" t="s">
        <v>1232</v>
      </c>
      <c r="EB2187" s="594" t="s">
        <v>1232</v>
      </c>
      <c r="EC2187" s="594" t="s">
        <v>1232</v>
      </c>
      <c r="ED2187" s="594" t="s">
        <v>1232</v>
      </c>
      <c r="EE2187" s="594" t="s">
        <v>1232</v>
      </c>
      <c r="EF2187" s="594" t="s">
        <v>1232</v>
      </c>
      <c r="EG2187" s="594" t="s">
        <v>1232</v>
      </c>
      <c r="EH2187" s="594" t="s">
        <v>1232</v>
      </c>
      <c r="EI2187" s="594" t="s">
        <v>1232</v>
      </c>
      <c r="EJ2187" s="594" t="s">
        <v>1232</v>
      </c>
      <c r="EK2187" s="594" t="s">
        <v>1232</v>
      </c>
      <c r="EL2187" s="594" t="s">
        <v>1232</v>
      </c>
      <c r="EM2187" s="594" t="s">
        <v>1232</v>
      </c>
      <c r="EN2187" s="594" t="s">
        <v>1232</v>
      </c>
      <c r="EO2187" s="594" t="s">
        <v>1232</v>
      </c>
      <c r="EP2187" s="594" t="s">
        <v>1232</v>
      </c>
      <c r="EQ2187" s="594" t="s">
        <v>1232</v>
      </c>
      <c r="ER2187" s="594" t="s">
        <v>1232</v>
      </c>
      <c r="ES2187" s="594" t="s">
        <v>1232</v>
      </c>
      <c r="ET2187" s="594" t="s">
        <v>1232</v>
      </c>
      <c r="EU2187" s="594" t="s">
        <v>1232</v>
      </c>
      <c r="EV2187" s="594" t="s">
        <v>1232</v>
      </c>
      <c r="EW2187" s="594" t="s">
        <v>1232</v>
      </c>
      <c r="EX2187" s="594" t="s">
        <v>1232</v>
      </c>
      <c r="EY2187" s="594" t="s">
        <v>1232</v>
      </c>
      <c r="EZ2187" s="594" t="s">
        <v>1232</v>
      </c>
      <c r="FA2187" s="594" t="s">
        <v>1232</v>
      </c>
      <c r="FB2187" s="594" t="s">
        <v>1232</v>
      </c>
      <c r="FC2187" s="594" t="s">
        <v>1232</v>
      </c>
      <c r="FD2187" s="594" t="s">
        <v>1232</v>
      </c>
      <c r="FE2187" s="594" t="s">
        <v>1232</v>
      </c>
      <c r="FF2187" s="594" t="s">
        <v>1232</v>
      </c>
      <c r="FG2187" s="594" t="s">
        <v>1232</v>
      </c>
      <c r="FH2187" s="594" t="s">
        <v>1232</v>
      </c>
      <c r="FI2187" s="594" t="s">
        <v>1232</v>
      </c>
      <c r="FJ2187" s="594" t="s">
        <v>1232</v>
      </c>
      <c r="FK2187" s="594" t="s">
        <v>1232</v>
      </c>
      <c r="FL2187" s="594" t="s">
        <v>1232</v>
      </c>
      <c r="FM2187" s="594" t="s">
        <v>1232</v>
      </c>
      <c r="FN2187" s="594" t="s">
        <v>1232</v>
      </c>
      <c r="FO2187" s="594" t="s">
        <v>1232</v>
      </c>
      <c r="FP2187" s="594" t="s">
        <v>1232</v>
      </c>
      <c r="FQ2187" s="594" t="s">
        <v>1232</v>
      </c>
      <c r="FR2187" s="594" t="s">
        <v>1232</v>
      </c>
      <c r="FS2187" s="594" t="s">
        <v>1232</v>
      </c>
      <c r="FT2187" s="594" t="s">
        <v>1232</v>
      </c>
      <c r="FU2187" s="594" t="s">
        <v>1232</v>
      </c>
      <c r="FV2187" s="594" t="s">
        <v>1232</v>
      </c>
      <c r="FW2187" s="594" t="s">
        <v>1232</v>
      </c>
      <c r="FX2187" s="594" t="s">
        <v>1232</v>
      </c>
      <c r="FY2187" s="594" t="s">
        <v>1232</v>
      </c>
      <c r="FZ2187" s="594" t="s">
        <v>1232</v>
      </c>
      <c r="GA2187" s="594" t="s">
        <v>1232</v>
      </c>
      <c r="GB2187" s="594" t="s">
        <v>1232</v>
      </c>
      <c r="GC2187" s="594" t="s">
        <v>1232</v>
      </c>
      <c r="GD2187" s="594" t="s">
        <v>1232</v>
      </c>
      <c r="GE2187" s="594" t="s">
        <v>1232</v>
      </c>
      <c r="GF2187" s="594" t="s">
        <v>1232</v>
      </c>
      <c r="GG2187" s="594" t="s">
        <v>1232</v>
      </c>
      <c r="GH2187" s="594" t="s">
        <v>1232</v>
      </c>
      <c r="GI2187" s="594" t="s">
        <v>1232</v>
      </c>
      <c r="GJ2187" s="594" t="s">
        <v>1232</v>
      </c>
      <c r="GK2187" s="594" t="s">
        <v>1232</v>
      </c>
      <c r="GL2187" s="594" t="s">
        <v>1232</v>
      </c>
      <c r="GM2187" s="594" t="s">
        <v>1232</v>
      </c>
      <c r="GN2187" s="594" t="s">
        <v>1232</v>
      </c>
      <c r="GO2187" s="594" t="s">
        <v>1232</v>
      </c>
      <c r="GP2187" s="594" t="s">
        <v>1232</v>
      </c>
      <c r="GQ2187" s="594" t="s">
        <v>1232</v>
      </c>
      <c r="GR2187" s="594" t="s">
        <v>1232</v>
      </c>
      <c r="GS2187" s="594" t="s">
        <v>1232</v>
      </c>
      <c r="GT2187" s="594" t="s">
        <v>1232</v>
      </c>
      <c r="GU2187" s="594" t="s">
        <v>1232</v>
      </c>
      <c r="GV2187" s="594" t="s">
        <v>1232</v>
      </c>
      <c r="GW2187" s="594" t="s">
        <v>1232</v>
      </c>
      <c r="GX2187" s="594" t="s">
        <v>1232</v>
      </c>
      <c r="GY2187" s="594" t="s">
        <v>1232</v>
      </c>
      <c r="GZ2187" s="594" t="s">
        <v>1232</v>
      </c>
      <c r="HA2187" s="594" t="s">
        <v>1232</v>
      </c>
      <c r="HB2187" s="594" t="s">
        <v>1232</v>
      </c>
      <c r="HC2187" s="594" t="s">
        <v>1232</v>
      </c>
      <c r="HD2187" s="594" t="s">
        <v>1232</v>
      </c>
      <c r="HE2187" s="594" t="s">
        <v>1232</v>
      </c>
      <c r="HF2187" s="594" t="s">
        <v>1232</v>
      </c>
      <c r="HG2187" s="594" t="s">
        <v>1232</v>
      </c>
      <c r="HH2187" s="594" t="s">
        <v>1232</v>
      </c>
      <c r="HI2187" s="594" t="s">
        <v>1232</v>
      </c>
      <c r="HJ2187" s="594" t="s">
        <v>1232</v>
      </c>
      <c r="HK2187" s="594" t="s">
        <v>1232</v>
      </c>
      <c r="HL2187" s="594" t="s">
        <v>1232</v>
      </c>
      <c r="HM2187" s="594" t="s">
        <v>1232</v>
      </c>
      <c r="HN2187" s="594" t="s">
        <v>1232</v>
      </c>
      <c r="HO2187" s="594" t="s">
        <v>1232</v>
      </c>
      <c r="HP2187" s="594" t="s">
        <v>1232</v>
      </c>
      <c r="HQ2187" s="594" t="s">
        <v>1232</v>
      </c>
      <c r="HR2187" s="594" t="s">
        <v>1232</v>
      </c>
      <c r="HS2187" s="594" t="s">
        <v>1232</v>
      </c>
      <c r="HT2187" s="594" t="s">
        <v>1232</v>
      </c>
      <c r="HU2187" s="594" t="s">
        <v>1232</v>
      </c>
      <c r="HV2187" s="594" t="s">
        <v>1232</v>
      </c>
      <c r="HW2187" s="594" t="s">
        <v>1232</v>
      </c>
      <c r="HX2187" s="594" t="s">
        <v>1232</v>
      </c>
      <c r="HY2187" s="594" t="s">
        <v>1232</v>
      </c>
      <c r="HZ2187" s="594" t="s">
        <v>1232</v>
      </c>
      <c r="IA2187" s="594" t="s">
        <v>1232</v>
      </c>
      <c r="IB2187" s="594" t="s">
        <v>1232</v>
      </c>
      <c r="IC2187" s="594" t="s">
        <v>1232</v>
      </c>
      <c r="ID2187" s="594" t="s">
        <v>1232</v>
      </c>
      <c r="IE2187" s="594" t="s">
        <v>1232</v>
      </c>
      <c r="IF2187" s="594" t="s">
        <v>1232</v>
      </c>
      <c r="IG2187" s="594" t="s">
        <v>1232</v>
      </c>
      <c r="IH2187" s="594" t="s">
        <v>1232</v>
      </c>
      <c r="II2187" s="594" t="s">
        <v>1232</v>
      </c>
      <c r="IJ2187" s="594" t="s">
        <v>1232</v>
      </c>
      <c r="IK2187" s="594" t="s">
        <v>1232</v>
      </c>
      <c r="IL2187" s="594" t="s">
        <v>1232</v>
      </c>
      <c r="IM2187" s="594" t="s">
        <v>1232</v>
      </c>
      <c r="IN2187" s="594" t="s">
        <v>1232</v>
      </c>
      <c r="IO2187" s="594" t="s">
        <v>1232</v>
      </c>
      <c r="IP2187" s="594" t="s">
        <v>1232</v>
      </c>
      <c r="IQ2187" s="594" t="s">
        <v>1232</v>
      </c>
      <c r="IR2187" s="594" t="s">
        <v>1232</v>
      </c>
      <c r="IS2187" s="594" t="s">
        <v>1232</v>
      </c>
      <c r="IT2187" s="594" t="s">
        <v>1232</v>
      </c>
      <c r="IU2187" s="594" t="s">
        <v>1232</v>
      </c>
      <c r="IV2187" s="594" t="s">
        <v>1232</v>
      </c>
      <c r="IW2187" s="594" t="s">
        <v>1232</v>
      </c>
      <c r="IX2187" s="594" t="s">
        <v>1232</v>
      </c>
      <c r="IY2187" s="594" t="s">
        <v>1232</v>
      </c>
      <c r="IZ2187" s="594" t="s">
        <v>1232</v>
      </c>
      <c r="JA2187" s="594" t="s">
        <v>1232</v>
      </c>
      <c r="JB2187" s="594" t="s">
        <v>1232</v>
      </c>
      <c r="JC2187" s="594" t="s">
        <v>1232</v>
      </c>
      <c r="JD2187" s="594" t="s">
        <v>1232</v>
      </c>
      <c r="JE2187" s="594" t="s">
        <v>1232</v>
      </c>
      <c r="JF2187" s="594" t="s">
        <v>1232</v>
      </c>
      <c r="JG2187" s="594" t="s">
        <v>1232</v>
      </c>
      <c r="JH2187" s="594" t="s">
        <v>1232</v>
      </c>
      <c r="JI2187" s="594" t="s">
        <v>1232</v>
      </c>
      <c r="JJ2187" s="594" t="s">
        <v>1232</v>
      </c>
      <c r="JK2187" s="594" t="s">
        <v>1232</v>
      </c>
      <c r="JL2187" s="594" t="s">
        <v>1232</v>
      </c>
      <c r="JM2187" s="594" t="s">
        <v>1232</v>
      </c>
      <c r="JN2187" s="594" t="s">
        <v>1232</v>
      </c>
      <c r="JO2187" s="594" t="s">
        <v>1232</v>
      </c>
      <c r="JP2187" s="594" t="s">
        <v>1232</v>
      </c>
      <c r="JQ2187" s="594" t="s">
        <v>1232</v>
      </c>
      <c r="JR2187" s="594" t="s">
        <v>1232</v>
      </c>
      <c r="JS2187" s="594" t="s">
        <v>1232</v>
      </c>
      <c r="JT2187" s="594" t="s">
        <v>1232</v>
      </c>
      <c r="JU2187" s="594" t="s">
        <v>1232</v>
      </c>
      <c r="JV2187" s="594" t="s">
        <v>1232</v>
      </c>
      <c r="JW2187" s="594" t="s">
        <v>1232</v>
      </c>
      <c r="JX2187" s="594" t="s">
        <v>1232</v>
      </c>
      <c r="JY2187" s="594" t="s">
        <v>1232</v>
      </c>
      <c r="JZ2187" s="594" t="s">
        <v>1232</v>
      </c>
      <c r="KA2187" s="594" t="s">
        <v>1232</v>
      </c>
      <c r="KB2187" s="594" t="s">
        <v>1232</v>
      </c>
      <c r="KC2187" s="594" t="s">
        <v>1232</v>
      </c>
      <c r="KD2187" s="594" t="s">
        <v>1232</v>
      </c>
      <c r="KE2187" s="594" t="s">
        <v>1232</v>
      </c>
      <c r="KF2187" s="594" t="s">
        <v>1232</v>
      </c>
      <c r="KG2187" s="594" t="s">
        <v>1232</v>
      </c>
      <c r="KH2187" s="594" t="s">
        <v>1232</v>
      </c>
      <c r="KI2187" s="594" t="s">
        <v>1232</v>
      </c>
      <c r="KJ2187" s="594" t="s">
        <v>1232</v>
      </c>
      <c r="KK2187" s="594" t="s">
        <v>1232</v>
      </c>
      <c r="KL2187" s="594" t="s">
        <v>1232</v>
      </c>
      <c r="KM2187" s="594" t="s">
        <v>1232</v>
      </c>
      <c r="KN2187" s="594" t="s">
        <v>1232</v>
      </c>
      <c r="KO2187" s="594" t="s">
        <v>1232</v>
      </c>
      <c r="KP2187" s="594" t="s">
        <v>1232</v>
      </c>
      <c r="KQ2187" s="594" t="s">
        <v>1232</v>
      </c>
      <c r="KR2187" s="594" t="s">
        <v>1232</v>
      </c>
      <c r="KS2187" s="594" t="s">
        <v>1232</v>
      </c>
      <c r="KT2187" s="594" t="s">
        <v>1232</v>
      </c>
      <c r="KU2187" s="594" t="s">
        <v>1232</v>
      </c>
      <c r="KV2187" s="594" t="s">
        <v>1232</v>
      </c>
      <c r="KW2187" s="594" t="s">
        <v>1232</v>
      </c>
      <c r="KX2187" s="594" t="s">
        <v>1232</v>
      </c>
      <c r="KY2187" s="594" t="s">
        <v>1232</v>
      </c>
      <c r="KZ2187" s="594" t="s">
        <v>1232</v>
      </c>
      <c r="LA2187" s="594" t="s">
        <v>1232</v>
      </c>
      <c r="LB2187" s="594" t="s">
        <v>1232</v>
      </c>
      <c r="LC2187" s="594" t="s">
        <v>1232</v>
      </c>
      <c r="LD2187" s="594" t="s">
        <v>1232</v>
      </c>
      <c r="LE2187" s="594" t="s">
        <v>1232</v>
      </c>
      <c r="LF2187" s="594" t="s">
        <v>1232</v>
      </c>
      <c r="LG2187" s="594" t="s">
        <v>1232</v>
      </c>
      <c r="LH2187" s="594" t="s">
        <v>1232</v>
      </c>
      <c r="LI2187" s="594" t="s">
        <v>1232</v>
      </c>
      <c r="LJ2187" s="594" t="s">
        <v>1232</v>
      </c>
      <c r="LK2187" s="594" t="s">
        <v>1232</v>
      </c>
      <c r="LL2187" s="594" t="s">
        <v>1232</v>
      </c>
      <c r="LM2187" s="594" t="s">
        <v>1232</v>
      </c>
      <c r="LN2187" s="594" t="s">
        <v>1232</v>
      </c>
      <c r="LO2187" s="594" t="s">
        <v>1232</v>
      </c>
      <c r="LP2187" s="594" t="s">
        <v>1232</v>
      </c>
      <c r="LQ2187" s="594" t="s">
        <v>1232</v>
      </c>
      <c r="LR2187" s="594" t="s">
        <v>1232</v>
      </c>
      <c r="LS2187" s="594" t="s">
        <v>1232</v>
      </c>
      <c r="LT2187" s="594" t="s">
        <v>1232</v>
      </c>
      <c r="LU2187" s="594" t="s">
        <v>1232</v>
      </c>
      <c r="LV2187" s="594" t="s">
        <v>1232</v>
      </c>
      <c r="LW2187" s="594" t="s">
        <v>1232</v>
      </c>
      <c r="LX2187" s="594" t="s">
        <v>1232</v>
      </c>
      <c r="LY2187" s="594" t="s">
        <v>1232</v>
      </c>
      <c r="LZ2187" s="594" t="s">
        <v>1232</v>
      </c>
      <c r="MA2187" s="594" t="s">
        <v>1232</v>
      </c>
      <c r="MB2187" s="594" t="s">
        <v>1232</v>
      </c>
      <c r="MC2187" s="594" t="s">
        <v>1232</v>
      </c>
      <c r="MD2187" s="594" t="s">
        <v>1232</v>
      </c>
      <c r="ME2187" s="594" t="s">
        <v>1232</v>
      </c>
      <c r="MF2187" s="594" t="s">
        <v>1232</v>
      </c>
      <c r="MG2187" s="594" t="s">
        <v>1232</v>
      </c>
      <c r="MH2187" s="594" t="s">
        <v>1232</v>
      </c>
      <c r="MI2187" s="594" t="s">
        <v>1232</v>
      </c>
      <c r="MJ2187" s="594" t="s">
        <v>1232</v>
      </c>
      <c r="MK2187" s="594" t="s">
        <v>1232</v>
      </c>
      <c r="ML2187" s="594" t="s">
        <v>1232</v>
      </c>
      <c r="MM2187" s="594" t="s">
        <v>1232</v>
      </c>
      <c r="MN2187" s="594" t="s">
        <v>1232</v>
      </c>
      <c r="MO2187" s="594" t="s">
        <v>1232</v>
      </c>
      <c r="MP2187" s="594" t="s">
        <v>1232</v>
      </c>
      <c r="MQ2187" s="594" t="s">
        <v>1232</v>
      </c>
      <c r="MR2187" s="594" t="s">
        <v>1232</v>
      </c>
      <c r="MS2187" s="594" t="s">
        <v>1232</v>
      </c>
      <c r="MT2187" s="594" t="s">
        <v>1232</v>
      </c>
      <c r="MU2187" s="594" t="s">
        <v>1232</v>
      </c>
      <c r="MV2187" s="594" t="s">
        <v>1232</v>
      </c>
      <c r="MW2187" s="594" t="s">
        <v>1232</v>
      </c>
      <c r="MX2187" s="594" t="s">
        <v>1232</v>
      </c>
      <c r="MY2187" s="594" t="s">
        <v>1232</v>
      </c>
      <c r="MZ2187" s="594" t="s">
        <v>1232</v>
      </c>
      <c r="NA2187" s="594" t="s">
        <v>1232</v>
      </c>
      <c r="NB2187" s="594" t="s">
        <v>1232</v>
      </c>
      <c r="NC2187" s="594" t="s">
        <v>1232</v>
      </c>
      <c r="ND2187" s="594" t="s">
        <v>1232</v>
      </c>
      <c r="NE2187" s="594" t="s">
        <v>1232</v>
      </c>
      <c r="NF2187" s="594" t="s">
        <v>1232</v>
      </c>
      <c r="NG2187" s="594" t="s">
        <v>1232</v>
      </c>
      <c r="NH2187" s="594" t="s">
        <v>1232</v>
      </c>
      <c r="NI2187" s="594" t="s">
        <v>1232</v>
      </c>
      <c r="NJ2187" s="594" t="s">
        <v>1232</v>
      </c>
      <c r="NK2187" s="594" t="s">
        <v>1232</v>
      </c>
      <c r="NL2187" s="594" t="s">
        <v>1232</v>
      </c>
      <c r="NM2187" s="594" t="s">
        <v>1232</v>
      </c>
      <c r="NN2187" s="594" t="s">
        <v>1232</v>
      </c>
      <c r="NO2187" s="594" t="s">
        <v>1232</v>
      </c>
      <c r="NP2187" s="594" t="s">
        <v>1232</v>
      </c>
      <c r="NQ2187" s="594" t="s">
        <v>1232</v>
      </c>
      <c r="NR2187" s="594" t="s">
        <v>1232</v>
      </c>
      <c r="NS2187" s="594" t="s">
        <v>1232</v>
      </c>
      <c r="NT2187" s="594" t="s">
        <v>1232</v>
      </c>
      <c r="NU2187" s="594" t="s">
        <v>1232</v>
      </c>
      <c r="NV2187" s="594" t="s">
        <v>1232</v>
      </c>
      <c r="NW2187" s="594" t="s">
        <v>1232</v>
      </c>
      <c r="NX2187" s="594" t="s">
        <v>1232</v>
      </c>
      <c r="NY2187" s="594" t="s">
        <v>1232</v>
      </c>
      <c r="NZ2187" s="594" t="s">
        <v>1232</v>
      </c>
      <c r="OA2187" s="594" t="s">
        <v>1232</v>
      </c>
      <c r="OB2187" s="594" t="s">
        <v>1232</v>
      </c>
      <c r="OC2187" s="594" t="s">
        <v>1232</v>
      </c>
      <c r="OD2187" s="594" t="s">
        <v>1232</v>
      </c>
      <c r="OE2187" s="594" t="s">
        <v>1232</v>
      </c>
      <c r="OF2187" s="594" t="s">
        <v>1232</v>
      </c>
      <c r="OG2187" s="594" t="s">
        <v>1232</v>
      </c>
      <c r="OH2187" s="594" t="s">
        <v>1232</v>
      </c>
      <c r="OI2187" s="594" t="s">
        <v>1232</v>
      </c>
      <c r="OJ2187" s="594" t="s">
        <v>1232</v>
      </c>
      <c r="OK2187" s="594" t="s">
        <v>1232</v>
      </c>
      <c r="OL2187" s="594" t="s">
        <v>1232</v>
      </c>
      <c r="OM2187" s="594" t="s">
        <v>1232</v>
      </c>
      <c r="ON2187" s="594" t="s">
        <v>1232</v>
      </c>
      <c r="OO2187" s="594" t="s">
        <v>1232</v>
      </c>
      <c r="OP2187" s="594" t="s">
        <v>1232</v>
      </c>
      <c r="OQ2187" s="594" t="s">
        <v>1232</v>
      </c>
      <c r="OR2187" s="594" t="s">
        <v>1232</v>
      </c>
      <c r="OS2187" s="594" t="s">
        <v>1232</v>
      </c>
      <c r="OT2187" s="594" t="s">
        <v>1232</v>
      </c>
      <c r="OU2187" s="594" t="s">
        <v>1232</v>
      </c>
      <c r="OV2187" s="594" t="s">
        <v>1232</v>
      </c>
      <c r="OW2187" s="594" t="s">
        <v>1232</v>
      </c>
      <c r="OX2187" s="594" t="s">
        <v>1232</v>
      </c>
      <c r="OY2187" s="594" t="s">
        <v>1232</v>
      </c>
      <c r="OZ2187" s="594" t="s">
        <v>1232</v>
      </c>
      <c r="PA2187" s="594" t="s">
        <v>1232</v>
      </c>
      <c r="PB2187" s="594" t="s">
        <v>1232</v>
      </c>
      <c r="PC2187" s="594" t="s">
        <v>1232</v>
      </c>
      <c r="PD2187" s="594" t="s">
        <v>1232</v>
      </c>
      <c r="PE2187" s="594" t="s">
        <v>1232</v>
      </c>
      <c r="PF2187" s="594" t="s">
        <v>1232</v>
      </c>
      <c r="PG2187" s="594" t="s">
        <v>1232</v>
      </c>
      <c r="PH2187" s="594" t="s">
        <v>1232</v>
      </c>
      <c r="PI2187" s="594" t="s">
        <v>1232</v>
      </c>
      <c r="PJ2187" s="594" t="s">
        <v>1232</v>
      </c>
      <c r="PK2187" s="594" t="s">
        <v>1232</v>
      </c>
      <c r="PL2187" s="594" t="s">
        <v>1232</v>
      </c>
      <c r="PM2187" s="594" t="s">
        <v>1232</v>
      </c>
      <c r="PN2187" s="594" t="s">
        <v>1232</v>
      </c>
      <c r="PO2187" s="594" t="s">
        <v>1232</v>
      </c>
      <c r="PP2187" s="594" t="s">
        <v>1232</v>
      </c>
      <c r="PQ2187" s="594" t="s">
        <v>1232</v>
      </c>
      <c r="PR2187" s="594" t="s">
        <v>1232</v>
      </c>
      <c r="PS2187" s="594" t="s">
        <v>1232</v>
      </c>
      <c r="PT2187" s="594" t="s">
        <v>1232</v>
      </c>
      <c r="PU2187" s="594" t="s">
        <v>1232</v>
      </c>
      <c r="PV2187" s="594" t="s">
        <v>1232</v>
      </c>
      <c r="PW2187" s="594" t="s">
        <v>1232</v>
      </c>
      <c r="PX2187" s="594" t="s">
        <v>1232</v>
      </c>
      <c r="PY2187" s="594" t="s">
        <v>1232</v>
      </c>
      <c r="PZ2187" s="594" t="s">
        <v>1232</v>
      </c>
      <c r="QA2187" s="594" t="s">
        <v>1232</v>
      </c>
      <c r="QB2187" s="594" t="s">
        <v>1232</v>
      </c>
      <c r="QC2187" s="594" t="s">
        <v>1232</v>
      </c>
      <c r="QD2187" s="594" t="s">
        <v>1232</v>
      </c>
      <c r="QE2187" s="594" t="s">
        <v>1232</v>
      </c>
      <c r="QF2187" s="594" t="s">
        <v>1232</v>
      </c>
      <c r="QG2187" s="594" t="s">
        <v>1232</v>
      </c>
      <c r="QH2187" s="594" t="s">
        <v>1232</v>
      </c>
      <c r="QI2187" s="594" t="s">
        <v>1232</v>
      </c>
      <c r="QJ2187" s="594" t="s">
        <v>1232</v>
      </c>
      <c r="QK2187" s="594" t="s">
        <v>1232</v>
      </c>
      <c r="QL2187" s="594" t="s">
        <v>1232</v>
      </c>
      <c r="QM2187" s="594" t="s">
        <v>1232</v>
      </c>
      <c r="QN2187" s="594" t="s">
        <v>1232</v>
      </c>
      <c r="QO2187" s="594" t="s">
        <v>1232</v>
      </c>
      <c r="QP2187" s="594" t="s">
        <v>1232</v>
      </c>
      <c r="QQ2187" s="594" t="s">
        <v>1232</v>
      </c>
      <c r="QR2187" s="594" t="s">
        <v>1232</v>
      </c>
      <c r="QS2187" s="594" t="s">
        <v>1232</v>
      </c>
      <c r="QT2187" s="594" t="s">
        <v>1232</v>
      </c>
      <c r="QU2187" s="594" t="s">
        <v>1232</v>
      </c>
      <c r="QV2187" s="594" t="s">
        <v>1232</v>
      </c>
      <c r="QW2187" s="594" t="s">
        <v>1232</v>
      </c>
      <c r="QX2187" s="594" t="s">
        <v>1232</v>
      </c>
      <c r="QY2187" s="594" t="s">
        <v>1232</v>
      </c>
      <c r="QZ2187" s="594" t="s">
        <v>1232</v>
      </c>
      <c r="RA2187" s="594" t="s">
        <v>1232</v>
      </c>
      <c r="RB2187" s="594" t="s">
        <v>1232</v>
      </c>
      <c r="RC2187" s="594" t="s">
        <v>1232</v>
      </c>
      <c r="RD2187" s="594" t="s">
        <v>1232</v>
      </c>
      <c r="RE2187" s="594" t="s">
        <v>1232</v>
      </c>
      <c r="RF2187" s="594" t="s">
        <v>1232</v>
      </c>
      <c r="RG2187" s="594" t="s">
        <v>1232</v>
      </c>
      <c r="RH2187" s="594" t="s">
        <v>1232</v>
      </c>
      <c r="RI2187" s="594" t="s">
        <v>1232</v>
      </c>
      <c r="RJ2187" s="594" t="s">
        <v>1232</v>
      </c>
      <c r="RK2187" s="594" t="s">
        <v>1232</v>
      </c>
      <c r="RL2187" s="594" t="s">
        <v>1232</v>
      </c>
      <c r="RM2187" s="594" t="s">
        <v>1232</v>
      </c>
      <c r="RN2187" s="594" t="s">
        <v>1232</v>
      </c>
      <c r="RO2187" s="594" t="s">
        <v>1232</v>
      </c>
      <c r="RP2187" s="594" t="s">
        <v>1232</v>
      </c>
      <c r="RQ2187" s="594" t="s">
        <v>1232</v>
      </c>
      <c r="RR2187" s="594" t="s">
        <v>1232</v>
      </c>
      <c r="RS2187" s="594" t="s">
        <v>1232</v>
      </c>
      <c r="RT2187" s="594" t="s">
        <v>1232</v>
      </c>
      <c r="RU2187" s="594" t="s">
        <v>1232</v>
      </c>
      <c r="RV2187" s="594" t="s">
        <v>1232</v>
      </c>
      <c r="RW2187" s="594" t="s">
        <v>1232</v>
      </c>
      <c r="RX2187" s="594" t="s">
        <v>1232</v>
      </c>
      <c r="RY2187" s="594" t="s">
        <v>1232</v>
      </c>
      <c r="RZ2187" s="594" t="s">
        <v>1232</v>
      </c>
      <c r="SA2187" s="594" t="s">
        <v>1232</v>
      </c>
      <c r="SB2187" s="594" t="s">
        <v>1232</v>
      </c>
      <c r="SC2187" s="594" t="s">
        <v>1232</v>
      </c>
      <c r="SD2187" s="594" t="s">
        <v>1232</v>
      </c>
      <c r="SE2187" s="594" t="s">
        <v>1232</v>
      </c>
      <c r="SF2187" s="594" t="s">
        <v>1232</v>
      </c>
      <c r="SG2187" s="594" t="s">
        <v>1232</v>
      </c>
      <c r="SH2187" s="594" t="s">
        <v>1232</v>
      </c>
      <c r="SI2187" s="594" t="s">
        <v>1232</v>
      </c>
      <c r="SJ2187" s="594" t="s">
        <v>1232</v>
      </c>
      <c r="SK2187" s="594" t="s">
        <v>1232</v>
      </c>
      <c r="SL2187" s="594" t="s">
        <v>1232</v>
      </c>
      <c r="SM2187" s="594" t="s">
        <v>1232</v>
      </c>
      <c r="SN2187" s="594" t="s">
        <v>1232</v>
      </c>
      <c r="SO2187" s="594" t="s">
        <v>1232</v>
      </c>
      <c r="SP2187" s="594" t="s">
        <v>1232</v>
      </c>
      <c r="SQ2187" s="594" t="s">
        <v>1232</v>
      </c>
      <c r="SR2187" s="594" t="s">
        <v>1232</v>
      </c>
      <c r="SS2187" s="594" t="s">
        <v>1232</v>
      </c>
      <c r="ST2187" s="594" t="s">
        <v>1232</v>
      </c>
      <c r="SU2187" s="594" t="s">
        <v>1232</v>
      </c>
      <c r="SV2187" s="594" t="s">
        <v>1232</v>
      </c>
      <c r="SW2187" s="594" t="s">
        <v>1232</v>
      </c>
      <c r="SX2187" s="594" t="s">
        <v>1232</v>
      </c>
      <c r="SY2187" s="594" t="s">
        <v>1232</v>
      </c>
      <c r="SZ2187" s="594" t="s">
        <v>1232</v>
      </c>
      <c r="TA2187" s="594" t="s">
        <v>1232</v>
      </c>
      <c r="TB2187" s="594" t="s">
        <v>1232</v>
      </c>
      <c r="TC2187" s="594" t="s">
        <v>1232</v>
      </c>
      <c r="TD2187" s="594" t="s">
        <v>1232</v>
      </c>
      <c r="TE2187" s="594" t="s">
        <v>1232</v>
      </c>
      <c r="TF2187" s="594" t="s">
        <v>1232</v>
      </c>
      <c r="TG2187" s="594" t="s">
        <v>1232</v>
      </c>
      <c r="TH2187" s="594" t="s">
        <v>1232</v>
      </c>
      <c r="TI2187" s="594" t="s">
        <v>1232</v>
      </c>
      <c r="TJ2187" s="594" t="s">
        <v>1232</v>
      </c>
      <c r="TK2187" s="594" t="s">
        <v>1232</v>
      </c>
      <c r="TL2187" s="594" t="s">
        <v>1232</v>
      </c>
      <c r="TM2187" s="594" t="s">
        <v>1232</v>
      </c>
      <c r="TN2187" s="594" t="s">
        <v>1232</v>
      </c>
      <c r="TO2187" s="594" t="s">
        <v>1232</v>
      </c>
      <c r="TP2187" s="594" t="s">
        <v>1232</v>
      </c>
      <c r="TQ2187" s="594" t="s">
        <v>1232</v>
      </c>
      <c r="TR2187" s="594" t="s">
        <v>1232</v>
      </c>
      <c r="TS2187" s="594" t="s">
        <v>1232</v>
      </c>
      <c r="TT2187" s="594" t="s">
        <v>1232</v>
      </c>
      <c r="TU2187" s="594" t="s">
        <v>1232</v>
      </c>
      <c r="TV2187" s="594" t="s">
        <v>1232</v>
      </c>
      <c r="TW2187" s="594" t="s">
        <v>1232</v>
      </c>
      <c r="TX2187" s="594" t="s">
        <v>1232</v>
      </c>
      <c r="TY2187" s="594" t="s">
        <v>1232</v>
      </c>
      <c r="TZ2187" s="594" t="s">
        <v>1232</v>
      </c>
      <c r="UA2187" s="594" t="s">
        <v>1232</v>
      </c>
      <c r="UB2187" s="594" t="s">
        <v>1232</v>
      </c>
      <c r="UC2187" s="594" t="s">
        <v>1232</v>
      </c>
      <c r="UD2187" s="594" t="s">
        <v>1232</v>
      </c>
      <c r="UE2187" s="594" t="s">
        <v>1232</v>
      </c>
      <c r="UF2187" s="594" t="s">
        <v>1232</v>
      </c>
      <c r="UG2187" s="594" t="s">
        <v>1232</v>
      </c>
      <c r="UH2187" s="594" t="s">
        <v>1232</v>
      </c>
      <c r="UI2187" s="594" t="s">
        <v>1232</v>
      </c>
      <c r="UJ2187" s="594" t="s">
        <v>1232</v>
      </c>
      <c r="UK2187" s="594" t="s">
        <v>1232</v>
      </c>
      <c r="UL2187" s="594" t="s">
        <v>1232</v>
      </c>
      <c r="UM2187" s="594" t="s">
        <v>1232</v>
      </c>
      <c r="UN2187" s="594" t="s">
        <v>1232</v>
      </c>
      <c r="UO2187" s="594" t="s">
        <v>1232</v>
      </c>
      <c r="UP2187" s="594" t="s">
        <v>1232</v>
      </c>
      <c r="UQ2187" s="594" t="s">
        <v>1232</v>
      </c>
      <c r="UR2187" s="594" t="s">
        <v>1232</v>
      </c>
      <c r="US2187" s="594" t="s">
        <v>1232</v>
      </c>
      <c r="UT2187" s="594" t="s">
        <v>1232</v>
      </c>
      <c r="UU2187" s="594" t="s">
        <v>1232</v>
      </c>
      <c r="UV2187" s="594" t="s">
        <v>1232</v>
      </c>
      <c r="UW2187" s="594" t="s">
        <v>1232</v>
      </c>
      <c r="UX2187" s="594" t="s">
        <v>1232</v>
      </c>
      <c r="UY2187" s="594" t="s">
        <v>1232</v>
      </c>
      <c r="UZ2187" s="594" t="s">
        <v>1232</v>
      </c>
      <c r="VA2187" s="594" t="s">
        <v>1232</v>
      </c>
      <c r="VB2187" s="594" t="s">
        <v>1232</v>
      </c>
      <c r="VC2187" s="594" t="s">
        <v>1232</v>
      </c>
      <c r="VD2187" s="594" t="s">
        <v>1232</v>
      </c>
      <c r="VE2187" s="594" t="s">
        <v>1232</v>
      </c>
      <c r="VF2187" s="594" t="s">
        <v>1232</v>
      </c>
      <c r="VG2187" s="594" t="s">
        <v>1232</v>
      </c>
      <c r="VH2187" s="594" t="s">
        <v>1232</v>
      </c>
      <c r="VI2187" s="594" t="s">
        <v>1232</v>
      </c>
      <c r="VJ2187" s="594" t="s">
        <v>1232</v>
      </c>
      <c r="VK2187" s="594" t="s">
        <v>1232</v>
      </c>
      <c r="VL2187" s="594" t="s">
        <v>1232</v>
      </c>
      <c r="VM2187" s="594" t="s">
        <v>1232</v>
      </c>
      <c r="VN2187" s="594" t="s">
        <v>1232</v>
      </c>
      <c r="VO2187" s="594" t="s">
        <v>1232</v>
      </c>
      <c r="VP2187" s="594" t="s">
        <v>1232</v>
      </c>
      <c r="VQ2187" s="594" t="s">
        <v>1232</v>
      </c>
      <c r="VR2187" s="594" t="s">
        <v>1232</v>
      </c>
      <c r="VS2187" s="594" t="s">
        <v>1232</v>
      </c>
      <c r="VT2187" s="594" t="s">
        <v>1232</v>
      </c>
      <c r="VU2187" s="594" t="s">
        <v>1232</v>
      </c>
      <c r="VV2187" s="594" t="s">
        <v>1232</v>
      </c>
      <c r="VW2187" s="594" t="s">
        <v>1232</v>
      </c>
      <c r="VX2187" s="594" t="s">
        <v>1232</v>
      </c>
      <c r="VY2187" s="594" t="s">
        <v>1232</v>
      </c>
      <c r="VZ2187" s="594" t="s">
        <v>1232</v>
      </c>
      <c r="WA2187" s="594" t="s">
        <v>1232</v>
      </c>
      <c r="WB2187" s="594" t="s">
        <v>1232</v>
      </c>
      <c r="WC2187" s="594" t="s">
        <v>1232</v>
      </c>
      <c r="WD2187" s="594" t="s">
        <v>1232</v>
      </c>
      <c r="WE2187" s="594" t="s">
        <v>1232</v>
      </c>
      <c r="WF2187" s="594" t="s">
        <v>1232</v>
      </c>
      <c r="WG2187" s="594" t="s">
        <v>1232</v>
      </c>
      <c r="WH2187" s="594" t="s">
        <v>1232</v>
      </c>
      <c r="WI2187" s="594" t="s">
        <v>1232</v>
      </c>
      <c r="WJ2187" s="594" t="s">
        <v>1232</v>
      </c>
      <c r="WK2187" s="594" t="s">
        <v>1232</v>
      </c>
      <c r="WL2187" s="594" t="s">
        <v>1232</v>
      </c>
      <c r="WM2187" s="594" t="s">
        <v>1232</v>
      </c>
      <c r="WN2187" s="594" t="s">
        <v>1232</v>
      </c>
      <c r="WO2187" s="594" t="s">
        <v>1232</v>
      </c>
      <c r="WP2187" s="594" t="s">
        <v>1232</v>
      </c>
      <c r="WQ2187" s="594" t="s">
        <v>1232</v>
      </c>
      <c r="WR2187" s="594" t="s">
        <v>1232</v>
      </c>
      <c r="WS2187" s="594" t="s">
        <v>1232</v>
      </c>
      <c r="WT2187" s="594" t="s">
        <v>1232</v>
      </c>
      <c r="WU2187" s="594" t="s">
        <v>1232</v>
      </c>
      <c r="WV2187" s="594" t="s">
        <v>1232</v>
      </c>
      <c r="WW2187" s="594" t="s">
        <v>1232</v>
      </c>
      <c r="WX2187" s="594" t="s">
        <v>1232</v>
      </c>
      <c r="WY2187" s="594" t="s">
        <v>1232</v>
      </c>
      <c r="WZ2187" s="594" t="s">
        <v>1232</v>
      </c>
      <c r="XA2187" s="594" t="s">
        <v>1232</v>
      </c>
      <c r="XB2187" s="594" t="s">
        <v>1232</v>
      </c>
      <c r="XC2187" s="594" t="s">
        <v>1232</v>
      </c>
      <c r="XD2187" s="594" t="s">
        <v>1232</v>
      </c>
      <c r="XE2187" s="594" t="s">
        <v>1232</v>
      </c>
      <c r="XF2187" s="594" t="s">
        <v>1232</v>
      </c>
      <c r="XG2187" s="594" t="s">
        <v>1232</v>
      </c>
      <c r="XH2187" s="594" t="s">
        <v>1232</v>
      </c>
      <c r="XI2187" s="594" t="s">
        <v>1232</v>
      </c>
      <c r="XJ2187" s="594" t="s">
        <v>1232</v>
      </c>
      <c r="XK2187" s="594" t="s">
        <v>1232</v>
      </c>
      <c r="XL2187" s="594" t="s">
        <v>1232</v>
      </c>
      <c r="XM2187" s="594" t="s">
        <v>1232</v>
      </c>
      <c r="XN2187" s="594" t="s">
        <v>1232</v>
      </c>
      <c r="XO2187" s="594" t="s">
        <v>1232</v>
      </c>
      <c r="XP2187" s="594" t="s">
        <v>1232</v>
      </c>
      <c r="XQ2187" s="594" t="s">
        <v>1232</v>
      </c>
      <c r="XR2187" s="594" t="s">
        <v>1232</v>
      </c>
      <c r="XS2187" s="594" t="s">
        <v>1232</v>
      </c>
      <c r="XT2187" s="594" t="s">
        <v>1232</v>
      </c>
      <c r="XU2187" s="594" t="s">
        <v>1232</v>
      </c>
      <c r="XV2187" s="594" t="s">
        <v>1232</v>
      </c>
      <c r="XW2187" s="594" t="s">
        <v>1232</v>
      </c>
      <c r="XX2187" s="594" t="s">
        <v>1232</v>
      </c>
      <c r="XY2187" s="594" t="s">
        <v>1232</v>
      </c>
      <c r="XZ2187" s="594" t="s">
        <v>1232</v>
      </c>
      <c r="YA2187" s="594" t="s">
        <v>1232</v>
      </c>
      <c r="YB2187" s="594" t="s">
        <v>1232</v>
      </c>
      <c r="YC2187" s="594" t="s">
        <v>1232</v>
      </c>
      <c r="YD2187" s="594" t="s">
        <v>1232</v>
      </c>
      <c r="YE2187" s="594" t="s">
        <v>1232</v>
      </c>
      <c r="YF2187" s="594" t="s">
        <v>1232</v>
      </c>
      <c r="YG2187" s="594" t="s">
        <v>1232</v>
      </c>
      <c r="YH2187" s="594" t="s">
        <v>1232</v>
      </c>
      <c r="YI2187" s="594" t="s">
        <v>1232</v>
      </c>
      <c r="YJ2187" s="594" t="s">
        <v>1232</v>
      </c>
      <c r="YK2187" s="594" t="s">
        <v>1232</v>
      </c>
      <c r="YL2187" s="594" t="s">
        <v>1232</v>
      </c>
      <c r="YM2187" s="594" t="s">
        <v>1232</v>
      </c>
      <c r="YN2187" s="594" t="s">
        <v>1232</v>
      </c>
      <c r="YO2187" s="594" t="s">
        <v>1232</v>
      </c>
      <c r="YP2187" s="594" t="s">
        <v>1232</v>
      </c>
      <c r="YQ2187" s="594" t="s">
        <v>1232</v>
      </c>
      <c r="YR2187" s="594" t="s">
        <v>1232</v>
      </c>
      <c r="YS2187" s="594" t="s">
        <v>1232</v>
      </c>
      <c r="YT2187" s="594" t="s">
        <v>1232</v>
      </c>
      <c r="YU2187" s="594" t="s">
        <v>1232</v>
      </c>
      <c r="YV2187" s="594" t="s">
        <v>1232</v>
      </c>
      <c r="YW2187" s="594" t="s">
        <v>1232</v>
      </c>
      <c r="YX2187" s="594" t="s">
        <v>1232</v>
      </c>
      <c r="YY2187" s="594" t="s">
        <v>1232</v>
      </c>
      <c r="YZ2187" s="594" t="s">
        <v>1232</v>
      </c>
      <c r="ZA2187" s="594" t="s">
        <v>1232</v>
      </c>
      <c r="ZB2187" s="594" t="s">
        <v>1232</v>
      </c>
      <c r="ZC2187" s="594" t="s">
        <v>1232</v>
      </c>
      <c r="ZD2187" s="594" t="s">
        <v>1232</v>
      </c>
      <c r="ZE2187" s="594" t="s">
        <v>1232</v>
      </c>
      <c r="ZF2187" s="594" t="s">
        <v>1232</v>
      </c>
      <c r="ZG2187" s="594" t="s">
        <v>1232</v>
      </c>
      <c r="ZH2187" s="594" t="s">
        <v>1232</v>
      </c>
      <c r="ZI2187" s="594" t="s">
        <v>1232</v>
      </c>
      <c r="ZJ2187" s="594" t="s">
        <v>1232</v>
      </c>
      <c r="ZK2187" s="594" t="s">
        <v>1232</v>
      </c>
      <c r="ZL2187" s="594" t="s">
        <v>1232</v>
      </c>
      <c r="ZM2187" s="594" t="s">
        <v>1232</v>
      </c>
      <c r="ZN2187" s="594" t="s">
        <v>1232</v>
      </c>
      <c r="ZO2187" s="594" t="s">
        <v>1232</v>
      </c>
      <c r="ZP2187" s="594" t="s">
        <v>1232</v>
      </c>
      <c r="ZQ2187" s="594" t="s">
        <v>1232</v>
      </c>
      <c r="ZR2187" s="594" t="s">
        <v>1232</v>
      </c>
      <c r="ZS2187" s="594" t="s">
        <v>1232</v>
      </c>
      <c r="ZT2187" s="594" t="s">
        <v>1232</v>
      </c>
      <c r="ZU2187" s="594" t="s">
        <v>1232</v>
      </c>
      <c r="ZV2187" s="594" t="s">
        <v>1232</v>
      </c>
      <c r="ZW2187" s="594" t="s">
        <v>1232</v>
      </c>
      <c r="ZX2187" s="594" t="s">
        <v>1232</v>
      </c>
      <c r="ZY2187" s="594" t="s">
        <v>1232</v>
      </c>
      <c r="ZZ2187" s="594" t="s">
        <v>1232</v>
      </c>
      <c r="AAA2187" s="594" t="s">
        <v>1232</v>
      </c>
      <c r="AAB2187" s="594" t="s">
        <v>1232</v>
      </c>
      <c r="AAC2187" s="594" t="s">
        <v>1232</v>
      </c>
      <c r="AAD2187" s="594" t="s">
        <v>1232</v>
      </c>
      <c r="AAE2187" s="594" t="s">
        <v>1232</v>
      </c>
      <c r="AAF2187" s="594" t="s">
        <v>1232</v>
      </c>
      <c r="AAG2187" s="594" t="s">
        <v>1232</v>
      </c>
      <c r="AAH2187" s="594" t="s">
        <v>1232</v>
      </c>
      <c r="AAI2187" s="594" t="s">
        <v>1232</v>
      </c>
      <c r="AAJ2187" s="594" t="s">
        <v>1232</v>
      </c>
      <c r="AAK2187" s="594" t="s">
        <v>1232</v>
      </c>
      <c r="AAL2187" s="594" t="s">
        <v>1232</v>
      </c>
      <c r="AAM2187" s="594" t="s">
        <v>1232</v>
      </c>
      <c r="AAN2187" s="594" t="s">
        <v>1232</v>
      </c>
      <c r="AAO2187" s="594" t="s">
        <v>1232</v>
      </c>
      <c r="AAP2187" s="594" t="s">
        <v>1232</v>
      </c>
      <c r="AAQ2187" s="594" t="s">
        <v>1232</v>
      </c>
      <c r="AAR2187" s="594" t="s">
        <v>1232</v>
      </c>
      <c r="AAS2187" s="594" t="s">
        <v>1232</v>
      </c>
      <c r="AAT2187" s="594" t="s">
        <v>1232</v>
      </c>
      <c r="AAU2187" s="594" t="s">
        <v>1232</v>
      </c>
      <c r="AAV2187" s="594" t="s">
        <v>1232</v>
      </c>
      <c r="AAW2187" s="594" t="s">
        <v>1232</v>
      </c>
      <c r="AAX2187" s="594" t="s">
        <v>1232</v>
      </c>
      <c r="AAY2187" s="594" t="s">
        <v>1232</v>
      </c>
      <c r="AAZ2187" s="594" t="s">
        <v>1232</v>
      </c>
      <c r="ABA2187" s="594" t="s">
        <v>1232</v>
      </c>
      <c r="ABB2187" s="594" t="s">
        <v>1232</v>
      </c>
      <c r="ABC2187" s="594" t="s">
        <v>1232</v>
      </c>
      <c r="ABD2187" s="594" t="s">
        <v>1232</v>
      </c>
      <c r="ABE2187" s="594" t="s">
        <v>1232</v>
      </c>
      <c r="ABF2187" s="594" t="s">
        <v>1232</v>
      </c>
      <c r="ABG2187" s="594" t="s">
        <v>1232</v>
      </c>
      <c r="ABH2187" s="594" t="s">
        <v>1232</v>
      </c>
      <c r="ABI2187" s="594" t="s">
        <v>1232</v>
      </c>
      <c r="ABJ2187" s="594" t="s">
        <v>1232</v>
      </c>
      <c r="ABK2187" s="594" t="s">
        <v>1232</v>
      </c>
      <c r="ABL2187" s="594" t="s">
        <v>1232</v>
      </c>
      <c r="ABM2187" s="594" t="s">
        <v>1232</v>
      </c>
      <c r="ABN2187" s="594" t="s">
        <v>1232</v>
      </c>
      <c r="ABO2187" s="594" t="s">
        <v>1232</v>
      </c>
      <c r="ABP2187" s="594" t="s">
        <v>1232</v>
      </c>
      <c r="ABQ2187" s="594" t="s">
        <v>1232</v>
      </c>
      <c r="ABR2187" s="594" t="s">
        <v>1232</v>
      </c>
      <c r="ABS2187" s="594" t="s">
        <v>1232</v>
      </c>
      <c r="ABT2187" s="594" t="s">
        <v>1232</v>
      </c>
      <c r="ABU2187" s="594" t="s">
        <v>1232</v>
      </c>
      <c r="ABV2187" s="594" t="s">
        <v>1232</v>
      </c>
      <c r="ABW2187" s="594" t="s">
        <v>1232</v>
      </c>
      <c r="ABX2187" s="594" t="s">
        <v>1232</v>
      </c>
      <c r="ABY2187" s="594" t="s">
        <v>1232</v>
      </c>
      <c r="ABZ2187" s="594" t="s">
        <v>1232</v>
      </c>
      <c r="ACA2187" s="594" t="s">
        <v>1232</v>
      </c>
      <c r="ACB2187" s="594" t="s">
        <v>1232</v>
      </c>
      <c r="ACC2187" s="594" t="s">
        <v>1232</v>
      </c>
      <c r="ACD2187" s="594" t="s">
        <v>1232</v>
      </c>
      <c r="ACE2187" s="594" t="s">
        <v>1232</v>
      </c>
      <c r="ACF2187" s="594" t="s">
        <v>1232</v>
      </c>
      <c r="ACG2187" s="594" t="s">
        <v>1232</v>
      </c>
      <c r="ACH2187" s="594" t="s">
        <v>1232</v>
      </c>
      <c r="ACI2187" s="594" t="s">
        <v>1232</v>
      </c>
      <c r="ACJ2187" s="594" t="s">
        <v>1232</v>
      </c>
      <c r="ACK2187" s="594" t="s">
        <v>1232</v>
      </c>
      <c r="ACL2187" s="594" t="s">
        <v>1232</v>
      </c>
      <c r="ACM2187" s="594" t="s">
        <v>1232</v>
      </c>
      <c r="ACN2187" s="594" t="s">
        <v>1232</v>
      </c>
      <c r="ACO2187" s="594" t="s">
        <v>1232</v>
      </c>
      <c r="ACP2187" s="594" t="s">
        <v>1232</v>
      </c>
      <c r="ACQ2187" s="594" t="s">
        <v>1232</v>
      </c>
      <c r="ACR2187" s="594" t="s">
        <v>1232</v>
      </c>
      <c r="ACS2187" s="594" t="s">
        <v>1232</v>
      </c>
      <c r="ACT2187" s="594" t="s">
        <v>1232</v>
      </c>
      <c r="ACU2187" s="594" t="s">
        <v>1232</v>
      </c>
      <c r="ACV2187" s="594" t="s">
        <v>1232</v>
      </c>
      <c r="ACW2187" s="594" t="s">
        <v>1232</v>
      </c>
      <c r="ACX2187" s="594" t="s">
        <v>1232</v>
      </c>
      <c r="ACY2187" s="594" t="s">
        <v>1232</v>
      </c>
      <c r="ACZ2187" s="594" t="s">
        <v>1232</v>
      </c>
      <c r="ADA2187" s="594" t="s">
        <v>1232</v>
      </c>
      <c r="ADB2187" s="594" t="s">
        <v>1232</v>
      </c>
      <c r="ADC2187" s="594" t="s">
        <v>1232</v>
      </c>
      <c r="ADD2187" s="594" t="s">
        <v>1232</v>
      </c>
      <c r="ADE2187" s="594" t="s">
        <v>1232</v>
      </c>
      <c r="ADF2187" s="594" t="s">
        <v>1232</v>
      </c>
      <c r="ADG2187" s="594" t="s">
        <v>1232</v>
      </c>
      <c r="ADH2187" s="594" t="s">
        <v>1232</v>
      </c>
      <c r="ADI2187" s="594" t="s">
        <v>1232</v>
      </c>
      <c r="ADJ2187" s="594" t="s">
        <v>1232</v>
      </c>
      <c r="ADK2187" s="594" t="s">
        <v>1232</v>
      </c>
      <c r="ADL2187" s="594" t="s">
        <v>1232</v>
      </c>
      <c r="ADM2187" s="594" t="s">
        <v>1232</v>
      </c>
      <c r="ADN2187" s="594" t="s">
        <v>1232</v>
      </c>
      <c r="ADO2187" s="594" t="s">
        <v>1232</v>
      </c>
      <c r="ADP2187" s="594" t="s">
        <v>1232</v>
      </c>
      <c r="ADQ2187" s="594" t="s">
        <v>1232</v>
      </c>
      <c r="ADR2187" s="594" t="s">
        <v>1232</v>
      </c>
      <c r="ADS2187" s="594" t="s">
        <v>1232</v>
      </c>
      <c r="ADT2187" s="594" t="s">
        <v>1232</v>
      </c>
      <c r="ADU2187" s="594" t="s">
        <v>1232</v>
      </c>
      <c r="ADV2187" s="594" t="s">
        <v>1232</v>
      </c>
      <c r="ADW2187" s="594" t="s">
        <v>1232</v>
      </c>
      <c r="ADX2187" s="594" t="s">
        <v>1232</v>
      </c>
      <c r="ADY2187" s="594" t="s">
        <v>1232</v>
      </c>
      <c r="ADZ2187" s="594" t="s">
        <v>1232</v>
      </c>
      <c r="AEA2187" s="594" t="s">
        <v>1232</v>
      </c>
      <c r="AEB2187" s="594" t="s">
        <v>1232</v>
      </c>
      <c r="AEC2187" s="594" t="s">
        <v>1232</v>
      </c>
      <c r="AED2187" s="594" t="s">
        <v>1232</v>
      </c>
      <c r="AEE2187" s="594" t="s">
        <v>1232</v>
      </c>
      <c r="AEF2187" s="594" t="s">
        <v>1232</v>
      </c>
      <c r="AEG2187" s="594" t="s">
        <v>1232</v>
      </c>
      <c r="AEH2187" s="594" t="s">
        <v>1232</v>
      </c>
      <c r="AEI2187" s="594" t="s">
        <v>1232</v>
      </c>
      <c r="AEJ2187" s="594" t="s">
        <v>1232</v>
      </c>
      <c r="AEK2187" s="594" t="s">
        <v>1232</v>
      </c>
      <c r="AEL2187" s="594" t="s">
        <v>1232</v>
      </c>
      <c r="AEM2187" s="594" t="s">
        <v>1232</v>
      </c>
      <c r="AEN2187" s="594" t="s">
        <v>1232</v>
      </c>
      <c r="AEO2187" s="594" t="s">
        <v>1232</v>
      </c>
      <c r="AEP2187" s="594" t="s">
        <v>1232</v>
      </c>
      <c r="AEQ2187" s="594" t="s">
        <v>1232</v>
      </c>
      <c r="AER2187" s="594" t="s">
        <v>1232</v>
      </c>
      <c r="AES2187" s="594" t="s">
        <v>1232</v>
      </c>
      <c r="AET2187" s="594" t="s">
        <v>1232</v>
      </c>
      <c r="AEU2187" s="594" t="s">
        <v>1232</v>
      </c>
      <c r="AEV2187" s="594" t="s">
        <v>1232</v>
      </c>
      <c r="AEW2187" s="594" t="s">
        <v>1232</v>
      </c>
      <c r="AEX2187" s="594" t="s">
        <v>1232</v>
      </c>
      <c r="AEY2187" s="594" t="s">
        <v>1232</v>
      </c>
      <c r="AEZ2187" s="594" t="s">
        <v>1232</v>
      </c>
      <c r="AFA2187" s="594" t="s">
        <v>1232</v>
      </c>
      <c r="AFB2187" s="594" t="s">
        <v>1232</v>
      </c>
      <c r="AFC2187" s="594" t="s">
        <v>1232</v>
      </c>
      <c r="AFD2187" s="594" t="s">
        <v>1232</v>
      </c>
      <c r="AFE2187" s="594" t="s">
        <v>1232</v>
      </c>
      <c r="AFF2187" s="594" t="s">
        <v>1232</v>
      </c>
      <c r="AFG2187" s="594" t="s">
        <v>1232</v>
      </c>
      <c r="AFH2187" s="594" t="s">
        <v>1232</v>
      </c>
      <c r="AFI2187" s="594" t="s">
        <v>1232</v>
      </c>
      <c r="AFJ2187" s="594" t="s">
        <v>1232</v>
      </c>
      <c r="AFK2187" s="594" t="s">
        <v>1232</v>
      </c>
      <c r="AFL2187" s="594" t="s">
        <v>1232</v>
      </c>
      <c r="AFM2187" s="594" t="s">
        <v>1232</v>
      </c>
      <c r="AFN2187" s="594" t="s">
        <v>1232</v>
      </c>
      <c r="AFO2187" s="594" t="s">
        <v>1232</v>
      </c>
      <c r="AFP2187" s="594" t="s">
        <v>1232</v>
      </c>
      <c r="AFQ2187" s="594" t="s">
        <v>1232</v>
      </c>
      <c r="AFR2187" s="594" t="s">
        <v>1232</v>
      </c>
      <c r="AFS2187" s="594" t="s">
        <v>1232</v>
      </c>
      <c r="AFT2187" s="594" t="s">
        <v>1232</v>
      </c>
      <c r="AFU2187" s="594" t="s">
        <v>1232</v>
      </c>
      <c r="AFV2187" s="594" t="s">
        <v>1232</v>
      </c>
      <c r="AFW2187" s="594" t="s">
        <v>1232</v>
      </c>
      <c r="AFX2187" s="594" t="s">
        <v>1232</v>
      </c>
      <c r="AFY2187" s="594" t="s">
        <v>1232</v>
      </c>
      <c r="AFZ2187" s="594" t="s">
        <v>1232</v>
      </c>
      <c r="AGA2187" s="594" t="s">
        <v>1232</v>
      </c>
      <c r="AGB2187" s="594" t="s">
        <v>1232</v>
      </c>
      <c r="AGC2187" s="594" t="s">
        <v>1232</v>
      </c>
      <c r="AGD2187" s="594" t="s">
        <v>1232</v>
      </c>
      <c r="AGE2187" s="594" t="s">
        <v>1232</v>
      </c>
      <c r="AGF2187" s="594" t="s">
        <v>1232</v>
      </c>
      <c r="AGG2187" s="594" t="s">
        <v>1232</v>
      </c>
      <c r="AGH2187" s="594" t="s">
        <v>1232</v>
      </c>
      <c r="AGI2187" s="594" t="s">
        <v>1232</v>
      </c>
      <c r="AGJ2187" s="594" t="s">
        <v>1232</v>
      </c>
      <c r="AGK2187" s="594" t="s">
        <v>1232</v>
      </c>
      <c r="AGL2187" s="594" t="s">
        <v>1232</v>
      </c>
      <c r="AGM2187" s="594" t="s">
        <v>1232</v>
      </c>
      <c r="AGN2187" s="594" t="s">
        <v>1232</v>
      </c>
      <c r="AGO2187" s="594" t="s">
        <v>1232</v>
      </c>
      <c r="AGP2187" s="594" t="s">
        <v>1232</v>
      </c>
      <c r="AGQ2187" s="594" t="s">
        <v>1232</v>
      </c>
      <c r="AGR2187" s="594" t="s">
        <v>1232</v>
      </c>
      <c r="AGS2187" s="594" t="s">
        <v>1232</v>
      </c>
      <c r="AGT2187" s="594" t="s">
        <v>1232</v>
      </c>
      <c r="AGU2187" s="594" t="s">
        <v>1232</v>
      </c>
      <c r="AGV2187" s="594" t="s">
        <v>1232</v>
      </c>
      <c r="AGW2187" s="594" t="s">
        <v>1232</v>
      </c>
      <c r="AGX2187" s="594" t="s">
        <v>1232</v>
      </c>
      <c r="AGY2187" s="594" t="s">
        <v>1232</v>
      </c>
      <c r="AGZ2187" s="594" t="s">
        <v>1232</v>
      </c>
      <c r="AHA2187" s="594" t="s">
        <v>1232</v>
      </c>
      <c r="AHB2187" s="594" t="s">
        <v>1232</v>
      </c>
      <c r="AHC2187" s="594" t="s">
        <v>1232</v>
      </c>
      <c r="AHD2187" s="594" t="s">
        <v>1232</v>
      </c>
      <c r="AHE2187" s="594" t="s">
        <v>1232</v>
      </c>
      <c r="AHF2187" s="594" t="s">
        <v>1232</v>
      </c>
      <c r="AHG2187" s="594" t="s">
        <v>1232</v>
      </c>
      <c r="AHH2187" s="594" t="s">
        <v>1232</v>
      </c>
      <c r="AHI2187" s="594" t="s">
        <v>1232</v>
      </c>
      <c r="AHJ2187" s="594" t="s">
        <v>1232</v>
      </c>
      <c r="AHK2187" s="594" t="s">
        <v>1232</v>
      </c>
      <c r="AHL2187" s="594" t="s">
        <v>1232</v>
      </c>
      <c r="AHM2187" s="594" t="s">
        <v>1232</v>
      </c>
      <c r="AHN2187" s="594" t="s">
        <v>1232</v>
      </c>
      <c r="AHO2187" s="594" t="s">
        <v>1232</v>
      </c>
      <c r="AHP2187" s="594" t="s">
        <v>1232</v>
      </c>
      <c r="AHQ2187" s="594" t="s">
        <v>1232</v>
      </c>
      <c r="AHR2187" s="594" t="s">
        <v>1232</v>
      </c>
      <c r="AHS2187" s="594" t="s">
        <v>1232</v>
      </c>
      <c r="AHT2187" s="594" t="s">
        <v>1232</v>
      </c>
      <c r="AHU2187" s="594" t="s">
        <v>1232</v>
      </c>
      <c r="AHV2187" s="594" t="s">
        <v>1232</v>
      </c>
      <c r="AHW2187" s="594" t="s">
        <v>1232</v>
      </c>
      <c r="AHX2187" s="594" t="s">
        <v>1232</v>
      </c>
      <c r="AHY2187" s="594" t="s">
        <v>1232</v>
      </c>
      <c r="AHZ2187" s="594" t="s">
        <v>1232</v>
      </c>
      <c r="AIA2187" s="594" t="s">
        <v>1232</v>
      </c>
      <c r="AIB2187" s="594" t="s">
        <v>1232</v>
      </c>
      <c r="AIC2187" s="594" t="s">
        <v>1232</v>
      </c>
      <c r="AID2187" s="594" t="s">
        <v>1232</v>
      </c>
      <c r="AIE2187" s="594" t="s">
        <v>1232</v>
      </c>
      <c r="AIF2187" s="594" t="s">
        <v>1232</v>
      </c>
      <c r="AIG2187" s="594" t="s">
        <v>1232</v>
      </c>
      <c r="AIH2187" s="594" t="s">
        <v>1232</v>
      </c>
      <c r="AII2187" s="594" t="s">
        <v>1232</v>
      </c>
      <c r="AIJ2187" s="594" t="s">
        <v>1232</v>
      </c>
      <c r="AIK2187" s="594" t="s">
        <v>1232</v>
      </c>
      <c r="AIL2187" s="594" t="s">
        <v>1232</v>
      </c>
      <c r="AIM2187" s="594" t="s">
        <v>1232</v>
      </c>
      <c r="AIN2187" s="594" t="s">
        <v>1232</v>
      </c>
      <c r="AIO2187" s="594" t="s">
        <v>1232</v>
      </c>
      <c r="AIP2187" s="594" t="s">
        <v>1232</v>
      </c>
      <c r="AIQ2187" s="594" t="s">
        <v>1232</v>
      </c>
      <c r="AIR2187" s="594" t="s">
        <v>1232</v>
      </c>
      <c r="AIS2187" s="594" t="s">
        <v>1232</v>
      </c>
      <c r="AIT2187" s="594" t="s">
        <v>1232</v>
      </c>
      <c r="AIU2187" s="594" t="s">
        <v>1232</v>
      </c>
      <c r="AIV2187" s="594" t="s">
        <v>1232</v>
      </c>
      <c r="AIW2187" s="594" t="s">
        <v>1232</v>
      </c>
      <c r="AIX2187" s="594" t="s">
        <v>1232</v>
      </c>
      <c r="AIY2187" s="594" t="s">
        <v>1232</v>
      </c>
      <c r="AIZ2187" s="594" t="s">
        <v>1232</v>
      </c>
      <c r="AJA2187" s="594" t="s">
        <v>1232</v>
      </c>
      <c r="AJB2187" s="594" t="s">
        <v>1232</v>
      </c>
      <c r="AJC2187" s="594" t="s">
        <v>1232</v>
      </c>
      <c r="AJD2187" s="594" t="s">
        <v>1232</v>
      </c>
      <c r="AJE2187" s="594" t="s">
        <v>1232</v>
      </c>
      <c r="AJF2187" s="594" t="s">
        <v>1232</v>
      </c>
      <c r="AJG2187" s="594" t="s">
        <v>1232</v>
      </c>
      <c r="AJH2187" s="594" t="s">
        <v>1232</v>
      </c>
      <c r="AJI2187" s="594" t="s">
        <v>1232</v>
      </c>
      <c r="AJJ2187" s="594" t="s">
        <v>1232</v>
      </c>
      <c r="AJK2187" s="594" t="s">
        <v>1232</v>
      </c>
      <c r="AJL2187" s="594" t="s">
        <v>1232</v>
      </c>
      <c r="AJM2187" s="594" t="s">
        <v>1232</v>
      </c>
      <c r="AJN2187" s="594" t="s">
        <v>1232</v>
      </c>
      <c r="AJO2187" s="594" t="s">
        <v>1232</v>
      </c>
      <c r="AJP2187" s="594" t="s">
        <v>1232</v>
      </c>
      <c r="AJQ2187" s="594" t="s">
        <v>1232</v>
      </c>
      <c r="AJR2187" s="594" t="s">
        <v>1232</v>
      </c>
      <c r="AJS2187" s="594" t="s">
        <v>1232</v>
      </c>
      <c r="AJT2187" s="594" t="s">
        <v>1232</v>
      </c>
      <c r="AJU2187" s="594" t="s">
        <v>1232</v>
      </c>
      <c r="AJV2187" s="594" t="s">
        <v>1232</v>
      </c>
      <c r="AJW2187" s="594" t="s">
        <v>1232</v>
      </c>
      <c r="AJX2187" s="594" t="s">
        <v>1232</v>
      </c>
      <c r="AJY2187" s="594" t="s">
        <v>1232</v>
      </c>
      <c r="AJZ2187" s="594" t="s">
        <v>1232</v>
      </c>
      <c r="AKA2187" s="594" t="s">
        <v>1232</v>
      </c>
      <c r="AKB2187" s="594" t="s">
        <v>1232</v>
      </c>
      <c r="AKC2187" s="594" t="s">
        <v>1232</v>
      </c>
      <c r="AKD2187" s="594" t="s">
        <v>1232</v>
      </c>
      <c r="AKE2187" s="594" t="s">
        <v>1232</v>
      </c>
      <c r="AKF2187" s="594" t="s">
        <v>1232</v>
      </c>
      <c r="AKG2187" s="594" t="s">
        <v>1232</v>
      </c>
      <c r="AKH2187" s="594" t="s">
        <v>1232</v>
      </c>
      <c r="AKI2187" s="594" t="s">
        <v>1232</v>
      </c>
      <c r="AKJ2187" s="594" t="s">
        <v>1232</v>
      </c>
      <c r="AKK2187" s="594" t="s">
        <v>1232</v>
      </c>
      <c r="AKL2187" s="594" t="s">
        <v>1232</v>
      </c>
      <c r="AKM2187" s="594" t="s">
        <v>1232</v>
      </c>
      <c r="AKN2187" s="594" t="s">
        <v>1232</v>
      </c>
      <c r="AKO2187" s="594" t="s">
        <v>1232</v>
      </c>
      <c r="AKP2187" s="594" t="s">
        <v>1232</v>
      </c>
      <c r="AKQ2187" s="594" t="s">
        <v>1232</v>
      </c>
      <c r="AKR2187" s="594" t="s">
        <v>1232</v>
      </c>
      <c r="AKS2187" s="594" t="s">
        <v>1232</v>
      </c>
      <c r="AKT2187" s="594" t="s">
        <v>1232</v>
      </c>
      <c r="AKU2187" s="594" t="s">
        <v>1232</v>
      </c>
      <c r="AKV2187" s="594" t="s">
        <v>1232</v>
      </c>
      <c r="AKW2187" s="594" t="s">
        <v>1232</v>
      </c>
      <c r="AKX2187" s="594" t="s">
        <v>1232</v>
      </c>
      <c r="AKY2187" s="594" t="s">
        <v>1232</v>
      </c>
      <c r="AKZ2187" s="594" t="s">
        <v>1232</v>
      </c>
      <c r="ALA2187" s="594" t="s">
        <v>1232</v>
      </c>
      <c r="ALB2187" s="594" t="s">
        <v>1232</v>
      </c>
      <c r="ALC2187" s="594" t="s">
        <v>1232</v>
      </c>
      <c r="ALD2187" s="594" t="s">
        <v>1232</v>
      </c>
      <c r="ALE2187" s="594" t="s">
        <v>1232</v>
      </c>
      <c r="ALF2187" s="594" t="s">
        <v>1232</v>
      </c>
      <c r="ALG2187" s="594" t="s">
        <v>1232</v>
      </c>
      <c r="ALH2187" s="594" t="s">
        <v>1232</v>
      </c>
      <c r="ALI2187" s="594" t="s">
        <v>1232</v>
      </c>
      <c r="ALJ2187" s="594" t="s">
        <v>1232</v>
      </c>
      <c r="ALK2187" s="594" t="s">
        <v>1232</v>
      </c>
      <c r="ALL2187" s="594" t="s">
        <v>1232</v>
      </c>
      <c r="ALM2187" s="594" t="s">
        <v>1232</v>
      </c>
      <c r="ALN2187" s="594" t="s">
        <v>1232</v>
      </c>
      <c r="ALO2187" s="594" t="s">
        <v>1232</v>
      </c>
      <c r="ALP2187" s="594" t="s">
        <v>1232</v>
      </c>
      <c r="ALQ2187" s="594" t="s">
        <v>1232</v>
      </c>
      <c r="ALR2187" s="594" t="s">
        <v>1232</v>
      </c>
      <c r="ALS2187" s="594" t="s">
        <v>1232</v>
      </c>
      <c r="ALT2187" s="594" t="s">
        <v>1232</v>
      </c>
      <c r="ALU2187" s="594" t="s">
        <v>1232</v>
      </c>
      <c r="ALV2187" s="594" t="s">
        <v>1232</v>
      </c>
      <c r="ALW2187" s="594" t="s">
        <v>1232</v>
      </c>
      <c r="ALX2187" s="594" t="s">
        <v>1232</v>
      </c>
      <c r="ALY2187" s="594" t="s">
        <v>1232</v>
      </c>
      <c r="ALZ2187" s="594" t="s">
        <v>1232</v>
      </c>
      <c r="AMA2187" s="594" t="s">
        <v>1232</v>
      </c>
      <c r="AMB2187" s="594" t="s">
        <v>1232</v>
      </c>
      <c r="AMC2187" s="594" t="s">
        <v>1232</v>
      </c>
      <c r="AMD2187" s="594" t="s">
        <v>1232</v>
      </c>
      <c r="AME2187" s="594" t="s">
        <v>1232</v>
      </c>
      <c r="AMF2187" s="594" t="s">
        <v>1232</v>
      </c>
      <c r="AMG2187" s="594" t="s">
        <v>1232</v>
      </c>
      <c r="AMH2187" s="594" t="s">
        <v>1232</v>
      </c>
      <c r="AMI2187" s="594" t="s">
        <v>1232</v>
      </c>
      <c r="AMJ2187" s="594" t="s">
        <v>1232</v>
      </c>
      <c r="AMK2187" s="594" t="s">
        <v>1232</v>
      </c>
      <c r="AML2187" s="594" t="s">
        <v>1232</v>
      </c>
      <c r="AMM2187" s="594" t="s">
        <v>1232</v>
      </c>
      <c r="AMN2187" s="594" t="s">
        <v>1232</v>
      </c>
      <c r="AMO2187" s="594" t="s">
        <v>1232</v>
      </c>
      <c r="AMP2187" s="594" t="s">
        <v>1232</v>
      </c>
      <c r="AMQ2187" s="594" t="s">
        <v>1232</v>
      </c>
      <c r="AMR2187" s="594" t="s">
        <v>1232</v>
      </c>
      <c r="AMS2187" s="594" t="s">
        <v>1232</v>
      </c>
      <c r="AMT2187" s="594" t="s">
        <v>1232</v>
      </c>
      <c r="AMU2187" s="594" t="s">
        <v>1232</v>
      </c>
      <c r="AMV2187" s="594" t="s">
        <v>1232</v>
      </c>
      <c r="AMW2187" s="594" t="s">
        <v>1232</v>
      </c>
      <c r="AMX2187" s="594" t="s">
        <v>1232</v>
      </c>
      <c r="AMY2187" s="594" t="s">
        <v>1232</v>
      </c>
      <c r="AMZ2187" s="594" t="s">
        <v>1232</v>
      </c>
      <c r="ANA2187" s="594" t="s">
        <v>1232</v>
      </c>
      <c r="ANB2187" s="594" t="s">
        <v>1232</v>
      </c>
      <c r="ANC2187" s="594" t="s">
        <v>1232</v>
      </c>
      <c r="AND2187" s="594" t="s">
        <v>1232</v>
      </c>
      <c r="ANE2187" s="594" t="s">
        <v>1232</v>
      </c>
      <c r="ANF2187" s="594" t="s">
        <v>1232</v>
      </c>
      <c r="ANG2187" s="594" t="s">
        <v>1232</v>
      </c>
      <c r="ANH2187" s="594" t="s">
        <v>1232</v>
      </c>
      <c r="ANI2187" s="594" t="s">
        <v>1232</v>
      </c>
      <c r="ANJ2187" s="594" t="s">
        <v>1232</v>
      </c>
      <c r="ANK2187" s="594" t="s">
        <v>1232</v>
      </c>
      <c r="ANL2187" s="594" t="s">
        <v>1232</v>
      </c>
      <c r="ANM2187" s="594" t="s">
        <v>1232</v>
      </c>
      <c r="ANN2187" s="594" t="s">
        <v>1232</v>
      </c>
      <c r="ANO2187" s="594" t="s">
        <v>1232</v>
      </c>
      <c r="ANP2187" s="594" t="s">
        <v>1232</v>
      </c>
      <c r="ANQ2187" s="594" t="s">
        <v>1232</v>
      </c>
      <c r="ANR2187" s="594" t="s">
        <v>1232</v>
      </c>
      <c r="ANS2187" s="594" t="s">
        <v>1232</v>
      </c>
      <c r="ANT2187" s="594" t="s">
        <v>1232</v>
      </c>
      <c r="ANU2187" s="594" t="s">
        <v>1232</v>
      </c>
      <c r="ANV2187" s="594" t="s">
        <v>1232</v>
      </c>
      <c r="ANW2187" s="594" t="s">
        <v>1232</v>
      </c>
      <c r="ANX2187" s="594" t="s">
        <v>1232</v>
      </c>
      <c r="ANY2187" s="594" t="s">
        <v>1232</v>
      </c>
      <c r="ANZ2187" s="594" t="s">
        <v>1232</v>
      </c>
      <c r="AOA2187" s="594" t="s">
        <v>1232</v>
      </c>
      <c r="AOB2187" s="594" t="s">
        <v>1232</v>
      </c>
      <c r="AOC2187" s="594" t="s">
        <v>1232</v>
      </c>
      <c r="AOD2187" s="594" t="s">
        <v>1232</v>
      </c>
      <c r="AOE2187" s="594" t="s">
        <v>1232</v>
      </c>
      <c r="AOF2187" s="594" t="s">
        <v>1232</v>
      </c>
      <c r="AOG2187" s="594" t="s">
        <v>1232</v>
      </c>
      <c r="AOH2187" s="594" t="s">
        <v>1232</v>
      </c>
      <c r="AOI2187" s="594" t="s">
        <v>1232</v>
      </c>
      <c r="AOJ2187" s="594" t="s">
        <v>1232</v>
      </c>
      <c r="AOK2187" s="594" t="s">
        <v>1232</v>
      </c>
      <c r="AOL2187" s="594" t="s">
        <v>1232</v>
      </c>
      <c r="AOM2187" s="594" t="s">
        <v>1232</v>
      </c>
      <c r="AON2187" s="594" t="s">
        <v>1232</v>
      </c>
      <c r="AOO2187" s="594" t="s">
        <v>1232</v>
      </c>
      <c r="AOP2187" s="594" t="s">
        <v>1232</v>
      </c>
      <c r="AOQ2187" s="594" t="s">
        <v>1232</v>
      </c>
      <c r="AOR2187" s="594" t="s">
        <v>1232</v>
      </c>
      <c r="AOS2187" s="594" t="s">
        <v>1232</v>
      </c>
      <c r="AOT2187" s="594" t="s">
        <v>1232</v>
      </c>
      <c r="AOU2187" s="594" t="s">
        <v>1232</v>
      </c>
      <c r="AOV2187" s="594" t="s">
        <v>1232</v>
      </c>
      <c r="AOW2187" s="594" t="s">
        <v>1232</v>
      </c>
      <c r="AOX2187" s="594" t="s">
        <v>1232</v>
      </c>
      <c r="AOY2187" s="594" t="s">
        <v>1232</v>
      </c>
      <c r="AOZ2187" s="594" t="s">
        <v>1232</v>
      </c>
      <c r="APA2187" s="594" t="s">
        <v>1232</v>
      </c>
      <c r="APB2187" s="594" t="s">
        <v>1232</v>
      </c>
      <c r="APC2187" s="594" t="s">
        <v>1232</v>
      </c>
      <c r="APD2187" s="594" t="s">
        <v>1232</v>
      </c>
      <c r="APE2187" s="594" t="s">
        <v>1232</v>
      </c>
      <c r="APF2187" s="594" t="s">
        <v>1232</v>
      </c>
      <c r="APG2187" s="594" t="s">
        <v>1232</v>
      </c>
      <c r="APH2187" s="594" t="s">
        <v>1232</v>
      </c>
      <c r="API2187" s="594" t="s">
        <v>1232</v>
      </c>
      <c r="APJ2187" s="594" t="s">
        <v>1232</v>
      </c>
      <c r="APK2187" s="594" t="s">
        <v>1232</v>
      </c>
      <c r="APL2187" s="594" t="s">
        <v>1232</v>
      </c>
      <c r="APM2187" s="594" t="s">
        <v>1232</v>
      </c>
      <c r="APN2187" s="594" t="s">
        <v>1232</v>
      </c>
      <c r="APO2187" s="594" t="s">
        <v>1232</v>
      </c>
      <c r="APP2187" s="594" t="s">
        <v>1232</v>
      </c>
      <c r="APQ2187" s="594" t="s">
        <v>1232</v>
      </c>
      <c r="APR2187" s="594" t="s">
        <v>1232</v>
      </c>
      <c r="APS2187" s="594" t="s">
        <v>1232</v>
      </c>
      <c r="APT2187" s="594" t="s">
        <v>1232</v>
      </c>
      <c r="APU2187" s="594" t="s">
        <v>1232</v>
      </c>
      <c r="APV2187" s="594" t="s">
        <v>1232</v>
      </c>
      <c r="APW2187" s="594" t="s">
        <v>1232</v>
      </c>
      <c r="APX2187" s="594" t="s">
        <v>1232</v>
      </c>
      <c r="APY2187" s="594" t="s">
        <v>1232</v>
      </c>
      <c r="APZ2187" s="594" t="s">
        <v>1232</v>
      </c>
      <c r="AQA2187" s="594" t="s">
        <v>1232</v>
      </c>
      <c r="AQB2187" s="594" t="s">
        <v>1232</v>
      </c>
      <c r="AQC2187" s="594" t="s">
        <v>1232</v>
      </c>
      <c r="AQD2187" s="594" t="s">
        <v>1232</v>
      </c>
      <c r="AQE2187" s="594" t="s">
        <v>1232</v>
      </c>
      <c r="AQF2187" s="594" t="s">
        <v>1232</v>
      </c>
      <c r="AQG2187" s="594" t="s">
        <v>1232</v>
      </c>
      <c r="AQH2187" s="594" t="s">
        <v>1232</v>
      </c>
      <c r="AQI2187" s="594" t="s">
        <v>1232</v>
      </c>
      <c r="AQJ2187" s="594" t="s">
        <v>1232</v>
      </c>
      <c r="AQK2187" s="594" t="s">
        <v>1232</v>
      </c>
      <c r="AQL2187" s="594" t="s">
        <v>1232</v>
      </c>
      <c r="AQM2187" s="594" t="s">
        <v>1232</v>
      </c>
      <c r="AQN2187" s="594" t="s">
        <v>1232</v>
      </c>
      <c r="AQO2187" s="594" t="s">
        <v>1232</v>
      </c>
      <c r="AQP2187" s="594" t="s">
        <v>1232</v>
      </c>
      <c r="AQQ2187" s="594" t="s">
        <v>1232</v>
      </c>
      <c r="AQR2187" s="594" t="s">
        <v>1232</v>
      </c>
      <c r="AQS2187" s="594" t="s">
        <v>1232</v>
      </c>
      <c r="AQT2187" s="594" t="s">
        <v>1232</v>
      </c>
      <c r="AQU2187" s="594" t="s">
        <v>1232</v>
      </c>
      <c r="AQV2187" s="594" t="s">
        <v>1232</v>
      </c>
      <c r="AQW2187" s="594" t="s">
        <v>1232</v>
      </c>
      <c r="AQX2187" s="594" t="s">
        <v>1232</v>
      </c>
      <c r="AQY2187" s="594" t="s">
        <v>1232</v>
      </c>
      <c r="AQZ2187" s="594" t="s">
        <v>1232</v>
      </c>
      <c r="ARA2187" s="594" t="s">
        <v>1232</v>
      </c>
      <c r="ARB2187" s="594" t="s">
        <v>1232</v>
      </c>
      <c r="ARC2187" s="594" t="s">
        <v>1232</v>
      </c>
      <c r="ARD2187" s="594" t="s">
        <v>1232</v>
      </c>
      <c r="ARE2187" s="594" t="s">
        <v>1232</v>
      </c>
      <c r="ARF2187" s="594" t="s">
        <v>1232</v>
      </c>
      <c r="ARG2187" s="594" t="s">
        <v>1232</v>
      </c>
      <c r="ARH2187" s="594" t="s">
        <v>1232</v>
      </c>
      <c r="ARI2187" s="594" t="s">
        <v>1232</v>
      </c>
      <c r="ARJ2187" s="594" t="s">
        <v>1232</v>
      </c>
      <c r="ARK2187" s="594" t="s">
        <v>1232</v>
      </c>
      <c r="ARL2187" s="594" t="s">
        <v>1232</v>
      </c>
      <c r="ARM2187" s="594" t="s">
        <v>1232</v>
      </c>
      <c r="ARN2187" s="594" t="s">
        <v>1232</v>
      </c>
      <c r="ARO2187" s="594" t="s">
        <v>1232</v>
      </c>
      <c r="ARP2187" s="594" t="s">
        <v>1232</v>
      </c>
      <c r="ARQ2187" s="594" t="s">
        <v>1232</v>
      </c>
      <c r="ARR2187" s="594" t="s">
        <v>1232</v>
      </c>
      <c r="ARS2187" s="594" t="s">
        <v>1232</v>
      </c>
      <c r="ART2187" s="594" t="s">
        <v>1232</v>
      </c>
      <c r="ARU2187" s="594" t="s">
        <v>1232</v>
      </c>
      <c r="ARV2187" s="594" t="s">
        <v>1232</v>
      </c>
      <c r="ARW2187" s="594" t="s">
        <v>1232</v>
      </c>
      <c r="ARX2187" s="594" t="s">
        <v>1232</v>
      </c>
      <c r="ARY2187" s="594" t="s">
        <v>1232</v>
      </c>
      <c r="ARZ2187" s="594" t="s">
        <v>1232</v>
      </c>
      <c r="ASA2187" s="594" t="s">
        <v>1232</v>
      </c>
      <c r="ASB2187" s="594" t="s">
        <v>1232</v>
      </c>
      <c r="ASC2187" s="594" t="s">
        <v>1232</v>
      </c>
      <c r="ASD2187" s="594" t="s">
        <v>1232</v>
      </c>
      <c r="ASE2187" s="594" t="s">
        <v>1232</v>
      </c>
      <c r="ASF2187" s="594" t="s">
        <v>1232</v>
      </c>
      <c r="ASG2187" s="594" t="s">
        <v>1232</v>
      </c>
      <c r="ASH2187" s="594" t="s">
        <v>1232</v>
      </c>
      <c r="ASI2187" s="594" t="s">
        <v>1232</v>
      </c>
      <c r="ASJ2187" s="594" t="s">
        <v>1232</v>
      </c>
      <c r="ASK2187" s="594" t="s">
        <v>1232</v>
      </c>
      <c r="ASL2187" s="594" t="s">
        <v>1232</v>
      </c>
      <c r="ASM2187" s="594" t="s">
        <v>1232</v>
      </c>
      <c r="ASN2187" s="594" t="s">
        <v>1232</v>
      </c>
      <c r="ASO2187" s="594" t="s">
        <v>1232</v>
      </c>
      <c r="ASP2187" s="594" t="s">
        <v>1232</v>
      </c>
      <c r="ASQ2187" s="594" t="s">
        <v>1232</v>
      </c>
      <c r="ASR2187" s="594" t="s">
        <v>1232</v>
      </c>
      <c r="ASS2187" s="594" t="s">
        <v>1232</v>
      </c>
      <c r="AST2187" s="594" t="s">
        <v>1232</v>
      </c>
      <c r="ASU2187" s="594" t="s">
        <v>1232</v>
      </c>
      <c r="ASV2187" s="594" t="s">
        <v>1232</v>
      </c>
      <c r="ASW2187" s="594" t="s">
        <v>1232</v>
      </c>
      <c r="ASX2187" s="594" t="s">
        <v>1232</v>
      </c>
      <c r="ASY2187" s="594" t="s">
        <v>1232</v>
      </c>
      <c r="ASZ2187" s="594" t="s">
        <v>1232</v>
      </c>
      <c r="ATA2187" s="594" t="s">
        <v>1232</v>
      </c>
      <c r="ATB2187" s="594" t="s">
        <v>1232</v>
      </c>
      <c r="ATC2187" s="594" t="s">
        <v>1232</v>
      </c>
      <c r="ATD2187" s="594" t="s">
        <v>1232</v>
      </c>
      <c r="ATE2187" s="594" t="s">
        <v>1232</v>
      </c>
      <c r="ATF2187" s="594" t="s">
        <v>1232</v>
      </c>
      <c r="ATG2187" s="594" t="s">
        <v>1232</v>
      </c>
      <c r="ATH2187" s="594" t="s">
        <v>1232</v>
      </c>
      <c r="ATI2187" s="594" t="s">
        <v>1232</v>
      </c>
      <c r="ATJ2187" s="594" t="s">
        <v>1232</v>
      </c>
      <c r="ATK2187" s="594" t="s">
        <v>1232</v>
      </c>
      <c r="ATL2187" s="594" t="s">
        <v>1232</v>
      </c>
      <c r="ATM2187" s="594" t="s">
        <v>1232</v>
      </c>
      <c r="ATN2187" s="594" t="s">
        <v>1232</v>
      </c>
      <c r="ATO2187" s="594" t="s">
        <v>1232</v>
      </c>
      <c r="ATP2187" s="594" t="s">
        <v>1232</v>
      </c>
      <c r="ATQ2187" s="594" t="s">
        <v>1232</v>
      </c>
      <c r="ATR2187" s="594" t="s">
        <v>1232</v>
      </c>
      <c r="ATS2187" s="594" t="s">
        <v>1232</v>
      </c>
      <c r="ATT2187" s="594" t="s">
        <v>1232</v>
      </c>
      <c r="ATU2187" s="594" t="s">
        <v>1232</v>
      </c>
      <c r="ATV2187" s="594" t="s">
        <v>1232</v>
      </c>
      <c r="ATW2187" s="594" t="s">
        <v>1232</v>
      </c>
      <c r="ATX2187" s="594" t="s">
        <v>1232</v>
      </c>
      <c r="ATY2187" s="594" t="s">
        <v>1232</v>
      </c>
      <c r="ATZ2187" s="594" t="s">
        <v>1232</v>
      </c>
      <c r="AUA2187" s="594" t="s">
        <v>1232</v>
      </c>
      <c r="AUB2187" s="594" t="s">
        <v>1232</v>
      </c>
      <c r="AUC2187" s="594" t="s">
        <v>1232</v>
      </c>
      <c r="AUD2187" s="594" t="s">
        <v>1232</v>
      </c>
      <c r="AUE2187" s="594" t="s">
        <v>1232</v>
      </c>
      <c r="AUF2187" s="594" t="s">
        <v>1232</v>
      </c>
      <c r="AUG2187" s="594" t="s">
        <v>1232</v>
      </c>
      <c r="AUH2187" s="594" t="s">
        <v>1232</v>
      </c>
      <c r="AUI2187" s="594" t="s">
        <v>1232</v>
      </c>
      <c r="AUJ2187" s="594" t="s">
        <v>1232</v>
      </c>
      <c r="AUK2187" s="594" t="s">
        <v>1232</v>
      </c>
      <c r="AUL2187" s="594" t="s">
        <v>1232</v>
      </c>
      <c r="AUM2187" s="594" t="s">
        <v>1232</v>
      </c>
      <c r="AUN2187" s="594" t="s">
        <v>1232</v>
      </c>
      <c r="AUO2187" s="594" t="s">
        <v>1232</v>
      </c>
      <c r="AUP2187" s="594" t="s">
        <v>1232</v>
      </c>
      <c r="AUQ2187" s="594" t="s">
        <v>1232</v>
      </c>
      <c r="AUR2187" s="594" t="s">
        <v>1232</v>
      </c>
      <c r="AUS2187" s="594" t="s">
        <v>1232</v>
      </c>
      <c r="AUT2187" s="594" t="s">
        <v>1232</v>
      </c>
      <c r="AUU2187" s="594" t="s">
        <v>1232</v>
      </c>
      <c r="AUV2187" s="594" t="s">
        <v>1232</v>
      </c>
      <c r="AUW2187" s="594" t="s">
        <v>1232</v>
      </c>
      <c r="AUX2187" s="594" t="s">
        <v>1232</v>
      </c>
      <c r="AUY2187" s="594" t="s">
        <v>1232</v>
      </c>
      <c r="AUZ2187" s="594" t="s">
        <v>1232</v>
      </c>
      <c r="AVA2187" s="594" t="s">
        <v>1232</v>
      </c>
      <c r="AVB2187" s="594" t="s">
        <v>1232</v>
      </c>
      <c r="AVC2187" s="594" t="s">
        <v>1232</v>
      </c>
      <c r="AVD2187" s="594" t="s">
        <v>1232</v>
      </c>
      <c r="AVE2187" s="594" t="s">
        <v>1232</v>
      </c>
      <c r="AVF2187" s="594" t="s">
        <v>1232</v>
      </c>
      <c r="AVG2187" s="594" t="s">
        <v>1232</v>
      </c>
      <c r="AVH2187" s="594" t="s">
        <v>1232</v>
      </c>
      <c r="AVI2187" s="594" t="s">
        <v>1232</v>
      </c>
      <c r="AVJ2187" s="594" t="s">
        <v>1232</v>
      </c>
      <c r="AVK2187" s="594" t="s">
        <v>1232</v>
      </c>
      <c r="AVL2187" s="594" t="s">
        <v>1232</v>
      </c>
      <c r="AVM2187" s="594" t="s">
        <v>1232</v>
      </c>
      <c r="AVN2187" s="594" t="s">
        <v>1232</v>
      </c>
      <c r="AVO2187" s="594" t="s">
        <v>1232</v>
      </c>
      <c r="AVP2187" s="594" t="s">
        <v>1232</v>
      </c>
      <c r="AVQ2187" s="594" t="s">
        <v>1232</v>
      </c>
      <c r="AVR2187" s="594" t="s">
        <v>1232</v>
      </c>
      <c r="AVS2187" s="594" t="s">
        <v>1232</v>
      </c>
      <c r="AVT2187" s="594" t="s">
        <v>1232</v>
      </c>
      <c r="AVU2187" s="594" t="s">
        <v>1232</v>
      </c>
      <c r="AVV2187" s="594" t="s">
        <v>1232</v>
      </c>
      <c r="AVW2187" s="594" t="s">
        <v>1232</v>
      </c>
      <c r="AVX2187" s="594" t="s">
        <v>1232</v>
      </c>
      <c r="AVY2187" s="594" t="s">
        <v>1232</v>
      </c>
      <c r="AVZ2187" s="594" t="s">
        <v>1232</v>
      </c>
      <c r="AWA2187" s="594" t="s">
        <v>1232</v>
      </c>
      <c r="AWB2187" s="594" t="s">
        <v>1232</v>
      </c>
      <c r="AWC2187" s="594" t="s">
        <v>1232</v>
      </c>
      <c r="AWD2187" s="594" t="s">
        <v>1232</v>
      </c>
      <c r="AWE2187" s="594" t="s">
        <v>1232</v>
      </c>
      <c r="AWF2187" s="594" t="s">
        <v>1232</v>
      </c>
      <c r="AWG2187" s="594" t="s">
        <v>1232</v>
      </c>
      <c r="AWH2187" s="594" t="s">
        <v>1232</v>
      </c>
      <c r="AWI2187" s="594" t="s">
        <v>1232</v>
      </c>
      <c r="AWJ2187" s="594" t="s">
        <v>1232</v>
      </c>
      <c r="AWK2187" s="594" t="s">
        <v>1232</v>
      </c>
      <c r="AWL2187" s="594" t="s">
        <v>1232</v>
      </c>
      <c r="AWM2187" s="594" t="s">
        <v>1232</v>
      </c>
      <c r="AWN2187" s="594" t="s">
        <v>1232</v>
      </c>
      <c r="AWO2187" s="594" t="s">
        <v>1232</v>
      </c>
      <c r="AWP2187" s="594" t="s">
        <v>1232</v>
      </c>
      <c r="AWQ2187" s="594" t="s">
        <v>1232</v>
      </c>
      <c r="AWR2187" s="594" t="s">
        <v>1232</v>
      </c>
      <c r="AWS2187" s="594" t="s">
        <v>1232</v>
      </c>
      <c r="AWT2187" s="594" t="s">
        <v>1232</v>
      </c>
      <c r="AWU2187" s="594" t="s">
        <v>1232</v>
      </c>
      <c r="AWV2187" s="594" t="s">
        <v>1232</v>
      </c>
      <c r="AWW2187" s="594" t="s">
        <v>1232</v>
      </c>
      <c r="AWX2187" s="594" t="s">
        <v>1232</v>
      </c>
      <c r="AWY2187" s="594" t="s">
        <v>1232</v>
      </c>
      <c r="AWZ2187" s="594" t="s">
        <v>1232</v>
      </c>
      <c r="AXA2187" s="594" t="s">
        <v>1232</v>
      </c>
      <c r="AXB2187" s="594" t="s">
        <v>1232</v>
      </c>
      <c r="AXC2187" s="594" t="s">
        <v>1232</v>
      </c>
      <c r="AXD2187" s="594" t="s">
        <v>1232</v>
      </c>
      <c r="AXE2187" s="594" t="s">
        <v>1232</v>
      </c>
      <c r="AXF2187" s="594" t="s">
        <v>1232</v>
      </c>
      <c r="AXG2187" s="594" t="s">
        <v>1232</v>
      </c>
      <c r="AXH2187" s="594" t="s">
        <v>1232</v>
      </c>
      <c r="AXI2187" s="594" t="s">
        <v>1232</v>
      </c>
      <c r="AXJ2187" s="594" t="s">
        <v>1232</v>
      </c>
      <c r="AXK2187" s="594" t="s">
        <v>1232</v>
      </c>
      <c r="AXL2187" s="594" t="s">
        <v>1232</v>
      </c>
      <c r="AXM2187" s="594" t="s">
        <v>1232</v>
      </c>
      <c r="AXN2187" s="594" t="s">
        <v>1232</v>
      </c>
      <c r="AXO2187" s="594" t="s">
        <v>1232</v>
      </c>
      <c r="AXP2187" s="594" t="s">
        <v>1232</v>
      </c>
      <c r="AXQ2187" s="594" t="s">
        <v>1232</v>
      </c>
      <c r="AXR2187" s="594" t="s">
        <v>1232</v>
      </c>
      <c r="AXS2187" s="594" t="s">
        <v>1232</v>
      </c>
      <c r="AXT2187" s="594" t="s">
        <v>1232</v>
      </c>
      <c r="AXU2187" s="594" t="s">
        <v>1232</v>
      </c>
      <c r="AXV2187" s="594" t="s">
        <v>1232</v>
      </c>
      <c r="AXW2187" s="594" t="s">
        <v>1232</v>
      </c>
      <c r="AXX2187" s="594" t="s">
        <v>1232</v>
      </c>
      <c r="AXY2187" s="594" t="s">
        <v>1232</v>
      </c>
      <c r="AXZ2187" s="594" t="s">
        <v>1232</v>
      </c>
      <c r="AYA2187" s="594" t="s">
        <v>1232</v>
      </c>
      <c r="AYB2187" s="594" t="s">
        <v>1232</v>
      </c>
      <c r="AYC2187" s="594" t="s">
        <v>1232</v>
      </c>
      <c r="AYD2187" s="594" t="s">
        <v>1232</v>
      </c>
      <c r="AYE2187" s="594" t="s">
        <v>1232</v>
      </c>
      <c r="AYF2187" s="594" t="s">
        <v>1232</v>
      </c>
      <c r="AYG2187" s="594" t="s">
        <v>1232</v>
      </c>
      <c r="AYH2187" s="594" t="s">
        <v>1232</v>
      </c>
      <c r="AYI2187" s="594" t="s">
        <v>1232</v>
      </c>
      <c r="AYJ2187" s="594" t="s">
        <v>1232</v>
      </c>
      <c r="AYK2187" s="594" t="s">
        <v>1232</v>
      </c>
      <c r="AYL2187" s="594" t="s">
        <v>1232</v>
      </c>
      <c r="AYM2187" s="594" t="s">
        <v>1232</v>
      </c>
      <c r="AYN2187" s="594" t="s">
        <v>1232</v>
      </c>
      <c r="AYO2187" s="594" t="s">
        <v>1232</v>
      </c>
      <c r="AYP2187" s="594" t="s">
        <v>1232</v>
      </c>
      <c r="AYQ2187" s="594" t="s">
        <v>1232</v>
      </c>
      <c r="AYR2187" s="594" t="s">
        <v>1232</v>
      </c>
      <c r="AYS2187" s="594" t="s">
        <v>1232</v>
      </c>
      <c r="AYT2187" s="594" t="s">
        <v>1232</v>
      </c>
      <c r="AYU2187" s="594" t="s">
        <v>1232</v>
      </c>
      <c r="AYV2187" s="594" t="s">
        <v>1232</v>
      </c>
      <c r="AYW2187" s="594" t="s">
        <v>1232</v>
      </c>
      <c r="AYX2187" s="594" t="s">
        <v>1232</v>
      </c>
      <c r="AYY2187" s="594" t="s">
        <v>1232</v>
      </c>
      <c r="AYZ2187" s="594" t="s">
        <v>1232</v>
      </c>
      <c r="AZA2187" s="594" t="s">
        <v>1232</v>
      </c>
      <c r="AZB2187" s="594" t="s">
        <v>1232</v>
      </c>
      <c r="AZC2187" s="594" t="s">
        <v>1232</v>
      </c>
      <c r="AZD2187" s="594" t="s">
        <v>1232</v>
      </c>
      <c r="AZE2187" s="594" t="s">
        <v>1232</v>
      </c>
      <c r="AZF2187" s="594" t="s">
        <v>1232</v>
      </c>
      <c r="AZG2187" s="594" t="s">
        <v>1232</v>
      </c>
      <c r="AZH2187" s="594" t="s">
        <v>1232</v>
      </c>
      <c r="AZI2187" s="594" t="s">
        <v>1232</v>
      </c>
      <c r="AZJ2187" s="594" t="s">
        <v>1232</v>
      </c>
      <c r="AZK2187" s="594" t="s">
        <v>1232</v>
      </c>
      <c r="AZL2187" s="594" t="s">
        <v>1232</v>
      </c>
      <c r="AZM2187" s="594" t="s">
        <v>1232</v>
      </c>
      <c r="AZN2187" s="594" t="s">
        <v>1232</v>
      </c>
      <c r="AZO2187" s="594" t="s">
        <v>1232</v>
      </c>
      <c r="AZP2187" s="594" t="s">
        <v>1232</v>
      </c>
      <c r="AZQ2187" s="594" t="s">
        <v>1232</v>
      </c>
      <c r="AZR2187" s="594" t="s">
        <v>1232</v>
      </c>
      <c r="AZS2187" s="594" t="s">
        <v>1232</v>
      </c>
      <c r="AZT2187" s="594" t="s">
        <v>1232</v>
      </c>
      <c r="AZU2187" s="594" t="s">
        <v>1232</v>
      </c>
      <c r="AZV2187" s="594" t="s">
        <v>1232</v>
      </c>
      <c r="AZW2187" s="594" t="s">
        <v>1232</v>
      </c>
      <c r="AZX2187" s="594" t="s">
        <v>1232</v>
      </c>
      <c r="AZY2187" s="594" t="s">
        <v>1232</v>
      </c>
      <c r="AZZ2187" s="594" t="s">
        <v>1232</v>
      </c>
      <c r="BAA2187" s="594" t="s">
        <v>1232</v>
      </c>
      <c r="BAB2187" s="594" t="s">
        <v>1232</v>
      </c>
      <c r="BAC2187" s="594" t="s">
        <v>1232</v>
      </c>
      <c r="BAD2187" s="594" t="s">
        <v>1232</v>
      </c>
      <c r="BAE2187" s="594" t="s">
        <v>1232</v>
      </c>
      <c r="BAF2187" s="594" t="s">
        <v>1232</v>
      </c>
      <c r="BAG2187" s="594" t="s">
        <v>1232</v>
      </c>
      <c r="BAH2187" s="594" t="s">
        <v>1232</v>
      </c>
      <c r="BAI2187" s="594" t="s">
        <v>1232</v>
      </c>
      <c r="BAJ2187" s="594" t="s">
        <v>1232</v>
      </c>
      <c r="BAK2187" s="594" t="s">
        <v>1232</v>
      </c>
      <c r="BAL2187" s="594" t="s">
        <v>1232</v>
      </c>
      <c r="BAM2187" s="594" t="s">
        <v>1232</v>
      </c>
      <c r="BAN2187" s="594" t="s">
        <v>1232</v>
      </c>
      <c r="BAO2187" s="594" t="s">
        <v>1232</v>
      </c>
      <c r="BAP2187" s="594" t="s">
        <v>1232</v>
      </c>
      <c r="BAQ2187" s="594" t="s">
        <v>1232</v>
      </c>
      <c r="BAR2187" s="594" t="s">
        <v>1232</v>
      </c>
      <c r="BAS2187" s="594" t="s">
        <v>1232</v>
      </c>
      <c r="BAT2187" s="594" t="s">
        <v>1232</v>
      </c>
      <c r="BAU2187" s="594" t="s">
        <v>1232</v>
      </c>
      <c r="BAV2187" s="594" t="s">
        <v>1232</v>
      </c>
      <c r="BAW2187" s="594" t="s">
        <v>1232</v>
      </c>
      <c r="BAX2187" s="594" t="s">
        <v>1232</v>
      </c>
      <c r="BAY2187" s="594" t="s">
        <v>1232</v>
      </c>
      <c r="BAZ2187" s="594" t="s">
        <v>1232</v>
      </c>
      <c r="BBA2187" s="594" t="s">
        <v>1232</v>
      </c>
      <c r="BBB2187" s="594" t="s">
        <v>1232</v>
      </c>
      <c r="BBC2187" s="594" t="s">
        <v>1232</v>
      </c>
      <c r="BBD2187" s="594" t="s">
        <v>1232</v>
      </c>
      <c r="BBE2187" s="594" t="s">
        <v>1232</v>
      </c>
      <c r="BBF2187" s="594" t="s">
        <v>1232</v>
      </c>
      <c r="BBG2187" s="594" t="s">
        <v>1232</v>
      </c>
      <c r="BBH2187" s="594" t="s">
        <v>1232</v>
      </c>
      <c r="BBI2187" s="594" t="s">
        <v>1232</v>
      </c>
      <c r="BBJ2187" s="594" t="s">
        <v>1232</v>
      </c>
      <c r="BBK2187" s="594" t="s">
        <v>1232</v>
      </c>
      <c r="BBL2187" s="594" t="s">
        <v>1232</v>
      </c>
      <c r="BBM2187" s="594" t="s">
        <v>1232</v>
      </c>
      <c r="BBN2187" s="594" t="s">
        <v>1232</v>
      </c>
      <c r="BBO2187" s="594" t="s">
        <v>1232</v>
      </c>
      <c r="BBP2187" s="594" t="s">
        <v>1232</v>
      </c>
      <c r="BBQ2187" s="594" t="s">
        <v>1232</v>
      </c>
      <c r="BBR2187" s="594" t="s">
        <v>1232</v>
      </c>
      <c r="BBS2187" s="594" t="s">
        <v>1232</v>
      </c>
      <c r="BBT2187" s="594" t="s">
        <v>1232</v>
      </c>
      <c r="BBU2187" s="594" t="s">
        <v>1232</v>
      </c>
      <c r="BBV2187" s="594" t="s">
        <v>1232</v>
      </c>
      <c r="BBW2187" s="594" t="s">
        <v>1232</v>
      </c>
      <c r="BBX2187" s="594" t="s">
        <v>1232</v>
      </c>
      <c r="BBY2187" s="594" t="s">
        <v>1232</v>
      </c>
      <c r="BBZ2187" s="594" t="s">
        <v>1232</v>
      </c>
      <c r="BCA2187" s="594" t="s">
        <v>1232</v>
      </c>
      <c r="BCB2187" s="594" t="s">
        <v>1232</v>
      </c>
      <c r="BCC2187" s="594" t="s">
        <v>1232</v>
      </c>
      <c r="BCD2187" s="594" t="s">
        <v>1232</v>
      </c>
      <c r="BCE2187" s="594" t="s">
        <v>1232</v>
      </c>
      <c r="BCF2187" s="594" t="s">
        <v>1232</v>
      </c>
      <c r="BCG2187" s="594" t="s">
        <v>1232</v>
      </c>
      <c r="BCH2187" s="594" t="s">
        <v>1232</v>
      </c>
      <c r="BCI2187" s="594" t="s">
        <v>1232</v>
      </c>
      <c r="BCJ2187" s="594" t="s">
        <v>1232</v>
      </c>
      <c r="BCK2187" s="594" t="s">
        <v>1232</v>
      </c>
      <c r="BCL2187" s="594" t="s">
        <v>1232</v>
      </c>
      <c r="BCM2187" s="594" t="s">
        <v>1232</v>
      </c>
      <c r="BCN2187" s="594" t="s">
        <v>1232</v>
      </c>
      <c r="BCO2187" s="594" t="s">
        <v>1232</v>
      </c>
      <c r="BCP2187" s="594" t="s">
        <v>1232</v>
      </c>
      <c r="BCQ2187" s="594" t="s">
        <v>1232</v>
      </c>
      <c r="BCR2187" s="594" t="s">
        <v>1232</v>
      </c>
      <c r="BCS2187" s="594" t="s">
        <v>1232</v>
      </c>
      <c r="BCT2187" s="594" t="s">
        <v>1232</v>
      </c>
      <c r="BCU2187" s="594" t="s">
        <v>1232</v>
      </c>
      <c r="BCV2187" s="594" t="s">
        <v>1232</v>
      </c>
      <c r="BCW2187" s="594" t="s">
        <v>1232</v>
      </c>
      <c r="BCX2187" s="594" t="s">
        <v>1232</v>
      </c>
      <c r="BCY2187" s="594" t="s">
        <v>1232</v>
      </c>
      <c r="BCZ2187" s="594" t="s">
        <v>1232</v>
      </c>
      <c r="BDA2187" s="594" t="s">
        <v>1232</v>
      </c>
      <c r="BDB2187" s="594" t="s">
        <v>1232</v>
      </c>
      <c r="BDC2187" s="594" t="s">
        <v>1232</v>
      </c>
      <c r="BDD2187" s="594" t="s">
        <v>1232</v>
      </c>
      <c r="BDE2187" s="594" t="s">
        <v>1232</v>
      </c>
      <c r="BDF2187" s="594" t="s">
        <v>1232</v>
      </c>
      <c r="BDG2187" s="594" t="s">
        <v>1232</v>
      </c>
      <c r="BDH2187" s="594" t="s">
        <v>1232</v>
      </c>
      <c r="BDI2187" s="594" t="s">
        <v>1232</v>
      </c>
      <c r="BDJ2187" s="594" t="s">
        <v>1232</v>
      </c>
      <c r="BDK2187" s="594" t="s">
        <v>1232</v>
      </c>
      <c r="BDL2187" s="594" t="s">
        <v>1232</v>
      </c>
      <c r="BDM2187" s="594" t="s">
        <v>1232</v>
      </c>
      <c r="BDN2187" s="594" t="s">
        <v>1232</v>
      </c>
      <c r="BDO2187" s="594" t="s">
        <v>1232</v>
      </c>
      <c r="BDP2187" s="594" t="s">
        <v>1232</v>
      </c>
      <c r="BDQ2187" s="594" t="s">
        <v>1232</v>
      </c>
      <c r="BDR2187" s="594" t="s">
        <v>1232</v>
      </c>
      <c r="BDS2187" s="594" t="s">
        <v>1232</v>
      </c>
      <c r="BDT2187" s="594" t="s">
        <v>1232</v>
      </c>
      <c r="BDU2187" s="594" t="s">
        <v>1232</v>
      </c>
      <c r="BDV2187" s="594" t="s">
        <v>1232</v>
      </c>
      <c r="BDW2187" s="594" t="s">
        <v>1232</v>
      </c>
      <c r="BDX2187" s="594" t="s">
        <v>1232</v>
      </c>
      <c r="BDY2187" s="594" t="s">
        <v>1232</v>
      </c>
      <c r="BDZ2187" s="594" t="s">
        <v>1232</v>
      </c>
      <c r="BEA2187" s="594" t="s">
        <v>1232</v>
      </c>
      <c r="BEB2187" s="594" t="s">
        <v>1232</v>
      </c>
      <c r="BEC2187" s="594" t="s">
        <v>1232</v>
      </c>
      <c r="BED2187" s="594" t="s">
        <v>1232</v>
      </c>
      <c r="BEE2187" s="594" t="s">
        <v>1232</v>
      </c>
      <c r="BEF2187" s="594" t="s">
        <v>1232</v>
      </c>
      <c r="BEG2187" s="594" t="s">
        <v>1232</v>
      </c>
      <c r="BEH2187" s="594" t="s">
        <v>1232</v>
      </c>
      <c r="BEI2187" s="594" t="s">
        <v>1232</v>
      </c>
      <c r="BEJ2187" s="594" t="s">
        <v>1232</v>
      </c>
      <c r="BEK2187" s="594" t="s">
        <v>1232</v>
      </c>
      <c r="BEL2187" s="594" t="s">
        <v>1232</v>
      </c>
      <c r="BEM2187" s="594" t="s">
        <v>1232</v>
      </c>
      <c r="BEN2187" s="594" t="s">
        <v>1232</v>
      </c>
      <c r="BEO2187" s="594" t="s">
        <v>1232</v>
      </c>
      <c r="BEP2187" s="594" t="s">
        <v>1232</v>
      </c>
      <c r="BEQ2187" s="594" t="s">
        <v>1232</v>
      </c>
      <c r="BER2187" s="594" t="s">
        <v>1232</v>
      </c>
      <c r="BES2187" s="594" t="s">
        <v>1232</v>
      </c>
      <c r="BET2187" s="594" t="s">
        <v>1232</v>
      </c>
      <c r="BEU2187" s="594" t="s">
        <v>1232</v>
      </c>
      <c r="BEV2187" s="594" t="s">
        <v>1232</v>
      </c>
      <c r="BEW2187" s="594" t="s">
        <v>1232</v>
      </c>
      <c r="BEX2187" s="594" t="s">
        <v>1232</v>
      </c>
      <c r="BEY2187" s="594" t="s">
        <v>1232</v>
      </c>
      <c r="BEZ2187" s="594" t="s">
        <v>1232</v>
      </c>
      <c r="BFA2187" s="594" t="s">
        <v>1232</v>
      </c>
      <c r="BFB2187" s="594" t="s">
        <v>1232</v>
      </c>
      <c r="BFC2187" s="594" t="s">
        <v>1232</v>
      </c>
      <c r="BFD2187" s="594" t="s">
        <v>1232</v>
      </c>
      <c r="BFE2187" s="594" t="s">
        <v>1232</v>
      </c>
      <c r="BFF2187" s="594" t="s">
        <v>1232</v>
      </c>
      <c r="BFG2187" s="594" t="s">
        <v>1232</v>
      </c>
      <c r="BFH2187" s="594" t="s">
        <v>1232</v>
      </c>
      <c r="BFI2187" s="594" t="s">
        <v>1232</v>
      </c>
      <c r="BFJ2187" s="594" t="s">
        <v>1232</v>
      </c>
      <c r="BFK2187" s="594" t="s">
        <v>1232</v>
      </c>
      <c r="BFL2187" s="594" t="s">
        <v>1232</v>
      </c>
      <c r="BFM2187" s="594" t="s">
        <v>1232</v>
      </c>
      <c r="BFN2187" s="594" t="s">
        <v>1232</v>
      </c>
      <c r="BFO2187" s="594" t="s">
        <v>1232</v>
      </c>
      <c r="BFP2187" s="594" t="s">
        <v>1232</v>
      </c>
      <c r="BFQ2187" s="594" t="s">
        <v>1232</v>
      </c>
      <c r="BFR2187" s="594" t="s">
        <v>1232</v>
      </c>
      <c r="BFS2187" s="594" t="s">
        <v>1232</v>
      </c>
      <c r="BFT2187" s="594" t="s">
        <v>1232</v>
      </c>
      <c r="BFU2187" s="594" t="s">
        <v>1232</v>
      </c>
      <c r="BFV2187" s="594" t="s">
        <v>1232</v>
      </c>
      <c r="BFW2187" s="594" t="s">
        <v>1232</v>
      </c>
      <c r="BFX2187" s="594" t="s">
        <v>1232</v>
      </c>
      <c r="BFY2187" s="594" t="s">
        <v>1232</v>
      </c>
      <c r="BFZ2187" s="594" t="s">
        <v>1232</v>
      </c>
      <c r="BGA2187" s="594" t="s">
        <v>1232</v>
      </c>
      <c r="BGB2187" s="594" t="s">
        <v>1232</v>
      </c>
      <c r="BGC2187" s="594" t="s">
        <v>1232</v>
      </c>
      <c r="BGD2187" s="594" t="s">
        <v>1232</v>
      </c>
      <c r="BGE2187" s="594" t="s">
        <v>1232</v>
      </c>
      <c r="BGF2187" s="594" t="s">
        <v>1232</v>
      </c>
      <c r="BGG2187" s="594" t="s">
        <v>1232</v>
      </c>
      <c r="BGH2187" s="594" t="s">
        <v>1232</v>
      </c>
      <c r="BGI2187" s="594" t="s">
        <v>1232</v>
      </c>
      <c r="BGJ2187" s="594" t="s">
        <v>1232</v>
      </c>
      <c r="BGK2187" s="594" t="s">
        <v>1232</v>
      </c>
      <c r="BGL2187" s="594" t="s">
        <v>1232</v>
      </c>
      <c r="BGM2187" s="594" t="s">
        <v>1232</v>
      </c>
      <c r="BGN2187" s="594" t="s">
        <v>1232</v>
      </c>
      <c r="BGO2187" s="594" t="s">
        <v>1232</v>
      </c>
      <c r="BGP2187" s="594" t="s">
        <v>1232</v>
      </c>
      <c r="BGQ2187" s="594" t="s">
        <v>1232</v>
      </c>
      <c r="BGR2187" s="594" t="s">
        <v>1232</v>
      </c>
      <c r="BGS2187" s="594" t="s">
        <v>1232</v>
      </c>
      <c r="BGT2187" s="594" t="s">
        <v>1232</v>
      </c>
      <c r="BGU2187" s="594" t="s">
        <v>1232</v>
      </c>
      <c r="BGV2187" s="594" t="s">
        <v>1232</v>
      </c>
      <c r="BGW2187" s="594" t="s">
        <v>1232</v>
      </c>
      <c r="BGX2187" s="594" t="s">
        <v>1232</v>
      </c>
      <c r="BGY2187" s="594" t="s">
        <v>1232</v>
      </c>
      <c r="BGZ2187" s="594" t="s">
        <v>1232</v>
      </c>
      <c r="BHA2187" s="594" t="s">
        <v>1232</v>
      </c>
      <c r="BHB2187" s="594" t="s">
        <v>1232</v>
      </c>
      <c r="BHC2187" s="594" t="s">
        <v>1232</v>
      </c>
      <c r="BHD2187" s="594" t="s">
        <v>1232</v>
      </c>
      <c r="BHE2187" s="594" t="s">
        <v>1232</v>
      </c>
      <c r="BHF2187" s="594" t="s">
        <v>1232</v>
      </c>
      <c r="BHG2187" s="594" t="s">
        <v>1232</v>
      </c>
      <c r="BHH2187" s="594" t="s">
        <v>1232</v>
      </c>
      <c r="BHI2187" s="594" t="s">
        <v>1232</v>
      </c>
      <c r="BHJ2187" s="594" t="s">
        <v>1232</v>
      </c>
      <c r="BHK2187" s="594" t="s">
        <v>1232</v>
      </c>
      <c r="BHL2187" s="594" t="s">
        <v>1232</v>
      </c>
      <c r="BHM2187" s="594" t="s">
        <v>1232</v>
      </c>
      <c r="BHN2187" s="594" t="s">
        <v>1232</v>
      </c>
      <c r="BHO2187" s="594" t="s">
        <v>1232</v>
      </c>
      <c r="BHP2187" s="594" t="s">
        <v>1232</v>
      </c>
      <c r="BHQ2187" s="594" t="s">
        <v>1232</v>
      </c>
      <c r="BHR2187" s="594" t="s">
        <v>1232</v>
      </c>
      <c r="BHS2187" s="594" t="s">
        <v>1232</v>
      </c>
      <c r="BHT2187" s="594" t="s">
        <v>1232</v>
      </c>
      <c r="BHU2187" s="594" t="s">
        <v>1232</v>
      </c>
      <c r="BHV2187" s="594" t="s">
        <v>1232</v>
      </c>
      <c r="BHW2187" s="594" t="s">
        <v>1232</v>
      </c>
      <c r="BHX2187" s="594" t="s">
        <v>1232</v>
      </c>
      <c r="BHY2187" s="594" t="s">
        <v>1232</v>
      </c>
      <c r="BHZ2187" s="594" t="s">
        <v>1232</v>
      </c>
      <c r="BIA2187" s="594" t="s">
        <v>1232</v>
      </c>
      <c r="BIB2187" s="594" t="s">
        <v>1232</v>
      </c>
      <c r="BIC2187" s="594" t="s">
        <v>1232</v>
      </c>
      <c r="BID2187" s="594" t="s">
        <v>1232</v>
      </c>
      <c r="BIE2187" s="594" t="s">
        <v>1232</v>
      </c>
      <c r="BIF2187" s="594" t="s">
        <v>1232</v>
      </c>
      <c r="BIG2187" s="594" t="s">
        <v>1232</v>
      </c>
      <c r="BIH2187" s="594" t="s">
        <v>1232</v>
      </c>
      <c r="BII2187" s="594" t="s">
        <v>1232</v>
      </c>
      <c r="BIJ2187" s="594" t="s">
        <v>1232</v>
      </c>
      <c r="BIK2187" s="594" t="s">
        <v>1232</v>
      </c>
      <c r="BIL2187" s="594" t="s">
        <v>1232</v>
      </c>
      <c r="BIM2187" s="594" t="s">
        <v>1232</v>
      </c>
      <c r="BIN2187" s="594" t="s">
        <v>1232</v>
      </c>
      <c r="BIO2187" s="594" t="s">
        <v>1232</v>
      </c>
      <c r="BIP2187" s="594" t="s">
        <v>1232</v>
      </c>
      <c r="BIQ2187" s="594" t="s">
        <v>1232</v>
      </c>
      <c r="BIR2187" s="594" t="s">
        <v>1232</v>
      </c>
      <c r="BIS2187" s="594" t="s">
        <v>1232</v>
      </c>
      <c r="BIT2187" s="594" t="s">
        <v>1232</v>
      </c>
      <c r="BIU2187" s="594" t="s">
        <v>1232</v>
      </c>
      <c r="BIV2187" s="594" t="s">
        <v>1232</v>
      </c>
      <c r="BIW2187" s="594" t="s">
        <v>1232</v>
      </c>
      <c r="BIX2187" s="594" t="s">
        <v>1232</v>
      </c>
      <c r="BIY2187" s="594" t="s">
        <v>1232</v>
      </c>
      <c r="BIZ2187" s="594" t="s">
        <v>1232</v>
      </c>
      <c r="BJA2187" s="594" t="s">
        <v>1232</v>
      </c>
      <c r="BJB2187" s="594" t="s">
        <v>1232</v>
      </c>
      <c r="BJC2187" s="594" t="s">
        <v>1232</v>
      </c>
      <c r="BJD2187" s="594" t="s">
        <v>1232</v>
      </c>
      <c r="BJE2187" s="594" t="s">
        <v>1232</v>
      </c>
      <c r="BJF2187" s="594" t="s">
        <v>1232</v>
      </c>
      <c r="BJG2187" s="594" t="s">
        <v>1232</v>
      </c>
      <c r="BJH2187" s="594" t="s">
        <v>1232</v>
      </c>
      <c r="BJI2187" s="594" t="s">
        <v>1232</v>
      </c>
      <c r="BJJ2187" s="594" t="s">
        <v>1232</v>
      </c>
      <c r="BJK2187" s="594" t="s">
        <v>1232</v>
      </c>
      <c r="BJL2187" s="594" t="s">
        <v>1232</v>
      </c>
      <c r="BJM2187" s="594" t="s">
        <v>1232</v>
      </c>
      <c r="BJN2187" s="594" t="s">
        <v>1232</v>
      </c>
      <c r="BJO2187" s="594" t="s">
        <v>1232</v>
      </c>
      <c r="BJP2187" s="594" t="s">
        <v>1232</v>
      </c>
      <c r="BJQ2187" s="594" t="s">
        <v>1232</v>
      </c>
      <c r="BJR2187" s="594" t="s">
        <v>1232</v>
      </c>
      <c r="BJS2187" s="594" t="s">
        <v>1232</v>
      </c>
      <c r="BJT2187" s="594" t="s">
        <v>1232</v>
      </c>
      <c r="BJU2187" s="594" t="s">
        <v>1232</v>
      </c>
      <c r="BJV2187" s="594" t="s">
        <v>1232</v>
      </c>
      <c r="BJW2187" s="594" t="s">
        <v>1232</v>
      </c>
      <c r="BJX2187" s="594" t="s">
        <v>1232</v>
      </c>
      <c r="BJY2187" s="594" t="s">
        <v>1232</v>
      </c>
      <c r="BJZ2187" s="594" t="s">
        <v>1232</v>
      </c>
      <c r="BKA2187" s="594" t="s">
        <v>1232</v>
      </c>
      <c r="BKB2187" s="594" t="s">
        <v>1232</v>
      </c>
      <c r="BKC2187" s="594" t="s">
        <v>1232</v>
      </c>
      <c r="BKD2187" s="594" t="s">
        <v>1232</v>
      </c>
      <c r="BKE2187" s="594" t="s">
        <v>1232</v>
      </c>
      <c r="BKF2187" s="594" t="s">
        <v>1232</v>
      </c>
      <c r="BKG2187" s="594" t="s">
        <v>1232</v>
      </c>
      <c r="BKH2187" s="594" t="s">
        <v>1232</v>
      </c>
      <c r="BKI2187" s="594" t="s">
        <v>1232</v>
      </c>
      <c r="BKJ2187" s="594" t="s">
        <v>1232</v>
      </c>
      <c r="BKK2187" s="594" t="s">
        <v>1232</v>
      </c>
      <c r="BKL2187" s="594" t="s">
        <v>1232</v>
      </c>
      <c r="BKM2187" s="594" t="s">
        <v>1232</v>
      </c>
      <c r="BKN2187" s="594" t="s">
        <v>1232</v>
      </c>
      <c r="BKO2187" s="594" t="s">
        <v>1232</v>
      </c>
      <c r="BKP2187" s="594" t="s">
        <v>1232</v>
      </c>
      <c r="BKQ2187" s="594" t="s">
        <v>1232</v>
      </c>
      <c r="BKR2187" s="594" t="s">
        <v>1232</v>
      </c>
      <c r="BKS2187" s="594" t="s">
        <v>1232</v>
      </c>
      <c r="BKT2187" s="594" t="s">
        <v>1232</v>
      </c>
      <c r="BKU2187" s="594" t="s">
        <v>1232</v>
      </c>
      <c r="BKV2187" s="594" t="s">
        <v>1232</v>
      </c>
      <c r="BKW2187" s="594" t="s">
        <v>1232</v>
      </c>
      <c r="BKX2187" s="594" t="s">
        <v>1232</v>
      </c>
      <c r="BKY2187" s="594" t="s">
        <v>1232</v>
      </c>
      <c r="BKZ2187" s="594" t="s">
        <v>1232</v>
      </c>
      <c r="BLA2187" s="594" t="s">
        <v>1232</v>
      </c>
      <c r="BLB2187" s="594" t="s">
        <v>1232</v>
      </c>
      <c r="BLC2187" s="594" t="s">
        <v>1232</v>
      </c>
      <c r="BLD2187" s="594" t="s">
        <v>1232</v>
      </c>
      <c r="BLE2187" s="594" t="s">
        <v>1232</v>
      </c>
      <c r="BLF2187" s="594" t="s">
        <v>1232</v>
      </c>
      <c r="BLG2187" s="594" t="s">
        <v>1232</v>
      </c>
      <c r="BLH2187" s="594" t="s">
        <v>1232</v>
      </c>
      <c r="BLI2187" s="594" t="s">
        <v>1232</v>
      </c>
      <c r="BLJ2187" s="594" t="s">
        <v>1232</v>
      </c>
      <c r="BLK2187" s="594" t="s">
        <v>1232</v>
      </c>
      <c r="BLL2187" s="594" t="s">
        <v>1232</v>
      </c>
      <c r="BLM2187" s="594" t="s">
        <v>1232</v>
      </c>
      <c r="BLN2187" s="594" t="s">
        <v>1232</v>
      </c>
      <c r="BLO2187" s="594" t="s">
        <v>1232</v>
      </c>
      <c r="BLP2187" s="594" t="s">
        <v>1232</v>
      </c>
      <c r="BLQ2187" s="594" t="s">
        <v>1232</v>
      </c>
      <c r="BLR2187" s="594" t="s">
        <v>1232</v>
      </c>
      <c r="BLS2187" s="594" t="s">
        <v>1232</v>
      </c>
      <c r="BLT2187" s="594" t="s">
        <v>1232</v>
      </c>
      <c r="BLU2187" s="594" t="s">
        <v>1232</v>
      </c>
      <c r="BLV2187" s="594" t="s">
        <v>1232</v>
      </c>
      <c r="BLW2187" s="594" t="s">
        <v>1232</v>
      </c>
      <c r="BLX2187" s="594" t="s">
        <v>1232</v>
      </c>
      <c r="BLY2187" s="594" t="s">
        <v>1232</v>
      </c>
      <c r="BLZ2187" s="594" t="s">
        <v>1232</v>
      </c>
      <c r="BMA2187" s="594" t="s">
        <v>1232</v>
      </c>
      <c r="BMB2187" s="594" t="s">
        <v>1232</v>
      </c>
      <c r="BMC2187" s="594" t="s">
        <v>1232</v>
      </c>
      <c r="BMD2187" s="594" t="s">
        <v>1232</v>
      </c>
      <c r="BME2187" s="594" t="s">
        <v>1232</v>
      </c>
      <c r="BMF2187" s="594" t="s">
        <v>1232</v>
      </c>
      <c r="BMG2187" s="594" t="s">
        <v>1232</v>
      </c>
      <c r="BMH2187" s="594" t="s">
        <v>1232</v>
      </c>
      <c r="BMI2187" s="594" t="s">
        <v>1232</v>
      </c>
      <c r="BMJ2187" s="594" t="s">
        <v>1232</v>
      </c>
      <c r="BMK2187" s="594" t="s">
        <v>1232</v>
      </c>
      <c r="BML2187" s="594" t="s">
        <v>1232</v>
      </c>
      <c r="BMM2187" s="594" t="s">
        <v>1232</v>
      </c>
      <c r="BMN2187" s="594" t="s">
        <v>1232</v>
      </c>
      <c r="BMO2187" s="594" t="s">
        <v>1232</v>
      </c>
      <c r="BMP2187" s="594" t="s">
        <v>1232</v>
      </c>
      <c r="BMQ2187" s="594" t="s">
        <v>1232</v>
      </c>
      <c r="BMR2187" s="594" t="s">
        <v>1232</v>
      </c>
      <c r="BMS2187" s="594" t="s">
        <v>1232</v>
      </c>
      <c r="BMT2187" s="594" t="s">
        <v>1232</v>
      </c>
      <c r="BMU2187" s="594" t="s">
        <v>1232</v>
      </c>
      <c r="BMV2187" s="594" t="s">
        <v>1232</v>
      </c>
      <c r="BMW2187" s="594" t="s">
        <v>1232</v>
      </c>
      <c r="BMX2187" s="594" t="s">
        <v>1232</v>
      </c>
      <c r="BMY2187" s="594" t="s">
        <v>1232</v>
      </c>
      <c r="BMZ2187" s="594" t="s">
        <v>1232</v>
      </c>
      <c r="BNA2187" s="594" t="s">
        <v>1232</v>
      </c>
      <c r="BNB2187" s="594" t="s">
        <v>1232</v>
      </c>
      <c r="BNC2187" s="594" t="s">
        <v>1232</v>
      </c>
      <c r="BND2187" s="594" t="s">
        <v>1232</v>
      </c>
      <c r="BNE2187" s="594" t="s">
        <v>1232</v>
      </c>
      <c r="BNF2187" s="594" t="s">
        <v>1232</v>
      </c>
      <c r="BNG2187" s="594" t="s">
        <v>1232</v>
      </c>
      <c r="BNH2187" s="594" t="s">
        <v>1232</v>
      </c>
      <c r="BNI2187" s="594" t="s">
        <v>1232</v>
      </c>
      <c r="BNJ2187" s="594" t="s">
        <v>1232</v>
      </c>
      <c r="BNK2187" s="594" t="s">
        <v>1232</v>
      </c>
      <c r="BNL2187" s="594" t="s">
        <v>1232</v>
      </c>
      <c r="BNM2187" s="594" t="s">
        <v>1232</v>
      </c>
      <c r="BNN2187" s="594" t="s">
        <v>1232</v>
      </c>
      <c r="BNO2187" s="594" t="s">
        <v>1232</v>
      </c>
      <c r="BNP2187" s="594" t="s">
        <v>1232</v>
      </c>
      <c r="BNQ2187" s="594" t="s">
        <v>1232</v>
      </c>
      <c r="BNR2187" s="594" t="s">
        <v>1232</v>
      </c>
      <c r="BNS2187" s="594" t="s">
        <v>1232</v>
      </c>
      <c r="BNT2187" s="594" t="s">
        <v>1232</v>
      </c>
      <c r="BNU2187" s="594" t="s">
        <v>1232</v>
      </c>
      <c r="BNV2187" s="594" t="s">
        <v>1232</v>
      </c>
      <c r="BNW2187" s="594" t="s">
        <v>1232</v>
      </c>
      <c r="BNX2187" s="594" t="s">
        <v>1232</v>
      </c>
      <c r="BNY2187" s="594" t="s">
        <v>1232</v>
      </c>
      <c r="BNZ2187" s="594" t="s">
        <v>1232</v>
      </c>
      <c r="BOA2187" s="594" t="s">
        <v>1232</v>
      </c>
      <c r="BOB2187" s="594" t="s">
        <v>1232</v>
      </c>
      <c r="BOC2187" s="594" t="s">
        <v>1232</v>
      </c>
      <c r="BOD2187" s="594" t="s">
        <v>1232</v>
      </c>
      <c r="BOE2187" s="594" t="s">
        <v>1232</v>
      </c>
      <c r="BOF2187" s="594" t="s">
        <v>1232</v>
      </c>
      <c r="BOG2187" s="594" t="s">
        <v>1232</v>
      </c>
      <c r="BOH2187" s="594" t="s">
        <v>1232</v>
      </c>
      <c r="BOI2187" s="594" t="s">
        <v>1232</v>
      </c>
      <c r="BOJ2187" s="594" t="s">
        <v>1232</v>
      </c>
      <c r="BOK2187" s="594" t="s">
        <v>1232</v>
      </c>
      <c r="BOL2187" s="594" t="s">
        <v>1232</v>
      </c>
      <c r="BOM2187" s="594" t="s">
        <v>1232</v>
      </c>
      <c r="BON2187" s="594" t="s">
        <v>1232</v>
      </c>
      <c r="BOO2187" s="594" t="s">
        <v>1232</v>
      </c>
      <c r="BOP2187" s="594" t="s">
        <v>1232</v>
      </c>
      <c r="BOQ2187" s="594" t="s">
        <v>1232</v>
      </c>
      <c r="BOR2187" s="594" t="s">
        <v>1232</v>
      </c>
      <c r="BOS2187" s="594" t="s">
        <v>1232</v>
      </c>
      <c r="BOT2187" s="594" t="s">
        <v>1232</v>
      </c>
      <c r="BOU2187" s="594" t="s">
        <v>1232</v>
      </c>
      <c r="BOV2187" s="594" t="s">
        <v>1232</v>
      </c>
      <c r="BOW2187" s="594" t="s">
        <v>1232</v>
      </c>
      <c r="BOX2187" s="594" t="s">
        <v>1232</v>
      </c>
      <c r="BOY2187" s="594" t="s">
        <v>1232</v>
      </c>
      <c r="BOZ2187" s="594" t="s">
        <v>1232</v>
      </c>
      <c r="BPA2187" s="594" t="s">
        <v>1232</v>
      </c>
      <c r="BPB2187" s="594" t="s">
        <v>1232</v>
      </c>
      <c r="BPC2187" s="594" t="s">
        <v>1232</v>
      </c>
      <c r="BPD2187" s="594" t="s">
        <v>1232</v>
      </c>
      <c r="BPE2187" s="594" t="s">
        <v>1232</v>
      </c>
      <c r="BPF2187" s="594" t="s">
        <v>1232</v>
      </c>
      <c r="BPG2187" s="594" t="s">
        <v>1232</v>
      </c>
      <c r="BPH2187" s="594" t="s">
        <v>1232</v>
      </c>
      <c r="BPI2187" s="594" t="s">
        <v>1232</v>
      </c>
      <c r="BPJ2187" s="594" t="s">
        <v>1232</v>
      </c>
      <c r="BPK2187" s="594" t="s">
        <v>1232</v>
      </c>
      <c r="BPL2187" s="594" t="s">
        <v>1232</v>
      </c>
      <c r="BPM2187" s="594" t="s">
        <v>1232</v>
      </c>
      <c r="BPN2187" s="594" t="s">
        <v>1232</v>
      </c>
      <c r="BPO2187" s="594" t="s">
        <v>1232</v>
      </c>
      <c r="BPP2187" s="594" t="s">
        <v>1232</v>
      </c>
      <c r="BPQ2187" s="594" t="s">
        <v>1232</v>
      </c>
      <c r="BPR2187" s="594" t="s">
        <v>1232</v>
      </c>
      <c r="BPS2187" s="594" t="s">
        <v>1232</v>
      </c>
      <c r="BPT2187" s="594" t="s">
        <v>1232</v>
      </c>
      <c r="BPU2187" s="594" t="s">
        <v>1232</v>
      </c>
      <c r="BPV2187" s="594" t="s">
        <v>1232</v>
      </c>
      <c r="BPW2187" s="594" t="s">
        <v>1232</v>
      </c>
      <c r="BPX2187" s="594" t="s">
        <v>1232</v>
      </c>
      <c r="BPY2187" s="594" t="s">
        <v>1232</v>
      </c>
      <c r="BPZ2187" s="594" t="s">
        <v>1232</v>
      </c>
      <c r="BQA2187" s="594" t="s">
        <v>1232</v>
      </c>
      <c r="BQB2187" s="594" t="s">
        <v>1232</v>
      </c>
      <c r="BQC2187" s="594" t="s">
        <v>1232</v>
      </c>
      <c r="BQD2187" s="594" t="s">
        <v>1232</v>
      </c>
      <c r="BQE2187" s="594" t="s">
        <v>1232</v>
      </c>
      <c r="BQF2187" s="594" t="s">
        <v>1232</v>
      </c>
      <c r="BQG2187" s="594" t="s">
        <v>1232</v>
      </c>
      <c r="BQH2187" s="594" t="s">
        <v>1232</v>
      </c>
      <c r="BQI2187" s="594" t="s">
        <v>1232</v>
      </c>
      <c r="BQJ2187" s="594" t="s">
        <v>1232</v>
      </c>
      <c r="BQK2187" s="594" t="s">
        <v>1232</v>
      </c>
      <c r="BQL2187" s="594" t="s">
        <v>1232</v>
      </c>
      <c r="BQM2187" s="594" t="s">
        <v>1232</v>
      </c>
      <c r="BQN2187" s="594" t="s">
        <v>1232</v>
      </c>
      <c r="BQO2187" s="594" t="s">
        <v>1232</v>
      </c>
      <c r="BQP2187" s="594" t="s">
        <v>1232</v>
      </c>
      <c r="BQQ2187" s="594" t="s">
        <v>1232</v>
      </c>
      <c r="BQR2187" s="594" t="s">
        <v>1232</v>
      </c>
      <c r="BQS2187" s="594" t="s">
        <v>1232</v>
      </c>
      <c r="BQT2187" s="594" t="s">
        <v>1232</v>
      </c>
      <c r="BQU2187" s="594" t="s">
        <v>1232</v>
      </c>
      <c r="BQV2187" s="594" t="s">
        <v>1232</v>
      </c>
      <c r="BQW2187" s="594" t="s">
        <v>1232</v>
      </c>
      <c r="BQX2187" s="594" t="s">
        <v>1232</v>
      </c>
      <c r="BQY2187" s="594" t="s">
        <v>1232</v>
      </c>
      <c r="BQZ2187" s="594" t="s">
        <v>1232</v>
      </c>
      <c r="BRA2187" s="594" t="s">
        <v>1232</v>
      </c>
      <c r="BRB2187" s="594" t="s">
        <v>1232</v>
      </c>
      <c r="BRC2187" s="594" t="s">
        <v>1232</v>
      </c>
      <c r="BRD2187" s="594" t="s">
        <v>1232</v>
      </c>
      <c r="BRE2187" s="594" t="s">
        <v>1232</v>
      </c>
      <c r="BRF2187" s="594" t="s">
        <v>1232</v>
      </c>
      <c r="BRG2187" s="594" t="s">
        <v>1232</v>
      </c>
      <c r="BRH2187" s="594" t="s">
        <v>1232</v>
      </c>
      <c r="BRI2187" s="594" t="s">
        <v>1232</v>
      </c>
      <c r="BRJ2187" s="594" t="s">
        <v>1232</v>
      </c>
      <c r="BRK2187" s="594" t="s">
        <v>1232</v>
      </c>
      <c r="BRL2187" s="594" t="s">
        <v>1232</v>
      </c>
      <c r="BRM2187" s="594" t="s">
        <v>1232</v>
      </c>
      <c r="BRN2187" s="594" t="s">
        <v>1232</v>
      </c>
      <c r="BRO2187" s="594" t="s">
        <v>1232</v>
      </c>
      <c r="BRP2187" s="594" t="s">
        <v>1232</v>
      </c>
      <c r="BRQ2187" s="594" t="s">
        <v>1232</v>
      </c>
      <c r="BRR2187" s="594" t="s">
        <v>1232</v>
      </c>
      <c r="BRS2187" s="594" t="s">
        <v>1232</v>
      </c>
      <c r="BRT2187" s="594" t="s">
        <v>1232</v>
      </c>
      <c r="BRU2187" s="594" t="s">
        <v>1232</v>
      </c>
      <c r="BRV2187" s="594" t="s">
        <v>1232</v>
      </c>
      <c r="BRW2187" s="594" t="s">
        <v>1232</v>
      </c>
      <c r="BRX2187" s="594" t="s">
        <v>1232</v>
      </c>
      <c r="BRY2187" s="594" t="s">
        <v>1232</v>
      </c>
      <c r="BRZ2187" s="594" t="s">
        <v>1232</v>
      </c>
      <c r="BSA2187" s="594" t="s">
        <v>1232</v>
      </c>
      <c r="BSB2187" s="594" t="s">
        <v>1232</v>
      </c>
      <c r="BSC2187" s="594" t="s">
        <v>1232</v>
      </c>
      <c r="BSD2187" s="594" t="s">
        <v>1232</v>
      </c>
      <c r="BSE2187" s="594" t="s">
        <v>1232</v>
      </c>
      <c r="BSF2187" s="594" t="s">
        <v>1232</v>
      </c>
      <c r="BSG2187" s="594" t="s">
        <v>1232</v>
      </c>
      <c r="BSH2187" s="594" t="s">
        <v>1232</v>
      </c>
      <c r="BSI2187" s="594" t="s">
        <v>1232</v>
      </c>
      <c r="BSJ2187" s="594" t="s">
        <v>1232</v>
      </c>
      <c r="BSK2187" s="594" t="s">
        <v>1232</v>
      </c>
      <c r="BSL2187" s="594" t="s">
        <v>1232</v>
      </c>
      <c r="BSM2187" s="594" t="s">
        <v>1232</v>
      </c>
      <c r="BSN2187" s="594" t="s">
        <v>1232</v>
      </c>
      <c r="BSO2187" s="594" t="s">
        <v>1232</v>
      </c>
      <c r="BSP2187" s="594" t="s">
        <v>1232</v>
      </c>
      <c r="BSQ2187" s="594" t="s">
        <v>1232</v>
      </c>
      <c r="BSR2187" s="594" t="s">
        <v>1232</v>
      </c>
      <c r="BSS2187" s="594" t="s">
        <v>1232</v>
      </c>
      <c r="BST2187" s="594" t="s">
        <v>1232</v>
      </c>
      <c r="BSU2187" s="594" t="s">
        <v>1232</v>
      </c>
      <c r="BSV2187" s="594" t="s">
        <v>1232</v>
      </c>
      <c r="BSW2187" s="594" t="s">
        <v>1232</v>
      </c>
      <c r="BSX2187" s="594" t="s">
        <v>1232</v>
      </c>
      <c r="BSY2187" s="594" t="s">
        <v>1232</v>
      </c>
      <c r="BSZ2187" s="594" t="s">
        <v>1232</v>
      </c>
      <c r="BTA2187" s="594" t="s">
        <v>1232</v>
      </c>
      <c r="BTB2187" s="594" t="s">
        <v>1232</v>
      </c>
      <c r="BTC2187" s="594" t="s">
        <v>1232</v>
      </c>
      <c r="BTD2187" s="594" t="s">
        <v>1232</v>
      </c>
      <c r="BTE2187" s="594" t="s">
        <v>1232</v>
      </c>
      <c r="BTF2187" s="594" t="s">
        <v>1232</v>
      </c>
      <c r="BTG2187" s="594" t="s">
        <v>1232</v>
      </c>
      <c r="BTH2187" s="594" t="s">
        <v>1232</v>
      </c>
      <c r="BTI2187" s="594" t="s">
        <v>1232</v>
      </c>
      <c r="BTJ2187" s="594" t="s">
        <v>1232</v>
      </c>
      <c r="BTK2187" s="594" t="s">
        <v>1232</v>
      </c>
      <c r="BTL2187" s="594" t="s">
        <v>1232</v>
      </c>
      <c r="BTM2187" s="594" t="s">
        <v>1232</v>
      </c>
      <c r="BTN2187" s="594" t="s">
        <v>1232</v>
      </c>
      <c r="BTO2187" s="594" t="s">
        <v>1232</v>
      </c>
      <c r="BTP2187" s="594" t="s">
        <v>1232</v>
      </c>
      <c r="BTQ2187" s="594" t="s">
        <v>1232</v>
      </c>
      <c r="BTR2187" s="594" t="s">
        <v>1232</v>
      </c>
      <c r="BTS2187" s="594" t="s">
        <v>1232</v>
      </c>
      <c r="BTT2187" s="594" t="s">
        <v>1232</v>
      </c>
      <c r="BTU2187" s="594" t="s">
        <v>1232</v>
      </c>
      <c r="BTV2187" s="594" t="s">
        <v>1232</v>
      </c>
      <c r="BTW2187" s="594" t="s">
        <v>1232</v>
      </c>
      <c r="BTX2187" s="594" t="s">
        <v>1232</v>
      </c>
      <c r="BTY2187" s="594" t="s">
        <v>1232</v>
      </c>
      <c r="BTZ2187" s="594" t="s">
        <v>1232</v>
      </c>
      <c r="BUA2187" s="594" t="s">
        <v>1232</v>
      </c>
      <c r="BUB2187" s="594" t="s">
        <v>1232</v>
      </c>
      <c r="BUC2187" s="594" t="s">
        <v>1232</v>
      </c>
      <c r="BUD2187" s="594" t="s">
        <v>1232</v>
      </c>
      <c r="BUE2187" s="594" t="s">
        <v>1232</v>
      </c>
      <c r="BUF2187" s="594" t="s">
        <v>1232</v>
      </c>
      <c r="BUG2187" s="594" t="s">
        <v>1232</v>
      </c>
      <c r="BUH2187" s="594" t="s">
        <v>1232</v>
      </c>
      <c r="BUI2187" s="594" t="s">
        <v>1232</v>
      </c>
      <c r="BUJ2187" s="594" t="s">
        <v>1232</v>
      </c>
      <c r="BUK2187" s="594" t="s">
        <v>1232</v>
      </c>
      <c r="BUL2187" s="594" t="s">
        <v>1232</v>
      </c>
      <c r="BUM2187" s="594" t="s">
        <v>1232</v>
      </c>
      <c r="BUN2187" s="594" t="s">
        <v>1232</v>
      </c>
      <c r="BUO2187" s="594" t="s">
        <v>1232</v>
      </c>
      <c r="BUP2187" s="594" t="s">
        <v>1232</v>
      </c>
      <c r="BUQ2187" s="594" t="s">
        <v>1232</v>
      </c>
      <c r="BUR2187" s="594" t="s">
        <v>1232</v>
      </c>
      <c r="BUS2187" s="594" t="s">
        <v>1232</v>
      </c>
      <c r="BUT2187" s="594" t="s">
        <v>1232</v>
      </c>
      <c r="BUU2187" s="594" t="s">
        <v>1232</v>
      </c>
      <c r="BUV2187" s="594" t="s">
        <v>1232</v>
      </c>
      <c r="BUW2187" s="594" t="s">
        <v>1232</v>
      </c>
      <c r="BUX2187" s="594" t="s">
        <v>1232</v>
      </c>
      <c r="BUY2187" s="594" t="s">
        <v>1232</v>
      </c>
      <c r="BUZ2187" s="594" t="s">
        <v>1232</v>
      </c>
      <c r="BVA2187" s="594" t="s">
        <v>1232</v>
      </c>
      <c r="BVB2187" s="594" t="s">
        <v>1232</v>
      </c>
      <c r="BVC2187" s="594" t="s">
        <v>1232</v>
      </c>
      <c r="BVD2187" s="594" t="s">
        <v>1232</v>
      </c>
      <c r="BVE2187" s="594" t="s">
        <v>1232</v>
      </c>
      <c r="BVF2187" s="594" t="s">
        <v>1232</v>
      </c>
      <c r="BVG2187" s="594" t="s">
        <v>1232</v>
      </c>
      <c r="BVH2187" s="594" t="s">
        <v>1232</v>
      </c>
      <c r="BVI2187" s="594" t="s">
        <v>1232</v>
      </c>
      <c r="BVJ2187" s="594" t="s">
        <v>1232</v>
      </c>
      <c r="BVK2187" s="594" t="s">
        <v>1232</v>
      </c>
      <c r="BVL2187" s="594" t="s">
        <v>1232</v>
      </c>
      <c r="BVM2187" s="594" t="s">
        <v>1232</v>
      </c>
      <c r="BVN2187" s="594" t="s">
        <v>1232</v>
      </c>
      <c r="BVO2187" s="594" t="s">
        <v>1232</v>
      </c>
      <c r="BVP2187" s="594" t="s">
        <v>1232</v>
      </c>
      <c r="BVQ2187" s="594" t="s">
        <v>1232</v>
      </c>
      <c r="BVR2187" s="594" t="s">
        <v>1232</v>
      </c>
      <c r="BVS2187" s="594" t="s">
        <v>1232</v>
      </c>
      <c r="BVT2187" s="594" t="s">
        <v>1232</v>
      </c>
      <c r="BVU2187" s="594" t="s">
        <v>1232</v>
      </c>
      <c r="BVV2187" s="594" t="s">
        <v>1232</v>
      </c>
      <c r="BVW2187" s="594" t="s">
        <v>1232</v>
      </c>
      <c r="BVX2187" s="594" t="s">
        <v>1232</v>
      </c>
      <c r="BVY2187" s="594" t="s">
        <v>1232</v>
      </c>
      <c r="BVZ2187" s="594" t="s">
        <v>1232</v>
      </c>
      <c r="BWA2187" s="594" t="s">
        <v>1232</v>
      </c>
      <c r="BWB2187" s="594" t="s">
        <v>1232</v>
      </c>
      <c r="BWC2187" s="594" t="s">
        <v>1232</v>
      </c>
      <c r="BWD2187" s="594" t="s">
        <v>1232</v>
      </c>
      <c r="BWE2187" s="594" t="s">
        <v>1232</v>
      </c>
      <c r="BWF2187" s="594" t="s">
        <v>1232</v>
      </c>
      <c r="BWG2187" s="594" t="s">
        <v>1232</v>
      </c>
      <c r="BWH2187" s="594" t="s">
        <v>1232</v>
      </c>
      <c r="BWI2187" s="594" t="s">
        <v>1232</v>
      </c>
      <c r="BWJ2187" s="594" t="s">
        <v>1232</v>
      </c>
      <c r="BWK2187" s="594" t="s">
        <v>1232</v>
      </c>
      <c r="BWL2187" s="594" t="s">
        <v>1232</v>
      </c>
      <c r="BWM2187" s="594" t="s">
        <v>1232</v>
      </c>
      <c r="BWN2187" s="594" t="s">
        <v>1232</v>
      </c>
      <c r="BWO2187" s="594" t="s">
        <v>1232</v>
      </c>
      <c r="BWP2187" s="594" t="s">
        <v>1232</v>
      </c>
      <c r="BWQ2187" s="594" t="s">
        <v>1232</v>
      </c>
      <c r="BWR2187" s="594" t="s">
        <v>1232</v>
      </c>
      <c r="BWS2187" s="594" t="s">
        <v>1232</v>
      </c>
      <c r="BWT2187" s="594" t="s">
        <v>1232</v>
      </c>
      <c r="BWU2187" s="594" t="s">
        <v>1232</v>
      </c>
      <c r="BWV2187" s="594" t="s">
        <v>1232</v>
      </c>
      <c r="BWW2187" s="594" t="s">
        <v>1232</v>
      </c>
      <c r="BWX2187" s="594" t="s">
        <v>1232</v>
      </c>
      <c r="BWY2187" s="594" t="s">
        <v>1232</v>
      </c>
      <c r="BWZ2187" s="594" t="s">
        <v>1232</v>
      </c>
      <c r="BXA2187" s="594" t="s">
        <v>1232</v>
      </c>
      <c r="BXB2187" s="594" t="s">
        <v>1232</v>
      </c>
      <c r="BXC2187" s="594" t="s">
        <v>1232</v>
      </c>
      <c r="BXD2187" s="594" t="s">
        <v>1232</v>
      </c>
      <c r="BXE2187" s="594" t="s">
        <v>1232</v>
      </c>
      <c r="BXF2187" s="594" t="s">
        <v>1232</v>
      </c>
      <c r="BXG2187" s="594" t="s">
        <v>1232</v>
      </c>
      <c r="BXH2187" s="594" t="s">
        <v>1232</v>
      </c>
      <c r="BXI2187" s="594" t="s">
        <v>1232</v>
      </c>
      <c r="BXJ2187" s="594" t="s">
        <v>1232</v>
      </c>
      <c r="BXK2187" s="594" t="s">
        <v>1232</v>
      </c>
      <c r="BXL2187" s="594" t="s">
        <v>1232</v>
      </c>
      <c r="BXM2187" s="594" t="s">
        <v>1232</v>
      </c>
      <c r="BXN2187" s="594" t="s">
        <v>1232</v>
      </c>
      <c r="BXO2187" s="594" t="s">
        <v>1232</v>
      </c>
      <c r="BXP2187" s="594" t="s">
        <v>1232</v>
      </c>
      <c r="BXQ2187" s="594" t="s">
        <v>1232</v>
      </c>
      <c r="BXR2187" s="594" t="s">
        <v>1232</v>
      </c>
      <c r="BXS2187" s="594" t="s">
        <v>1232</v>
      </c>
      <c r="BXT2187" s="594" t="s">
        <v>1232</v>
      </c>
      <c r="BXU2187" s="594" t="s">
        <v>1232</v>
      </c>
      <c r="BXV2187" s="594" t="s">
        <v>1232</v>
      </c>
      <c r="BXW2187" s="594" t="s">
        <v>1232</v>
      </c>
      <c r="BXX2187" s="594" t="s">
        <v>1232</v>
      </c>
      <c r="BXY2187" s="594" t="s">
        <v>1232</v>
      </c>
      <c r="BXZ2187" s="594" t="s">
        <v>1232</v>
      </c>
      <c r="BYA2187" s="594" t="s">
        <v>1232</v>
      </c>
      <c r="BYB2187" s="594" t="s">
        <v>1232</v>
      </c>
      <c r="BYC2187" s="594" t="s">
        <v>1232</v>
      </c>
      <c r="BYD2187" s="594" t="s">
        <v>1232</v>
      </c>
      <c r="BYE2187" s="594" t="s">
        <v>1232</v>
      </c>
      <c r="BYF2187" s="594" t="s">
        <v>1232</v>
      </c>
      <c r="BYG2187" s="594" t="s">
        <v>1232</v>
      </c>
      <c r="BYH2187" s="594" t="s">
        <v>1232</v>
      </c>
      <c r="BYI2187" s="594" t="s">
        <v>1232</v>
      </c>
      <c r="BYJ2187" s="594" t="s">
        <v>1232</v>
      </c>
      <c r="BYK2187" s="594" t="s">
        <v>1232</v>
      </c>
      <c r="BYL2187" s="594" t="s">
        <v>1232</v>
      </c>
      <c r="BYM2187" s="594" t="s">
        <v>1232</v>
      </c>
      <c r="BYN2187" s="594" t="s">
        <v>1232</v>
      </c>
      <c r="BYO2187" s="594" t="s">
        <v>1232</v>
      </c>
      <c r="BYP2187" s="594" t="s">
        <v>1232</v>
      </c>
      <c r="BYQ2187" s="594" t="s">
        <v>1232</v>
      </c>
      <c r="BYR2187" s="594" t="s">
        <v>1232</v>
      </c>
      <c r="BYS2187" s="594" t="s">
        <v>1232</v>
      </c>
      <c r="BYT2187" s="594" t="s">
        <v>1232</v>
      </c>
      <c r="BYU2187" s="594" t="s">
        <v>1232</v>
      </c>
      <c r="BYV2187" s="594" t="s">
        <v>1232</v>
      </c>
      <c r="BYW2187" s="594" t="s">
        <v>1232</v>
      </c>
      <c r="BYX2187" s="594" t="s">
        <v>1232</v>
      </c>
      <c r="BYY2187" s="594" t="s">
        <v>1232</v>
      </c>
      <c r="BYZ2187" s="594" t="s">
        <v>1232</v>
      </c>
      <c r="BZA2187" s="594" t="s">
        <v>1232</v>
      </c>
      <c r="BZB2187" s="594" t="s">
        <v>1232</v>
      </c>
      <c r="BZC2187" s="594" t="s">
        <v>1232</v>
      </c>
      <c r="BZD2187" s="594" t="s">
        <v>1232</v>
      </c>
      <c r="BZE2187" s="594" t="s">
        <v>1232</v>
      </c>
      <c r="BZF2187" s="594" t="s">
        <v>1232</v>
      </c>
      <c r="BZG2187" s="594" t="s">
        <v>1232</v>
      </c>
      <c r="BZH2187" s="594" t="s">
        <v>1232</v>
      </c>
      <c r="BZI2187" s="594" t="s">
        <v>1232</v>
      </c>
      <c r="BZJ2187" s="594" t="s">
        <v>1232</v>
      </c>
      <c r="BZK2187" s="594" t="s">
        <v>1232</v>
      </c>
      <c r="BZL2187" s="594" t="s">
        <v>1232</v>
      </c>
      <c r="BZM2187" s="594" t="s">
        <v>1232</v>
      </c>
      <c r="BZN2187" s="594" t="s">
        <v>1232</v>
      </c>
      <c r="BZO2187" s="594" t="s">
        <v>1232</v>
      </c>
      <c r="BZP2187" s="594" t="s">
        <v>1232</v>
      </c>
      <c r="BZQ2187" s="594" t="s">
        <v>1232</v>
      </c>
      <c r="BZR2187" s="594" t="s">
        <v>1232</v>
      </c>
      <c r="BZS2187" s="594" t="s">
        <v>1232</v>
      </c>
      <c r="BZT2187" s="594" t="s">
        <v>1232</v>
      </c>
      <c r="BZU2187" s="594" t="s">
        <v>1232</v>
      </c>
      <c r="BZV2187" s="594" t="s">
        <v>1232</v>
      </c>
      <c r="BZW2187" s="594" t="s">
        <v>1232</v>
      </c>
      <c r="BZX2187" s="594" t="s">
        <v>1232</v>
      </c>
      <c r="BZY2187" s="594" t="s">
        <v>1232</v>
      </c>
      <c r="BZZ2187" s="594" t="s">
        <v>1232</v>
      </c>
      <c r="CAA2187" s="594" t="s">
        <v>1232</v>
      </c>
      <c r="CAB2187" s="594" t="s">
        <v>1232</v>
      </c>
      <c r="CAC2187" s="594" t="s">
        <v>1232</v>
      </c>
      <c r="CAD2187" s="594" t="s">
        <v>1232</v>
      </c>
      <c r="CAE2187" s="594" t="s">
        <v>1232</v>
      </c>
      <c r="CAF2187" s="594" t="s">
        <v>1232</v>
      </c>
      <c r="CAG2187" s="594" t="s">
        <v>1232</v>
      </c>
      <c r="CAH2187" s="594" t="s">
        <v>1232</v>
      </c>
      <c r="CAI2187" s="594" t="s">
        <v>1232</v>
      </c>
      <c r="CAJ2187" s="594" t="s">
        <v>1232</v>
      </c>
      <c r="CAK2187" s="594" t="s">
        <v>1232</v>
      </c>
      <c r="CAL2187" s="594" t="s">
        <v>1232</v>
      </c>
      <c r="CAM2187" s="594" t="s">
        <v>1232</v>
      </c>
      <c r="CAN2187" s="594" t="s">
        <v>1232</v>
      </c>
      <c r="CAO2187" s="594" t="s">
        <v>1232</v>
      </c>
      <c r="CAP2187" s="594" t="s">
        <v>1232</v>
      </c>
      <c r="CAQ2187" s="594" t="s">
        <v>1232</v>
      </c>
      <c r="CAR2187" s="594" t="s">
        <v>1232</v>
      </c>
      <c r="CAS2187" s="594" t="s">
        <v>1232</v>
      </c>
      <c r="CAT2187" s="594" t="s">
        <v>1232</v>
      </c>
      <c r="CAU2187" s="594" t="s">
        <v>1232</v>
      </c>
      <c r="CAV2187" s="594" t="s">
        <v>1232</v>
      </c>
      <c r="CAW2187" s="594" t="s">
        <v>1232</v>
      </c>
      <c r="CAX2187" s="594" t="s">
        <v>1232</v>
      </c>
      <c r="CAY2187" s="594" t="s">
        <v>1232</v>
      </c>
      <c r="CAZ2187" s="594" t="s">
        <v>1232</v>
      </c>
      <c r="CBA2187" s="594" t="s">
        <v>1232</v>
      </c>
      <c r="CBB2187" s="594" t="s">
        <v>1232</v>
      </c>
      <c r="CBC2187" s="594" t="s">
        <v>1232</v>
      </c>
      <c r="CBD2187" s="594" t="s">
        <v>1232</v>
      </c>
      <c r="CBE2187" s="594" t="s">
        <v>1232</v>
      </c>
      <c r="CBF2187" s="594" t="s">
        <v>1232</v>
      </c>
      <c r="CBG2187" s="594" t="s">
        <v>1232</v>
      </c>
      <c r="CBH2187" s="594" t="s">
        <v>1232</v>
      </c>
      <c r="CBI2187" s="594" t="s">
        <v>1232</v>
      </c>
      <c r="CBJ2187" s="594" t="s">
        <v>1232</v>
      </c>
      <c r="CBK2187" s="594" t="s">
        <v>1232</v>
      </c>
      <c r="CBL2187" s="594" t="s">
        <v>1232</v>
      </c>
      <c r="CBM2187" s="594" t="s">
        <v>1232</v>
      </c>
      <c r="CBN2187" s="594" t="s">
        <v>1232</v>
      </c>
      <c r="CBO2187" s="594" t="s">
        <v>1232</v>
      </c>
      <c r="CBP2187" s="594" t="s">
        <v>1232</v>
      </c>
      <c r="CBQ2187" s="594" t="s">
        <v>1232</v>
      </c>
      <c r="CBR2187" s="594" t="s">
        <v>1232</v>
      </c>
      <c r="CBS2187" s="594" t="s">
        <v>1232</v>
      </c>
      <c r="CBT2187" s="594" t="s">
        <v>1232</v>
      </c>
      <c r="CBU2187" s="594" t="s">
        <v>1232</v>
      </c>
      <c r="CBV2187" s="594" t="s">
        <v>1232</v>
      </c>
      <c r="CBW2187" s="594" t="s">
        <v>1232</v>
      </c>
      <c r="CBX2187" s="594" t="s">
        <v>1232</v>
      </c>
      <c r="CBY2187" s="594" t="s">
        <v>1232</v>
      </c>
      <c r="CBZ2187" s="594" t="s">
        <v>1232</v>
      </c>
      <c r="CCA2187" s="594" t="s">
        <v>1232</v>
      </c>
      <c r="CCB2187" s="594" t="s">
        <v>1232</v>
      </c>
      <c r="CCC2187" s="594" t="s">
        <v>1232</v>
      </c>
      <c r="CCD2187" s="594" t="s">
        <v>1232</v>
      </c>
      <c r="CCE2187" s="594" t="s">
        <v>1232</v>
      </c>
      <c r="CCF2187" s="594" t="s">
        <v>1232</v>
      </c>
      <c r="CCG2187" s="594" t="s">
        <v>1232</v>
      </c>
      <c r="CCH2187" s="594" t="s">
        <v>1232</v>
      </c>
      <c r="CCI2187" s="594" t="s">
        <v>1232</v>
      </c>
      <c r="CCJ2187" s="594" t="s">
        <v>1232</v>
      </c>
      <c r="CCK2187" s="594" t="s">
        <v>1232</v>
      </c>
      <c r="CCL2187" s="594" t="s">
        <v>1232</v>
      </c>
      <c r="CCM2187" s="594" t="s">
        <v>1232</v>
      </c>
      <c r="CCN2187" s="594" t="s">
        <v>1232</v>
      </c>
      <c r="CCO2187" s="594" t="s">
        <v>1232</v>
      </c>
      <c r="CCP2187" s="594" t="s">
        <v>1232</v>
      </c>
      <c r="CCQ2187" s="594" t="s">
        <v>1232</v>
      </c>
      <c r="CCR2187" s="594" t="s">
        <v>1232</v>
      </c>
      <c r="CCS2187" s="594" t="s">
        <v>1232</v>
      </c>
      <c r="CCT2187" s="594" t="s">
        <v>1232</v>
      </c>
      <c r="CCU2187" s="594" t="s">
        <v>1232</v>
      </c>
      <c r="CCV2187" s="594" t="s">
        <v>1232</v>
      </c>
      <c r="CCW2187" s="594" t="s">
        <v>1232</v>
      </c>
      <c r="CCX2187" s="594" t="s">
        <v>1232</v>
      </c>
      <c r="CCY2187" s="594" t="s">
        <v>1232</v>
      </c>
      <c r="CCZ2187" s="594" t="s">
        <v>1232</v>
      </c>
      <c r="CDA2187" s="594" t="s">
        <v>1232</v>
      </c>
      <c r="CDB2187" s="594" t="s">
        <v>1232</v>
      </c>
      <c r="CDC2187" s="594" t="s">
        <v>1232</v>
      </c>
      <c r="CDD2187" s="594" t="s">
        <v>1232</v>
      </c>
      <c r="CDE2187" s="594" t="s">
        <v>1232</v>
      </c>
      <c r="CDF2187" s="594" t="s">
        <v>1232</v>
      </c>
      <c r="CDG2187" s="594" t="s">
        <v>1232</v>
      </c>
      <c r="CDH2187" s="594" t="s">
        <v>1232</v>
      </c>
      <c r="CDI2187" s="594" t="s">
        <v>1232</v>
      </c>
      <c r="CDJ2187" s="594" t="s">
        <v>1232</v>
      </c>
      <c r="CDK2187" s="594" t="s">
        <v>1232</v>
      </c>
      <c r="CDL2187" s="594" t="s">
        <v>1232</v>
      </c>
      <c r="CDM2187" s="594" t="s">
        <v>1232</v>
      </c>
      <c r="CDN2187" s="594" t="s">
        <v>1232</v>
      </c>
      <c r="CDO2187" s="594" t="s">
        <v>1232</v>
      </c>
      <c r="CDP2187" s="594" t="s">
        <v>1232</v>
      </c>
      <c r="CDQ2187" s="594" t="s">
        <v>1232</v>
      </c>
      <c r="CDR2187" s="594" t="s">
        <v>1232</v>
      </c>
      <c r="CDS2187" s="594" t="s">
        <v>1232</v>
      </c>
      <c r="CDT2187" s="594" t="s">
        <v>1232</v>
      </c>
      <c r="CDU2187" s="594" t="s">
        <v>1232</v>
      </c>
      <c r="CDV2187" s="594" t="s">
        <v>1232</v>
      </c>
      <c r="CDW2187" s="594" t="s">
        <v>1232</v>
      </c>
      <c r="CDX2187" s="594" t="s">
        <v>1232</v>
      </c>
      <c r="CDY2187" s="594" t="s">
        <v>1232</v>
      </c>
      <c r="CDZ2187" s="594" t="s">
        <v>1232</v>
      </c>
      <c r="CEA2187" s="594" t="s">
        <v>1232</v>
      </c>
      <c r="CEB2187" s="594" t="s">
        <v>1232</v>
      </c>
      <c r="CEC2187" s="594" t="s">
        <v>1232</v>
      </c>
      <c r="CED2187" s="594" t="s">
        <v>1232</v>
      </c>
      <c r="CEE2187" s="594" t="s">
        <v>1232</v>
      </c>
      <c r="CEF2187" s="594" t="s">
        <v>1232</v>
      </c>
      <c r="CEG2187" s="594" t="s">
        <v>1232</v>
      </c>
      <c r="CEH2187" s="594" t="s">
        <v>1232</v>
      </c>
      <c r="CEI2187" s="594" t="s">
        <v>1232</v>
      </c>
      <c r="CEJ2187" s="594" t="s">
        <v>1232</v>
      </c>
      <c r="CEK2187" s="594" t="s">
        <v>1232</v>
      </c>
      <c r="CEL2187" s="594" t="s">
        <v>1232</v>
      </c>
      <c r="CEM2187" s="594" t="s">
        <v>1232</v>
      </c>
      <c r="CEN2187" s="594" t="s">
        <v>1232</v>
      </c>
      <c r="CEO2187" s="594" t="s">
        <v>1232</v>
      </c>
      <c r="CEP2187" s="594" t="s">
        <v>1232</v>
      </c>
      <c r="CEQ2187" s="594" t="s">
        <v>1232</v>
      </c>
      <c r="CER2187" s="594" t="s">
        <v>1232</v>
      </c>
      <c r="CES2187" s="594" t="s">
        <v>1232</v>
      </c>
      <c r="CET2187" s="594" t="s">
        <v>1232</v>
      </c>
      <c r="CEU2187" s="594" t="s">
        <v>1232</v>
      </c>
      <c r="CEV2187" s="594" t="s">
        <v>1232</v>
      </c>
      <c r="CEW2187" s="594" t="s">
        <v>1232</v>
      </c>
      <c r="CEX2187" s="594" t="s">
        <v>1232</v>
      </c>
      <c r="CEY2187" s="594" t="s">
        <v>1232</v>
      </c>
      <c r="CEZ2187" s="594" t="s">
        <v>1232</v>
      </c>
      <c r="CFA2187" s="594" t="s">
        <v>1232</v>
      </c>
      <c r="CFB2187" s="594" t="s">
        <v>1232</v>
      </c>
      <c r="CFC2187" s="594" t="s">
        <v>1232</v>
      </c>
      <c r="CFD2187" s="594" t="s">
        <v>1232</v>
      </c>
      <c r="CFE2187" s="594" t="s">
        <v>1232</v>
      </c>
      <c r="CFF2187" s="594" t="s">
        <v>1232</v>
      </c>
      <c r="CFG2187" s="594" t="s">
        <v>1232</v>
      </c>
      <c r="CFH2187" s="594" t="s">
        <v>1232</v>
      </c>
      <c r="CFI2187" s="594" t="s">
        <v>1232</v>
      </c>
      <c r="CFJ2187" s="594" t="s">
        <v>1232</v>
      </c>
      <c r="CFK2187" s="594" t="s">
        <v>1232</v>
      </c>
      <c r="CFL2187" s="594" t="s">
        <v>1232</v>
      </c>
      <c r="CFM2187" s="594" t="s">
        <v>1232</v>
      </c>
      <c r="CFN2187" s="594" t="s">
        <v>1232</v>
      </c>
      <c r="CFO2187" s="594" t="s">
        <v>1232</v>
      </c>
      <c r="CFP2187" s="594" t="s">
        <v>1232</v>
      </c>
      <c r="CFQ2187" s="594" t="s">
        <v>1232</v>
      </c>
      <c r="CFR2187" s="594" t="s">
        <v>1232</v>
      </c>
      <c r="CFS2187" s="594" t="s">
        <v>1232</v>
      </c>
      <c r="CFT2187" s="594" t="s">
        <v>1232</v>
      </c>
      <c r="CFU2187" s="594" t="s">
        <v>1232</v>
      </c>
      <c r="CFV2187" s="594" t="s">
        <v>1232</v>
      </c>
      <c r="CFW2187" s="594" t="s">
        <v>1232</v>
      </c>
      <c r="CFX2187" s="594" t="s">
        <v>1232</v>
      </c>
      <c r="CFY2187" s="594" t="s">
        <v>1232</v>
      </c>
      <c r="CFZ2187" s="594" t="s">
        <v>1232</v>
      </c>
      <c r="CGA2187" s="594" t="s">
        <v>1232</v>
      </c>
      <c r="CGB2187" s="594" t="s">
        <v>1232</v>
      </c>
      <c r="CGC2187" s="594" t="s">
        <v>1232</v>
      </c>
      <c r="CGD2187" s="594" t="s">
        <v>1232</v>
      </c>
      <c r="CGE2187" s="594" t="s">
        <v>1232</v>
      </c>
      <c r="CGF2187" s="594" t="s">
        <v>1232</v>
      </c>
      <c r="CGG2187" s="594" t="s">
        <v>1232</v>
      </c>
      <c r="CGH2187" s="594" t="s">
        <v>1232</v>
      </c>
      <c r="CGI2187" s="594" t="s">
        <v>1232</v>
      </c>
      <c r="CGJ2187" s="594" t="s">
        <v>1232</v>
      </c>
      <c r="CGK2187" s="594" t="s">
        <v>1232</v>
      </c>
      <c r="CGL2187" s="594" t="s">
        <v>1232</v>
      </c>
      <c r="CGM2187" s="594" t="s">
        <v>1232</v>
      </c>
      <c r="CGN2187" s="594" t="s">
        <v>1232</v>
      </c>
      <c r="CGO2187" s="594" t="s">
        <v>1232</v>
      </c>
      <c r="CGP2187" s="594" t="s">
        <v>1232</v>
      </c>
      <c r="CGQ2187" s="594" t="s">
        <v>1232</v>
      </c>
      <c r="CGR2187" s="594" t="s">
        <v>1232</v>
      </c>
      <c r="CGS2187" s="594" t="s">
        <v>1232</v>
      </c>
      <c r="CGT2187" s="594" t="s">
        <v>1232</v>
      </c>
      <c r="CGU2187" s="594" t="s">
        <v>1232</v>
      </c>
      <c r="CGV2187" s="594" t="s">
        <v>1232</v>
      </c>
      <c r="CGW2187" s="594" t="s">
        <v>1232</v>
      </c>
      <c r="CGX2187" s="594" t="s">
        <v>1232</v>
      </c>
      <c r="CGY2187" s="594" t="s">
        <v>1232</v>
      </c>
      <c r="CGZ2187" s="594" t="s">
        <v>1232</v>
      </c>
      <c r="CHA2187" s="594" t="s">
        <v>1232</v>
      </c>
      <c r="CHB2187" s="594" t="s">
        <v>1232</v>
      </c>
      <c r="CHC2187" s="594" t="s">
        <v>1232</v>
      </c>
      <c r="CHD2187" s="594" t="s">
        <v>1232</v>
      </c>
      <c r="CHE2187" s="594" t="s">
        <v>1232</v>
      </c>
      <c r="CHF2187" s="594" t="s">
        <v>1232</v>
      </c>
      <c r="CHG2187" s="594" t="s">
        <v>1232</v>
      </c>
      <c r="CHH2187" s="594" t="s">
        <v>1232</v>
      </c>
      <c r="CHI2187" s="594" t="s">
        <v>1232</v>
      </c>
      <c r="CHJ2187" s="594" t="s">
        <v>1232</v>
      </c>
      <c r="CHK2187" s="594" t="s">
        <v>1232</v>
      </c>
      <c r="CHL2187" s="594" t="s">
        <v>1232</v>
      </c>
      <c r="CHM2187" s="594" t="s">
        <v>1232</v>
      </c>
      <c r="CHN2187" s="594" t="s">
        <v>1232</v>
      </c>
      <c r="CHO2187" s="594" t="s">
        <v>1232</v>
      </c>
      <c r="CHP2187" s="594" t="s">
        <v>1232</v>
      </c>
      <c r="CHQ2187" s="594" t="s">
        <v>1232</v>
      </c>
      <c r="CHR2187" s="594" t="s">
        <v>1232</v>
      </c>
      <c r="CHS2187" s="594" t="s">
        <v>1232</v>
      </c>
      <c r="CHT2187" s="594" t="s">
        <v>1232</v>
      </c>
      <c r="CHU2187" s="594" t="s">
        <v>1232</v>
      </c>
      <c r="CHV2187" s="594" t="s">
        <v>1232</v>
      </c>
      <c r="CHW2187" s="594" t="s">
        <v>1232</v>
      </c>
      <c r="CHX2187" s="594" t="s">
        <v>1232</v>
      </c>
      <c r="CHY2187" s="594" t="s">
        <v>1232</v>
      </c>
      <c r="CHZ2187" s="594" t="s">
        <v>1232</v>
      </c>
      <c r="CIA2187" s="594" t="s">
        <v>1232</v>
      </c>
      <c r="CIB2187" s="594" t="s">
        <v>1232</v>
      </c>
      <c r="CIC2187" s="594" t="s">
        <v>1232</v>
      </c>
      <c r="CID2187" s="594" t="s">
        <v>1232</v>
      </c>
      <c r="CIE2187" s="594" t="s">
        <v>1232</v>
      </c>
      <c r="CIF2187" s="594" t="s">
        <v>1232</v>
      </c>
      <c r="CIG2187" s="594" t="s">
        <v>1232</v>
      </c>
      <c r="CIH2187" s="594" t="s">
        <v>1232</v>
      </c>
      <c r="CII2187" s="594" t="s">
        <v>1232</v>
      </c>
      <c r="CIJ2187" s="594" t="s">
        <v>1232</v>
      </c>
      <c r="CIK2187" s="594" t="s">
        <v>1232</v>
      </c>
      <c r="CIL2187" s="594" t="s">
        <v>1232</v>
      </c>
      <c r="CIM2187" s="594" t="s">
        <v>1232</v>
      </c>
      <c r="CIN2187" s="594" t="s">
        <v>1232</v>
      </c>
      <c r="CIO2187" s="594" t="s">
        <v>1232</v>
      </c>
      <c r="CIP2187" s="594" t="s">
        <v>1232</v>
      </c>
      <c r="CIQ2187" s="594" t="s">
        <v>1232</v>
      </c>
      <c r="CIR2187" s="594" t="s">
        <v>1232</v>
      </c>
      <c r="CIS2187" s="594" t="s">
        <v>1232</v>
      </c>
      <c r="CIT2187" s="594" t="s">
        <v>1232</v>
      </c>
      <c r="CIU2187" s="594" t="s">
        <v>1232</v>
      </c>
      <c r="CIV2187" s="594" t="s">
        <v>1232</v>
      </c>
      <c r="CIW2187" s="594" t="s">
        <v>1232</v>
      </c>
      <c r="CIX2187" s="594" t="s">
        <v>1232</v>
      </c>
      <c r="CIY2187" s="594" t="s">
        <v>1232</v>
      </c>
      <c r="CIZ2187" s="594" t="s">
        <v>1232</v>
      </c>
      <c r="CJA2187" s="594" t="s">
        <v>1232</v>
      </c>
      <c r="CJB2187" s="594" t="s">
        <v>1232</v>
      </c>
      <c r="CJC2187" s="594" t="s">
        <v>1232</v>
      </c>
      <c r="CJD2187" s="594" t="s">
        <v>1232</v>
      </c>
      <c r="CJE2187" s="594" t="s">
        <v>1232</v>
      </c>
      <c r="CJF2187" s="594" t="s">
        <v>1232</v>
      </c>
      <c r="CJG2187" s="594" t="s">
        <v>1232</v>
      </c>
      <c r="CJH2187" s="594" t="s">
        <v>1232</v>
      </c>
      <c r="CJI2187" s="594" t="s">
        <v>1232</v>
      </c>
      <c r="CJJ2187" s="594" t="s">
        <v>1232</v>
      </c>
      <c r="CJK2187" s="594" t="s">
        <v>1232</v>
      </c>
      <c r="CJL2187" s="594" t="s">
        <v>1232</v>
      </c>
      <c r="CJM2187" s="594" t="s">
        <v>1232</v>
      </c>
      <c r="CJN2187" s="594" t="s">
        <v>1232</v>
      </c>
      <c r="CJO2187" s="594" t="s">
        <v>1232</v>
      </c>
      <c r="CJP2187" s="594" t="s">
        <v>1232</v>
      </c>
      <c r="CJQ2187" s="594" t="s">
        <v>1232</v>
      </c>
      <c r="CJR2187" s="594" t="s">
        <v>1232</v>
      </c>
      <c r="CJS2187" s="594" t="s">
        <v>1232</v>
      </c>
      <c r="CJT2187" s="594" t="s">
        <v>1232</v>
      </c>
      <c r="CJU2187" s="594" t="s">
        <v>1232</v>
      </c>
      <c r="CJV2187" s="594" t="s">
        <v>1232</v>
      </c>
      <c r="CJW2187" s="594" t="s">
        <v>1232</v>
      </c>
      <c r="CJX2187" s="594" t="s">
        <v>1232</v>
      </c>
      <c r="CJY2187" s="594" t="s">
        <v>1232</v>
      </c>
      <c r="CJZ2187" s="594" t="s">
        <v>1232</v>
      </c>
      <c r="CKA2187" s="594" t="s">
        <v>1232</v>
      </c>
      <c r="CKB2187" s="594" t="s">
        <v>1232</v>
      </c>
      <c r="CKC2187" s="594" t="s">
        <v>1232</v>
      </c>
      <c r="CKD2187" s="594" t="s">
        <v>1232</v>
      </c>
      <c r="CKE2187" s="594" t="s">
        <v>1232</v>
      </c>
      <c r="CKF2187" s="594" t="s">
        <v>1232</v>
      </c>
      <c r="CKG2187" s="594" t="s">
        <v>1232</v>
      </c>
      <c r="CKH2187" s="594" t="s">
        <v>1232</v>
      </c>
      <c r="CKI2187" s="594" t="s">
        <v>1232</v>
      </c>
      <c r="CKJ2187" s="594" t="s">
        <v>1232</v>
      </c>
      <c r="CKK2187" s="594" t="s">
        <v>1232</v>
      </c>
      <c r="CKL2187" s="594" t="s">
        <v>1232</v>
      </c>
      <c r="CKM2187" s="594" t="s">
        <v>1232</v>
      </c>
      <c r="CKN2187" s="594" t="s">
        <v>1232</v>
      </c>
      <c r="CKO2187" s="594" t="s">
        <v>1232</v>
      </c>
      <c r="CKP2187" s="594" t="s">
        <v>1232</v>
      </c>
      <c r="CKQ2187" s="594" t="s">
        <v>1232</v>
      </c>
      <c r="CKR2187" s="594" t="s">
        <v>1232</v>
      </c>
      <c r="CKS2187" s="594" t="s">
        <v>1232</v>
      </c>
      <c r="CKT2187" s="594" t="s">
        <v>1232</v>
      </c>
      <c r="CKU2187" s="594" t="s">
        <v>1232</v>
      </c>
      <c r="CKV2187" s="594" t="s">
        <v>1232</v>
      </c>
      <c r="CKW2187" s="594" t="s">
        <v>1232</v>
      </c>
      <c r="CKX2187" s="594" t="s">
        <v>1232</v>
      </c>
      <c r="CKY2187" s="594" t="s">
        <v>1232</v>
      </c>
      <c r="CKZ2187" s="594" t="s">
        <v>1232</v>
      </c>
      <c r="CLA2187" s="594" t="s">
        <v>1232</v>
      </c>
      <c r="CLB2187" s="594" t="s">
        <v>1232</v>
      </c>
      <c r="CLC2187" s="594" t="s">
        <v>1232</v>
      </c>
      <c r="CLD2187" s="594" t="s">
        <v>1232</v>
      </c>
      <c r="CLE2187" s="594" t="s">
        <v>1232</v>
      </c>
      <c r="CLF2187" s="594" t="s">
        <v>1232</v>
      </c>
      <c r="CLG2187" s="594" t="s">
        <v>1232</v>
      </c>
      <c r="CLH2187" s="594" t="s">
        <v>1232</v>
      </c>
      <c r="CLI2187" s="594" t="s">
        <v>1232</v>
      </c>
      <c r="CLJ2187" s="594" t="s">
        <v>1232</v>
      </c>
      <c r="CLK2187" s="594" t="s">
        <v>1232</v>
      </c>
      <c r="CLL2187" s="594" t="s">
        <v>1232</v>
      </c>
      <c r="CLM2187" s="594" t="s">
        <v>1232</v>
      </c>
      <c r="CLN2187" s="594" t="s">
        <v>1232</v>
      </c>
      <c r="CLO2187" s="594" t="s">
        <v>1232</v>
      </c>
      <c r="CLP2187" s="594" t="s">
        <v>1232</v>
      </c>
      <c r="CLQ2187" s="594" t="s">
        <v>1232</v>
      </c>
      <c r="CLR2187" s="594" t="s">
        <v>1232</v>
      </c>
      <c r="CLS2187" s="594" t="s">
        <v>1232</v>
      </c>
      <c r="CLT2187" s="594" t="s">
        <v>1232</v>
      </c>
      <c r="CLU2187" s="594" t="s">
        <v>1232</v>
      </c>
      <c r="CLV2187" s="594" t="s">
        <v>1232</v>
      </c>
      <c r="CLW2187" s="594" t="s">
        <v>1232</v>
      </c>
      <c r="CLX2187" s="594" t="s">
        <v>1232</v>
      </c>
      <c r="CLY2187" s="594" t="s">
        <v>1232</v>
      </c>
      <c r="CLZ2187" s="594" t="s">
        <v>1232</v>
      </c>
      <c r="CMA2187" s="594" t="s">
        <v>1232</v>
      </c>
      <c r="CMB2187" s="594" t="s">
        <v>1232</v>
      </c>
      <c r="CMC2187" s="594" t="s">
        <v>1232</v>
      </c>
      <c r="CMD2187" s="594" t="s">
        <v>1232</v>
      </c>
      <c r="CME2187" s="594" t="s">
        <v>1232</v>
      </c>
      <c r="CMF2187" s="594" t="s">
        <v>1232</v>
      </c>
      <c r="CMG2187" s="594" t="s">
        <v>1232</v>
      </c>
      <c r="CMH2187" s="594" t="s">
        <v>1232</v>
      </c>
      <c r="CMI2187" s="594" t="s">
        <v>1232</v>
      </c>
      <c r="CMJ2187" s="594" t="s">
        <v>1232</v>
      </c>
      <c r="CMK2187" s="594" t="s">
        <v>1232</v>
      </c>
      <c r="CML2187" s="594" t="s">
        <v>1232</v>
      </c>
      <c r="CMM2187" s="594" t="s">
        <v>1232</v>
      </c>
      <c r="CMN2187" s="594" t="s">
        <v>1232</v>
      </c>
      <c r="CMO2187" s="594" t="s">
        <v>1232</v>
      </c>
      <c r="CMP2187" s="594" t="s">
        <v>1232</v>
      </c>
      <c r="CMQ2187" s="594" t="s">
        <v>1232</v>
      </c>
      <c r="CMR2187" s="594" t="s">
        <v>1232</v>
      </c>
      <c r="CMS2187" s="594" t="s">
        <v>1232</v>
      </c>
      <c r="CMT2187" s="594" t="s">
        <v>1232</v>
      </c>
      <c r="CMU2187" s="594" t="s">
        <v>1232</v>
      </c>
      <c r="CMV2187" s="594" t="s">
        <v>1232</v>
      </c>
      <c r="CMW2187" s="594" t="s">
        <v>1232</v>
      </c>
      <c r="CMX2187" s="594" t="s">
        <v>1232</v>
      </c>
      <c r="CMY2187" s="594" t="s">
        <v>1232</v>
      </c>
      <c r="CMZ2187" s="594" t="s">
        <v>1232</v>
      </c>
      <c r="CNA2187" s="594" t="s">
        <v>1232</v>
      </c>
      <c r="CNB2187" s="594" t="s">
        <v>1232</v>
      </c>
      <c r="CNC2187" s="594" t="s">
        <v>1232</v>
      </c>
      <c r="CND2187" s="594" t="s">
        <v>1232</v>
      </c>
      <c r="CNE2187" s="594" t="s">
        <v>1232</v>
      </c>
      <c r="CNF2187" s="594" t="s">
        <v>1232</v>
      </c>
      <c r="CNG2187" s="594" t="s">
        <v>1232</v>
      </c>
      <c r="CNH2187" s="594" t="s">
        <v>1232</v>
      </c>
      <c r="CNI2187" s="594" t="s">
        <v>1232</v>
      </c>
      <c r="CNJ2187" s="594" t="s">
        <v>1232</v>
      </c>
      <c r="CNK2187" s="594" t="s">
        <v>1232</v>
      </c>
      <c r="CNL2187" s="594" t="s">
        <v>1232</v>
      </c>
      <c r="CNM2187" s="594" t="s">
        <v>1232</v>
      </c>
      <c r="CNN2187" s="594" t="s">
        <v>1232</v>
      </c>
      <c r="CNO2187" s="594" t="s">
        <v>1232</v>
      </c>
      <c r="CNP2187" s="594" t="s">
        <v>1232</v>
      </c>
      <c r="CNQ2187" s="594" t="s">
        <v>1232</v>
      </c>
      <c r="CNR2187" s="594" t="s">
        <v>1232</v>
      </c>
      <c r="CNS2187" s="594" t="s">
        <v>1232</v>
      </c>
      <c r="CNT2187" s="594" t="s">
        <v>1232</v>
      </c>
      <c r="CNU2187" s="594" t="s">
        <v>1232</v>
      </c>
      <c r="CNV2187" s="594" t="s">
        <v>1232</v>
      </c>
      <c r="CNW2187" s="594" t="s">
        <v>1232</v>
      </c>
      <c r="CNX2187" s="594" t="s">
        <v>1232</v>
      </c>
      <c r="CNY2187" s="594" t="s">
        <v>1232</v>
      </c>
      <c r="CNZ2187" s="594" t="s">
        <v>1232</v>
      </c>
      <c r="COA2187" s="594" t="s">
        <v>1232</v>
      </c>
      <c r="COB2187" s="594" t="s">
        <v>1232</v>
      </c>
      <c r="COC2187" s="594" t="s">
        <v>1232</v>
      </c>
      <c r="COD2187" s="594" t="s">
        <v>1232</v>
      </c>
      <c r="COE2187" s="594" t="s">
        <v>1232</v>
      </c>
      <c r="COF2187" s="594" t="s">
        <v>1232</v>
      </c>
      <c r="COG2187" s="594" t="s">
        <v>1232</v>
      </c>
      <c r="COH2187" s="594" t="s">
        <v>1232</v>
      </c>
      <c r="COI2187" s="594" t="s">
        <v>1232</v>
      </c>
      <c r="COJ2187" s="594" t="s">
        <v>1232</v>
      </c>
      <c r="COK2187" s="594" t="s">
        <v>1232</v>
      </c>
      <c r="COL2187" s="594" t="s">
        <v>1232</v>
      </c>
      <c r="COM2187" s="594" t="s">
        <v>1232</v>
      </c>
      <c r="CON2187" s="594" t="s">
        <v>1232</v>
      </c>
      <c r="COO2187" s="594" t="s">
        <v>1232</v>
      </c>
      <c r="COP2187" s="594" t="s">
        <v>1232</v>
      </c>
      <c r="COQ2187" s="594" t="s">
        <v>1232</v>
      </c>
      <c r="COR2187" s="594" t="s">
        <v>1232</v>
      </c>
      <c r="COS2187" s="594" t="s">
        <v>1232</v>
      </c>
      <c r="COT2187" s="594" t="s">
        <v>1232</v>
      </c>
      <c r="COU2187" s="594" t="s">
        <v>1232</v>
      </c>
      <c r="COV2187" s="594" t="s">
        <v>1232</v>
      </c>
      <c r="COW2187" s="594" t="s">
        <v>1232</v>
      </c>
      <c r="COX2187" s="594" t="s">
        <v>1232</v>
      </c>
      <c r="COY2187" s="594" t="s">
        <v>1232</v>
      </c>
      <c r="COZ2187" s="594" t="s">
        <v>1232</v>
      </c>
      <c r="CPA2187" s="594" t="s">
        <v>1232</v>
      </c>
      <c r="CPB2187" s="594" t="s">
        <v>1232</v>
      </c>
      <c r="CPC2187" s="594" t="s">
        <v>1232</v>
      </c>
      <c r="CPD2187" s="594" t="s">
        <v>1232</v>
      </c>
      <c r="CPE2187" s="594" t="s">
        <v>1232</v>
      </c>
      <c r="CPF2187" s="594" t="s">
        <v>1232</v>
      </c>
      <c r="CPG2187" s="594" t="s">
        <v>1232</v>
      </c>
      <c r="CPH2187" s="594" t="s">
        <v>1232</v>
      </c>
      <c r="CPI2187" s="594" t="s">
        <v>1232</v>
      </c>
      <c r="CPJ2187" s="594" t="s">
        <v>1232</v>
      </c>
      <c r="CPK2187" s="594" t="s">
        <v>1232</v>
      </c>
      <c r="CPL2187" s="594" t="s">
        <v>1232</v>
      </c>
      <c r="CPM2187" s="594" t="s">
        <v>1232</v>
      </c>
      <c r="CPN2187" s="594" t="s">
        <v>1232</v>
      </c>
      <c r="CPO2187" s="594" t="s">
        <v>1232</v>
      </c>
      <c r="CPP2187" s="594" t="s">
        <v>1232</v>
      </c>
      <c r="CPQ2187" s="594" t="s">
        <v>1232</v>
      </c>
      <c r="CPR2187" s="594" t="s">
        <v>1232</v>
      </c>
      <c r="CPS2187" s="594" t="s">
        <v>1232</v>
      </c>
      <c r="CPT2187" s="594" t="s">
        <v>1232</v>
      </c>
      <c r="CPU2187" s="594" t="s">
        <v>1232</v>
      </c>
      <c r="CPV2187" s="594" t="s">
        <v>1232</v>
      </c>
      <c r="CPW2187" s="594" t="s">
        <v>1232</v>
      </c>
      <c r="CPX2187" s="594" t="s">
        <v>1232</v>
      </c>
      <c r="CPY2187" s="594" t="s">
        <v>1232</v>
      </c>
      <c r="CPZ2187" s="594" t="s">
        <v>1232</v>
      </c>
      <c r="CQA2187" s="594" t="s">
        <v>1232</v>
      </c>
      <c r="CQB2187" s="594" t="s">
        <v>1232</v>
      </c>
      <c r="CQC2187" s="594" t="s">
        <v>1232</v>
      </c>
      <c r="CQD2187" s="594" t="s">
        <v>1232</v>
      </c>
      <c r="CQE2187" s="594" t="s">
        <v>1232</v>
      </c>
      <c r="CQF2187" s="594" t="s">
        <v>1232</v>
      </c>
      <c r="CQG2187" s="594" t="s">
        <v>1232</v>
      </c>
      <c r="CQH2187" s="594" t="s">
        <v>1232</v>
      </c>
      <c r="CQI2187" s="594" t="s">
        <v>1232</v>
      </c>
      <c r="CQJ2187" s="594" t="s">
        <v>1232</v>
      </c>
      <c r="CQK2187" s="594" t="s">
        <v>1232</v>
      </c>
      <c r="CQL2187" s="594" t="s">
        <v>1232</v>
      </c>
      <c r="CQM2187" s="594" t="s">
        <v>1232</v>
      </c>
      <c r="CQN2187" s="594" t="s">
        <v>1232</v>
      </c>
      <c r="CQO2187" s="594" t="s">
        <v>1232</v>
      </c>
      <c r="CQP2187" s="594" t="s">
        <v>1232</v>
      </c>
      <c r="CQQ2187" s="594" t="s">
        <v>1232</v>
      </c>
      <c r="CQR2187" s="594" t="s">
        <v>1232</v>
      </c>
      <c r="CQS2187" s="594" t="s">
        <v>1232</v>
      </c>
      <c r="CQT2187" s="594" t="s">
        <v>1232</v>
      </c>
      <c r="CQU2187" s="594" t="s">
        <v>1232</v>
      </c>
      <c r="CQV2187" s="594" t="s">
        <v>1232</v>
      </c>
      <c r="CQW2187" s="594" t="s">
        <v>1232</v>
      </c>
      <c r="CQX2187" s="594" t="s">
        <v>1232</v>
      </c>
      <c r="CQY2187" s="594" t="s">
        <v>1232</v>
      </c>
      <c r="CQZ2187" s="594" t="s">
        <v>1232</v>
      </c>
      <c r="CRA2187" s="594" t="s">
        <v>1232</v>
      </c>
      <c r="CRB2187" s="594" t="s">
        <v>1232</v>
      </c>
      <c r="CRC2187" s="594" t="s">
        <v>1232</v>
      </c>
      <c r="CRD2187" s="594" t="s">
        <v>1232</v>
      </c>
      <c r="CRE2187" s="594" t="s">
        <v>1232</v>
      </c>
      <c r="CRF2187" s="594" t="s">
        <v>1232</v>
      </c>
      <c r="CRG2187" s="594" t="s">
        <v>1232</v>
      </c>
      <c r="CRH2187" s="594" t="s">
        <v>1232</v>
      </c>
      <c r="CRI2187" s="594" t="s">
        <v>1232</v>
      </c>
      <c r="CRJ2187" s="594" t="s">
        <v>1232</v>
      </c>
      <c r="CRK2187" s="594" t="s">
        <v>1232</v>
      </c>
      <c r="CRL2187" s="594" t="s">
        <v>1232</v>
      </c>
      <c r="CRM2187" s="594" t="s">
        <v>1232</v>
      </c>
      <c r="CRN2187" s="594" t="s">
        <v>1232</v>
      </c>
      <c r="CRO2187" s="594" t="s">
        <v>1232</v>
      </c>
      <c r="CRP2187" s="594" t="s">
        <v>1232</v>
      </c>
      <c r="CRQ2187" s="594" t="s">
        <v>1232</v>
      </c>
      <c r="CRR2187" s="594" t="s">
        <v>1232</v>
      </c>
      <c r="CRS2187" s="594" t="s">
        <v>1232</v>
      </c>
      <c r="CRT2187" s="594" t="s">
        <v>1232</v>
      </c>
      <c r="CRU2187" s="594" t="s">
        <v>1232</v>
      </c>
      <c r="CRV2187" s="594" t="s">
        <v>1232</v>
      </c>
      <c r="CRW2187" s="594" t="s">
        <v>1232</v>
      </c>
      <c r="CRX2187" s="594" t="s">
        <v>1232</v>
      </c>
      <c r="CRY2187" s="594" t="s">
        <v>1232</v>
      </c>
      <c r="CRZ2187" s="594" t="s">
        <v>1232</v>
      </c>
      <c r="CSA2187" s="594" t="s">
        <v>1232</v>
      </c>
      <c r="CSB2187" s="594" t="s">
        <v>1232</v>
      </c>
      <c r="CSC2187" s="594" t="s">
        <v>1232</v>
      </c>
      <c r="CSD2187" s="594" t="s">
        <v>1232</v>
      </c>
      <c r="CSE2187" s="594" t="s">
        <v>1232</v>
      </c>
      <c r="CSF2187" s="594" t="s">
        <v>1232</v>
      </c>
      <c r="CSG2187" s="594" t="s">
        <v>1232</v>
      </c>
      <c r="CSH2187" s="594" t="s">
        <v>1232</v>
      </c>
      <c r="CSI2187" s="594" t="s">
        <v>1232</v>
      </c>
      <c r="CSJ2187" s="594" t="s">
        <v>1232</v>
      </c>
      <c r="CSK2187" s="594" t="s">
        <v>1232</v>
      </c>
      <c r="CSL2187" s="594" t="s">
        <v>1232</v>
      </c>
      <c r="CSM2187" s="594" t="s">
        <v>1232</v>
      </c>
      <c r="CSN2187" s="594" t="s">
        <v>1232</v>
      </c>
      <c r="CSO2187" s="594" t="s">
        <v>1232</v>
      </c>
      <c r="CSP2187" s="594" t="s">
        <v>1232</v>
      </c>
      <c r="CSQ2187" s="594" t="s">
        <v>1232</v>
      </c>
      <c r="CSR2187" s="594" t="s">
        <v>1232</v>
      </c>
      <c r="CSS2187" s="594" t="s">
        <v>1232</v>
      </c>
      <c r="CST2187" s="594" t="s">
        <v>1232</v>
      </c>
      <c r="CSU2187" s="594" t="s">
        <v>1232</v>
      </c>
      <c r="CSV2187" s="594" t="s">
        <v>1232</v>
      </c>
      <c r="CSW2187" s="594" t="s">
        <v>1232</v>
      </c>
      <c r="CSX2187" s="594" t="s">
        <v>1232</v>
      </c>
      <c r="CSY2187" s="594" t="s">
        <v>1232</v>
      </c>
      <c r="CSZ2187" s="594" t="s">
        <v>1232</v>
      </c>
      <c r="CTA2187" s="594" t="s">
        <v>1232</v>
      </c>
      <c r="CTB2187" s="594" t="s">
        <v>1232</v>
      </c>
      <c r="CTC2187" s="594" t="s">
        <v>1232</v>
      </c>
      <c r="CTD2187" s="594" t="s">
        <v>1232</v>
      </c>
      <c r="CTE2187" s="594" t="s">
        <v>1232</v>
      </c>
      <c r="CTF2187" s="594" t="s">
        <v>1232</v>
      </c>
      <c r="CTG2187" s="594" t="s">
        <v>1232</v>
      </c>
      <c r="CTH2187" s="594" t="s">
        <v>1232</v>
      </c>
      <c r="CTI2187" s="594" t="s">
        <v>1232</v>
      </c>
      <c r="CTJ2187" s="594" t="s">
        <v>1232</v>
      </c>
      <c r="CTK2187" s="594" t="s">
        <v>1232</v>
      </c>
      <c r="CTL2187" s="594" t="s">
        <v>1232</v>
      </c>
      <c r="CTM2187" s="594" t="s">
        <v>1232</v>
      </c>
      <c r="CTN2187" s="594" t="s">
        <v>1232</v>
      </c>
      <c r="CTO2187" s="594" t="s">
        <v>1232</v>
      </c>
      <c r="CTP2187" s="594" t="s">
        <v>1232</v>
      </c>
      <c r="CTQ2187" s="594" t="s">
        <v>1232</v>
      </c>
      <c r="CTR2187" s="594" t="s">
        <v>1232</v>
      </c>
      <c r="CTS2187" s="594" t="s">
        <v>1232</v>
      </c>
      <c r="CTT2187" s="594" t="s">
        <v>1232</v>
      </c>
      <c r="CTU2187" s="594" t="s">
        <v>1232</v>
      </c>
      <c r="CTV2187" s="594" t="s">
        <v>1232</v>
      </c>
      <c r="CTW2187" s="594" t="s">
        <v>1232</v>
      </c>
      <c r="CTX2187" s="594" t="s">
        <v>1232</v>
      </c>
      <c r="CTY2187" s="594" t="s">
        <v>1232</v>
      </c>
      <c r="CTZ2187" s="594" t="s">
        <v>1232</v>
      </c>
      <c r="CUA2187" s="594" t="s">
        <v>1232</v>
      </c>
      <c r="CUB2187" s="594" t="s">
        <v>1232</v>
      </c>
      <c r="CUC2187" s="594" t="s">
        <v>1232</v>
      </c>
      <c r="CUD2187" s="594" t="s">
        <v>1232</v>
      </c>
      <c r="CUE2187" s="594" t="s">
        <v>1232</v>
      </c>
      <c r="CUF2187" s="594" t="s">
        <v>1232</v>
      </c>
      <c r="CUG2187" s="594" t="s">
        <v>1232</v>
      </c>
      <c r="CUH2187" s="594" t="s">
        <v>1232</v>
      </c>
      <c r="CUI2187" s="594" t="s">
        <v>1232</v>
      </c>
      <c r="CUJ2187" s="594" t="s">
        <v>1232</v>
      </c>
      <c r="CUK2187" s="594" t="s">
        <v>1232</v>
      </c>
      <c r="CUL2187" s="594" t="s">
        <v>1232</v>
      </c>
      <c r="CUM2187" s="594" t="s">
        <v>1232</v>
      </c>
      <c r="CUN2187" s="594" t="s">
        <v>1232</v>
      </c>
      <c r="CUO2187" s="594" t="s">
        <v>1232</v>
      </c>
      <c r="CUP2187" s="594" t="s">
        <v>1232</v>
      </c>
      <c r="CUQ2187" s="594" t="s">
        <v>1232</v>
      </c>
      <c r="CUR2187" s="594" t="s">
        <v>1232</v>
      </c>
      <c r="CUS2187" s="594" t="s">
        <v>1232</v>
      </c>
      <c r="CUT2187" s="594" t="s">
        <v>1232</v>
      </c>
      <c r="CUU2187" s="594" t="s">
        <v>1232</v>
      </c>
      <c r="CUV2187" s="594" t="s">
        <v>1232</v>
      </c>
      <c r="CUW2187" s="594" t="s">
        <v>1232</v>
      </c>
      <c r="CUX2187" s="594" t="s">
        <v>1232</v>
      </c>
      <c r="CUY2187" s="594" t="s">
        <v>1232</v>
      </c>
      <c r="CUZ2187" s="594" t="s">
        <v>1232</v>
      </c>
      <c r="CVA2187" s="594" t="s">
        <v>1232</v>
      </c>
      <c r="CVB2187" s="594" t="s">
        <v>1232</v>
      </c>
      <c r="CVC2187" s="594" t="s">
        <v>1232</v>
      </c>
      <c r="CVD2187" s="594" t="s">
        <v>1232</v>
      </c>
      <c r="CVE2187" s="594" t="s">
        <v>1232</v>
      </c>
      <c r="CVF2187" s="594" t="s">
        <v>1232</v>
      </c>
      <c r="CVG2187" s="594" t="s">
        <v>1232</v>
      </c>
      <c r="CVH2187" s="594" t="s">
        <v>1232</v>
      </c>
      <c r="CVI2187" s="594" t="s">
        <v>1232</v>
      </c>
      <c r="CVJ2187" s="594" t="s">
        <v>1232</v>
      </c>
      <c r="CVK2187" s="594" t="s">
        <v>1232</v>
      </c>
      <c r="CVL2187" s="594" t="s">
        <v>1232</v>
      </c>
      <c r="CVM2187" s="594" t="s">
        <v>1232</v>
      </c>
      <c r="CVN2187" s="594" t="s">
        <v>1232</v>
      </c>
      <c r="CVO2187" s="594" t="s">
        <v>1232</v>
      </c>
      <c r="CVP2187" s="594" t="s">
        <v>1232</v>
      </c>
      <c r="CVQ2187" s="594" t="s">
        <v>1232</v>
      </c>
      <c r="CVR2187" s="594" t="s">
        <v>1232</v>
      </c>
      <c r="CVS2187" s="594" t="s">
        <v>1232</v>
      </c>
      <c r="CVT2187" s="594" t="s">
        <v>1232</v>
      </c>
      <c r="CVU2187" s="594" t="s">
        <v>1232</v>
      </c>
      <c r="CVV2187" s="594" t="s">
        <v>1232</v>
      </c>
      <c r="CVW2187" s="594" t="s">
        <v>1232</v>
      </c>
      <c r="CVX2187" s="594" t="s">
        <v>1232</v>
      </c>
      <c r="CVY2187" s="594" t="s">
        <v>1232</v>
      </c>
      <c r="CVZ2187" s="594" t="s">
        <v>1232</v>
      </c>
      <c r="CWA2187" s="594" t="s">
        <v>1232</v>
      </c>
      <c r="CWB2187" s="594" t="s">
        <v>1232</v>
      </c>
      <c r="CWC2187" s="594" t="s">
        <v>1232</v>
      </c>
      <c r="CWD2187" s="594" t="s">
        <v>1232</v>
      </c>
      <c r="CWE2187" s="594" t="s">
        <v>1232</v>
      </c>
      <c r="CWF2187" s="594" t="s">
        <v>1232</v>
      </c>
      <c r="CWG2187" s="594" t="s">
        <v>1232</v>
      </c>
      <c r="CWH2187" s="594" t="s">
        <v>1232</v>
      </c>
      <c r="CWI2187" s="594" t="s">
        <v>1232</v>
      </c>
      <c r="CWJ2187" s="594" t="s">
        <v>1232</v>
      </c>
      <c r="CWK2187" s="594" t="s">
        <v>1232</v>
      </c>
      <c r="CWL2187" s="594" t="s">
        <v>1232</v>
      </c>
      <c r="CWM2187" s="594" t="s">
        <v>1232</v>
      </c>
      <c r="CWN2187" s="594" t="s">
        <v>1232</v>
      </c>
      <c r="CWO2187" s="594" t="s">
        <v>1232</v>
      </c>
      <c r="CWP2187" s="594" t="s">
        <v>1232</v>
      </c>
      <c r="CWQ2187" s="594" t="s">
        <v>1232</v>
      </c>
      <c r="CWR2187" s="594" t="s">
        <v>1232</v>
      </c>
      <c r="CWS2187" s="594" t="s">
        <v>1232</v>
      </c>
      <c r="CWT2187" s="594" t="s">
        <v>1232</v>
      </c>
      <c r="CWU2187" s="594" t="s">
        <v>1232</v>
      </c>
      <c r="CWV2187" s="594" t="s">
        <v>1232</v>
      </c>
      <c r="CWW2187" s="594" t="s">
        <v>1232</v>
      </c>
      <c r="CWX2187" s="594" t="s">
        <v>1232</v>
      </c>
      <c r="CWY2187" s="594" t="s">
        <v>1232</v>
      </c>
      <c r="CWZ2187" s="594" t="s">
        <v>1232</v>
      </c>
      <c r="CXA2187" s="594" t="s">
        <v>1232</v>
      </c>
      <c r="CXB2187" s="594" t="s">
        <v>1232</v>
      </c>
      <c r="CXC2187" s="594" t="s">
        <v>1232</v>
      </c>
      <c r="CXD2187" s="594" t="s">
        <v>1232</v>
      </c>
      <c r="CXE2187" s="594" t="s">
        <v>1232</v>
      </c>
      <c r="CXF2187" s="594" t="s">
        <v>1232</v>
      </c>
      <c r="CXG2187" s="594" t="s">
        <v>1232</v>
      </c>
      <c r="CXH2187" s="594" t="s">
        <v>1232</v>
      </c>
      <c r="CXI2187" s="594" t="s">
        <v>1232</v>
      </c>
      <c r="CXJ2187" s="594" t="s">
        <v>1232</v>
      </c>
      <c r="CXK2187" s="594" t="s">
        <v>1232</v>
      </c>
      <c r="CXL2187" s="594" t="s">
        <v>1232</v>
      </c>
      <c r="CXM2187" s="594" t="s">
        <v>1232</v>
      </c>
      <c r="CXN2187" s="594" t="s">
        <v>1232</v>
      </c>
      <c r="CXO2187" s="594" t="s">
        <v>1232</v>
      </c>
      <c r="CXP2187" s="594" t="s">
        <v>1232</v>
      </c>
      <c r="CXQ2187" s="594" t="s">
        <v>1232</v>
      </c>
      <c r="CXR2187" s="594" t="s">
        <v>1232</v>
      </c>
      <c r="CXS2187" s="594" t="s">
        <v>1232</v>
      </c>
      <c r="CXT2187" s="594" t="s">
        <v>1232</v>
      </c>
      <c r="CXU2187" s="594" t="s">
        <v>1232</v>
      </c>
      <c r="CXV2187" s="594" t="s">
        <v>1232</v>
      </c>
      <c r="CXW2187" s="594" t="s">
        <v>1232</v>
      </c>
      <c r="CXX2187" s="594" t="s">
        <v>1232</v>
      </c>
      <c r="CXY2187" s="594" t="s">
        <v>1232</v>
      </c>
      <c r="CXZ2187" s="594" t="s">
        <v>1232</v>
      </c>
      <c r="CYA2187" s="594" t="s">
        <v>1232</v>
      </c>
      <c r="CYB2187" s="594" t="s">
        <v>1232</v>
      </c>
      <c r="CYC2187" s="594" t="s">
        <v>1232</v>
      </c>
      <c r="CYD2187" s="594" t="s">
        <v>1232</v>
      </c>
      <c r="CYE2187" s="594" t="s">
        <v>1232</v>
      </c>
      <c r="CYF2187" s="594" t="s">
        <v>1232</v>
      </c>
      <c r="CYG2187" s="594" t="s">
        <v>1232</v>
      </c>
      <c r="CYH2187" s="594" t="s">
        <v>1232</v>
      </c>
      <c r="CYI2187" s="594" t="s">
        <v>1232</v>
      </c>
      <c r="CYJ2187" s="594" t="s">
        <v>1232</v>
      </c>
      <c r="CYK2187" s="594" t="s">
        <v>1232</v>
      </c>
      <c r="CYL2187" s="594" t="s">
        <v>1232</v>
      </c>
      <c r="CYM2187" s="594" t="s">
        <v>1232</v>
      </c>
      <c r="CYN2187" s="594" t="s">
        <v>1232</v>
      </c>
      <c r="CYO2187" s="594" t="s">
        <v>1232</v>
      </c>
      <c r="CYP2187" s="594" t="s">
        <v>1232</v>
      </c>
      <c r="CYQ2187" s="594" t="s">
        <v>1232</v>
      </c>
      <c r="CYR2187" s="594" t="s">
        <v>1232</v>
      </c>
      <c r="CYS2187" s="594" t="s">
        <v>1232</v>
      </c>
      <c r="CYT2187" s="594" t="s">
        <v>1232</v>
      </c>
      <c r="CYU2187" s="594" t="s">
        <v>1232</v>
      </c>
      <c r="CYV2187" s="594" t="s">
        <v>1232</v>
      </c>
      <c r="CYW2187" s="594" t="s">
        <v>1232</v>
      </c>
      <c r="CYX2187" s="594" t="s">
        <v>1232</v>
      </c>
      <c r="CYY2187" s="594" t="s">
        <v>1232</v>
      </c>
      <c r="CYZ2187" s="594" t="s">
        <v>1232</v>
      </c>
      <c r="CZA2187" s="594" t="s">
        <v>1232</v>
      </c>
      <c r="CZB2187" s="594" t="s">
        <v>1232</v>
      </c>
      <c r="CZC2187" s="594" t="s">
        <v>1232</v>
      </c>
      <c r="CZD2187" s="594" t="s">
        <v>1232</v>
      </c>
      <c r="CZE2187" s="594" t="s">
        <v>1232</v>
      </c>
      <c r="CZF2187" s="594" t="s">
        <v>1232</v>
      </c>
      <c r="CZG2187" s="594" t="s">
        <v>1232</v>
      </c>
      <c r="CZH2187" s="594" t="s">
        <v>1232</v>
      </c>
      <c r="CZI2187" s="594" t="s">
        <v>1232</v>
      </c>
      <c r="CZJ2187" s="594" t="s">
        <v>1232</v>
      </c>
      <c r="CZK2187" s="594" t="s">
        <v>1232</v>
      </c>
      <c r="CZL2187" s="594" t="s">
        <v>1232</v>
      </c>
      <c r="CZM2187" s="594" t="s">
        <v>1232</v>
      </c>
      <c r="CZN2187" s="594" t="s">
        <v>1232</v>
      </c>
      <c r="CZO2187" s="594" t="s">
        <v>1232</v>
      </c>
      <c r="CZP2187" s="594" t="s">
        <v>1232</v>
      </c>
      <c r="CZQ2187" s="594" t="s">
        <v>1232</v>
      </c>
      <c r="CZR2187" s="594" t="s">
        <v>1232</v>
      </c>
      <c r="CZS2187" s="594" t="s">
        <v>1232</v>
      </c>
      <c r="CZT2187" s="594" t="s">
        <v>1232</v>
      </c>
      <c r="CZU2187" s="594" t="s">
        <v>1232</v>
      </c>
      <c r="CZV2187" s="594" t="s">
        <v>1232</v>
      </c>
      <c r="CZW2187" s="594" t="s">
        <v>1232</v>
      </c>
      <c r="CZX2187" s="594" t="s">
        <v>1232</v>
      </c>
      <c r="CZY2187" s="594" t="s">
        <v>1232</v>
      </c>
      <c r="CZZ2187" s="594" t="s">
        <v>1232</v>
      </c>
      <c r="DAA2187" s="594" t="s">
        <v>1232</v>
      </c>
      <c r="DAB2187" s="594" t="s">
        <v>1232</v>
      </c>
      <c r="DAC2187" s="594" t="s">
        <v>1232</v>
      </c>
      <c r="DAD2187" s="594" t="s">
        <v>1232</v>
      </c>
      <c r="DAE2187" s="594" t="s">
        <v>1232</v>
      </c>
      <c r="DAF2187" s="594" t="s">
        <v>1232</v>
      </c>
      <c r="DAG2187" s="594" t="s">
        <v>1232</v>
      </c>
      <c r="DAH2187" s="594" t="s">
        <v>1232</v>
      </c>
      <c r="DAI2187" s="594" t="s">
        <v>1232</v>
      </c>
      <c r="DAJ2187" s="594" t="s">
        <v>1232</v>
      </c>
      <c r="DAK2187" s="594" t="s">
        <v>1232</v>
      </c>
      <c r="DAL2187" s="594" t="s">
        <v>1232</v>
      </c>
      <c r="DAM2187" s="594" t="s">
        <v>1232</v>
      </c>
      <c r="DAN2187" s="594" t="s">
        <v>1232</v>
      </c>
      <c r="DAO2187" s="594" t="s">
        <v>1232</v>
      </c>
      <c r="DAP2187" s="594" t="s">
        <v>1232</v>
      </c>
      <c r="DAQ2187" s="594" t="s">
        <v>1232</v>
      </c>
      <c r="DAR2187" s="594" t="s">
        <v>1232</v>
      </c>
      <c r="DAS2187" s="594" t="s">
        <v>1232</v>
      </c>
      <c r="DAT2187" s="594" t="s">
        <v>1232</v>
      </c>
      <c r="DAU2187" s="594" t="s">
        <v>1232</v>
      </c>
      <c r="DAV2187" s="594" t="s">
        <v>1232</v>
      </c>
      <c r="DAW2187" s="594" t="s">
        <v>1232</v>
      </c>
      <c r="DAX2187" s="594" t="s">
        <v>1232</v>
      </c>
      <c r="DAY2187" s="594" t="s">
        <v>1232</v>
      </c>
      <c r="DAZ2187" s="594" t="s">
        <v>1232</v>
      </c>
      <c r="DBA2187" s="594" t="s">
        <v>1232</v>
      </c>
      <c r="DBB2187" s="594" t="s">
        <v>1232</v>
      </c>
      <c r="DBC2187" s="594" t="s">
        <v>1232</v>
      </c>
      <c r="DBD2187" s="594" t="s">
        <v>1232</v>
      </c>
      <c r="DBE2187" s="594" t="s">
        <v>1232</v>
      </c>
      <c r="DBF2187" s="594" t="s">
        <v>1232</v>
      </c>
      <c r="DBG2187" s="594" t="s">
        <v>1232</v>
      </c>
      <c r="DBH2187" s="594" t="s">
        <v>1232</v>
      </c>
      <c r="DBI2187" s="594" t="s">
        <v>1232</v>
      </c>
      <c r="DBJ2187" s="594" t="s">
        <v>1232</v>
      </c>
      <c r="DBK2187" s="594" t="s">
        <v>1232</v>
      </c>
      <c r="DBL2187" s="594" t="s">
        <v>1232</v>
      </c>
      <c r="DBM2187" s="594" t="s">
        <v>1232</v>
      </c>
      <c r="DBN2187" s="594" t="s">
        <v>1232</v>
      </c>
      <c r="DBO2187" s="594" t="s">
        <v>1232</v>
      </c>
      <c r="DBP2187" s="594" t="s">
        <v>1232</v>
      </c>
      <c r="DBQ2187" s="594" t="s">
        <v>1232</v>
      </c>
      <c r="DBR2187" s="594" t="s">
        <v>1232</v>
      </c>
      <c r="DBS2187" s="594" t="s">
        <v>1232</v>
      </c>
      <c r="DBT2187" s="594" t="s">
        <v>1232</v>
      </c>
      <c r="DBU2187" s="594" t="s">
        <v>1232</v>
      </c>
      <c r="DBV2187" s="594" t="s">
        <v>1232</v>
      </c>
      <c r="DBW2187" s="594" t="s">
        <v>1232</v>
      </c>
      <c r="DBX2187" s="594" t="s">
        <v>1232</v>
      </c>
      <c r="DBY2187" s="594" t="s">
        <v>1232</v>
      </c>
      <c r="DBZ2187" s="594" t="s">
        <v>1232</v>
      </c>
      <c r="DCA2187" s="594" t="s">
        <v>1232</v>
      </c>
      <c r="DCB2187" s="594" t="s">
        <v>1232</v>
      </c>
      <c r="DCC2187" s="594" t="s">
        <v>1232</v>
      </c>
      <c r="DCD2187" s="594" t="s">
        <v>1232</v>
      </c>
      <c r="DCE2187" s="594" t="s">
        <v>1232</v>
      </c>
      <c r="DCF2187" s="594" t="s">
        <v>1232</v>
      </c>
      <c r="DCG2187" s="594" t="s">
        <v>1232</v>
      </c>
      <c r="DCH2187" s="594" t="s">
        <v>1232</v>
      </c>
      <c r="DCI2187" s="594" t="s">
        <v>1232</v>
      </c>
      <c r="DCJ2187" s="594" t="s">
        <v>1232</v>
      </c>
      <c r="DCK2187" s="594" t="s">
        <v>1232</v>
      </c>
      <c r="DCL2187" s="594" t="s">
        <v>1232</v>
      </c>
      <c r="DCM2187" s="594" t="s">
        <v>1232</v>
      </c>
      <c r="DCN2187" s="594" t="s">
        <v>1232</v>
      </c>
      <c r="DCO2187" s="594" t="s">
        <v>1232</v>
      </c>
      <c r="DCP2187" s="594" t="s">
        <v>1232</v>
      </c>
      <c r="DCQ2187" s="594" t="s">
        <v>1232</v>
      </c>
      <c r="DCR2187" s="594" t="s">
        <v>1232</v>
      </c>
      <c r="DCS2187" s="594" t="s">
        <v>1232</v>
      </c>
      <c r="DCT2187" s="594" t="s">
        <v>1232</v>
      </c>
      <c r="DCU2187" s="594" t="s">
        <v>1232</v>
      </c>
      <c r="DCV2187" s="594" t="s">
        <v>1232</v>
      </c>
      <c r="DCW2187" s="594" t="s">
        <v>1232</v>
      </c>
      <c r="DCX2187" s="594" t="s">
        <v>1232</v>
      </c>
      <c r="DCY2187" s="594" t="s">
        <v>1232</v>
      </c>
      <c r="DCZ2187" s="594" t="s">
        <v>1232</v>
      </c>
      <c r="DDA2187" s="594" t="s">
        <v>1232</v>
      </c>
      <c r="DDB2187" s="594" t="s">
        <v>1232</v>
      </c>
      <c r="DDC2187" s="594" t="s">
        <v>1232</v>
      </c>
      <c r="DDD2187" s="594" t="s">
        <v>1232</v>
      </c>
      <c r="DDE2187" s="594" t="s">
        <v>1232</v>
      </c>
      <c r="DDF2187" s="594" t="s">
        <v>1232</v>
      </c>
      <c r="DDG2187" s="594" t="s">
        <v>1232</v>
      </c>
      <c r="DDH2187" s="594" t="s">
        <v>1232</v>
      </c>
      <c r="DDI2187" s="594" t="s">
        <v>1232</v>
      </c>
      <c r="DDJ2187" s="594" t="s">
        <v>1232</v>
      </c>
      <c r="DDK2187" s="594" t="s">
        <v>1232</v>
      </c>
      <c r="DDL2187" s="594" t="s">
        <v>1232</v>
      </c>
      <c r="DDM2187" s="594" t="s">
        <v>1232</v>
      </c>
      <c r="DDN2187" s="594" t="s">
        <v>1232</v>
      </c>
      <c r="DDO2187" s="594" t="s">
        <v>1232</v>
      </c>
      <c r="DDP2187" s="594" t="s">
        <v>1232</v>
      </c>
      <c r="DDQ2187" s="594" t="s">
        <v>1232</v>
      </c>
      <c r="DDR2187" s="594" t="s">
        <v>1232</v>
      </c>
      <c r="DDS2187" s="594" t="s">
        <v>1232</v>
      </c>
      <c r="DDT2187" s="594" t="s">
        <v>1232</v>
      </c>
      <c r="DDU2187" s="594" t="s">
        <v>1232</v>
      </c>
      <c r="DDV2187" s="594" t="s">
        <v>1232</v>
      </c>
      <c r="DDW2187" s="594" t="s">
        <v>1232</v>
      </c>
      <c r="DDX2187" s="594" t="s">
        <v>1232</v>
      </c>
      <c r="DDY2187" s="594" t="s">
        <v>1232</v>
      </c>
      <c r="DDZ2187" s="594" t="s">
        <v>1232</v>
      </c>
      <c r="DEA2187" s="594" t="s">
        <v>1232</v>
      </c>
      <c r="DEB2187" s="594" t="s">
        <v>1232</v>
      </c>
      <c r="DEC2187" s="594" t="s">
        <v>1232</v>
      </c>
      <c r="DED2187" s="594" t="s">
        <v>1232</v>
      </c>
      <c r="DEE2187" s="594" t="s">
        <v>1232</v>
      </c>
      <c r="DEF2187" s="594" t="s">
        <v>1232</v>
      </c>
      <c r="DEG2187" s="594" t="s">
        <v>1232</v>
      </c>
      <c r="DEH2187" s="594" t="s">
        <v>1232</v>
      </c>
      <c r="DEI2187" s="594" t="s">
        <v>1232</v>
      </c>
      <c r="DEJ2187" s="594" t="s">
        <v>1232</v>
      </c>
      <c r="DEK2187" s="594" t="s">
        <v>1232</v>
      </c>
      <c r="DEL2187" s="594" t="s">
        <v>1232</v>
      </c>
      <c r="DEM2187" s="594" t="s">
        <v>1232</v>
      </c>
      <c r="DEN2187" s="594" t="s">
        <v>1232</v>
      </c>
      <c r="DEO2187" s="594" t="s">
        <v>1232</v>
      </c>
      <c r="DEP2187" s="594" t="s">
        <v>1232</v>
      </c>
      <c r="DEQ2187" s="594" t="s">
        <v>1232</v>
      </c>
      <c r="DER2187" s="594" t="s">
        <v>1232</v>
      </c>
      <c r="DES2187" s="594" t="s">
        <v>1232</v>
      </c>
      <c r="DET2187" s="594" t="s">
        <v>1232</v>
      </c>
      <c r="DEU2187" s="594" t="s">
        <v>1232</v>
      </c>
      <c r="DEV2187" s="594" t="s">
        <v>1232</v>
      </c>
      <c r="DEW2187" s="594" t="s">
        <v>1232</v>
      </c>
      <c r="DEX2187" s="594" t="s">
        <v>1232</v>
      </c>
      <c r="DEY2187" s="594" t="s">
        <v>1232</v>
      </c>
      <c r="DEZ2187" s="594" t="s">
        <v>1232</v>
      </c>
      <c r="DFA2187" s="594" t="s">
        <v>1232</v>
      </c>
      <c r="DFB2187" s="594" t="s">
        <v>1232</v>
      </c>
      <c r="DFC2187" s="594" t="s">
        <v>1232</v>
      </c>
      <c r="DFD2187" s="594" t="s">
        <v>1232</v>
      </c>
      <c r="DFE2187" s="594" t="s">
        <v>1232</v>
      </c>
      <c r="DFF2187" s="594" t="s">
        <v>1232</v>
      </c>
      <c r="DFG2187" s="594" t="s">
        <v>1232</v>
      </c>
      <c r="DFH2187" s="594" t="s">
        <v>1232</v>
      </c>
      <c r="DFI2187" s="594" t="s">
        <v>1232</v>
      </c>
      <c r="DFJ2187" s="594" t="s">
        <v>1232</v>
      </c>
      <c r="DFK2187" s="594" t="s">
        <v>1232</v>
      </c>
      <c r="DFL2187" s="594" t="s">
        <v>1232</v>
      </c>
      <c r="DFM2187" s="594" t="s">
        <v>1232</v>
      </c>
      <c r="DFN2187" s="594" t="s">
        <v>1232</v>
      </c>
      <c r="DFO2187" s="594" t="s">
        <v>1232</v>
      </c>
      <c r="DFP2187" s="594" t="s">
        <v>1232</v>
      </c>
      <c r="DFQ2187" s="594" t="s">
        <v>1232</v>
      </c>
      <c r="DFR2187" s="594" t="s">
        <v>1232</v>
      </c>
      <c r="DFS2187" s="594" t="s">
        <v>1232</v>
      </c>
      <c r="DFT2187" s="594" t="s">
        <v>1232</v>
      </c>
      <c r="DFU2187" s="594" t="s">
        <v>1232</v>
      </c>
      <c r="DFV2187" s="594" t="s">
        <v>1232</v>
      </c>
      <c r="DFW2187" s="594" t="s">
        <v>1232</v>
      </c>
      <c r="DFX2187" s="594" t="s">
        <v>1232</v>
      </c>
      <c r="DFY2187" s="594" t="s">
        <v>1232</v>
      </c>
      <c r="DFZ2187" s="594" t="s">
        <v>1232</v>
      </c>
      <c r="DGA2187" s="594" t="s">
        <v>1232</v>
      </c>
      <c r="DGB2187" s="594" t="s">
        <v>1232</v>
      </c>
      <c r="DGC2187" s="594" t="s">
        <v>1232</v>
      </c>
      <c r="DGD2187" s="594" t="s">
        <v>1232</v>
      </c>
      <c r="DGE2187" s="594" t="s">
        <v>1232</v>
      </c>
      <c r="DGF2187" s="594" t="s">
        <v>1232</v>
      </c>
      <c r="DGG2187" s="594" t="s">
        <v>1232</v>
      </c>
      <c r="DGH2187" s="594" t="s">
        <v>1232</v>
      </c>
      <c r="DGI2187" s="594" t="s">
        <v>1232</v>
      </c>
      <c r="DGJ2187" s="594" t="s">
        <v>1232</v>
      </c>
      <c r="DGK2187" s="594" t="s">
        <v>1232</v>
      </c>
      <c r="DGL2187" s="594" t="s">
        <v>1232</v>
      </c>
      <c r="DGM2187" s="594" t="s">
        <v>1232</v>
      </c>
      <c r="DGN2187" s="594" t="s">
        <v>1232</v>
      </c>
      <c r="DGO2187" s="594" t="s">
        <v>1232</v>
      </c>
      <c r="DGP2187" s="594" t="s">
        <v>1232</v>
      </c>
      <c r="DGQ2187" s="594" t="s">
        <v>1232</v>
      </c>
      <c r="DGR2187" s="594" t="s">
        <v>1232</v>
      </c>
      <c r="DGS2187" s="594" t="s">
        <v>1232</v>
      </c>
      <c r="DGT2187" s="594" t="s">
        <v>1232</v>
      </c>
      <c r="DGU2187" s="594" t="s">
        <v>1232</v>
      </c>
      <c r="DGV2187" s="594" t="s">
        <v>1232</v>
      </c>
      <c r="DGW2187" s="594" t="s">
        <v>1232</v>
      </c>
      <c r="DGX2187" s="594" t="s">
        <v>1232</v>
      </c>
      <c r="DGY2187" s="594" t="s">
        <v>1232</v>
      </c>
      <c r="DGZ2187" s="594" t="s">
        <v>1232</v>
      </c>
      <c r="DHA2187" s="594" t="s">
        <v>1232</v>
      </c>
      <c r="DHB2187" s="594" t="s">
        <v>1232</v>
      </c>
      <c r="DHC2187" s="594" t="s">
        <v>1232</v>
      </c>
      <c r="DHD2187" s="594" t="s">
        <v>1232</v>
      </c>
      <c r="DHE2187" s="594" t="s">
        <v>1232</v>
      </c>
      <c r="DHF2187" s="594" t="s">
        <v>1232</v>
      </c>
      <c r="DHG2187" s="594" t="s">
        <v>1232</v>
      </c>
      <c r="DHH2187" s="594" t="s">
        <v>1232</v>
      </c>
      <c r="DHI2187" s="594" t="s">
        <v>1232</v>
      </c>
      <c r="DHJ2187" s="594" t="s">
        <v>1232</v>
      </c>
      <c r="DHK2187" s="594" t="s">
        <v>1232</v>
      </c>
      <c r="DHL2187" s="594" t="s">
        <v>1232</v>
      </c>
      <c r="DHM2187" s="594" t="s">
        <v>1232</v>
      </c>
      <c r="DHN2187" s="594" t="s">
        <v>1232</v>
      </c>
      <c r="DHO2187" s="594" t="s">
        <v>1232</v>
      </c>
      <c r="DHP2187" s="594" t="s">
        <v>1232</v>
      </c>
      <c r="DHQ2187" s="594" t="s">
        <v>1232</v>
      </c>
      <c r="DHR2187" s="594" t="s">
        <v>1232</v>
      </c>
      <c r="DHS2187" s="594" t="s">
        <v>1232</v>
      </c>
      <c r="DHT2187" s="594" t="s">
        <v>1232</v>
      </c>
      <c r="DHU2187" s="594" t="s">
        <v>1232</v>
      </c>
      <c r="DHV2187" s="594" t="s">
        <v>1232</v>
      </c>
      <c r="DHW2187" s="594" t="s">
        <v>1232</v>
      </c>
      <c r="DHX2187" s="594" t="s">
        <v>1232</v>
      </c>
      <c r="DHY2187" s="594" t="s">
        <v>1232</v>
      </c>
      <c r="DHZ2187" s="594" t="s">
        <v>1232</v>
      </c>
      <c r="DIA2187" s="594" t="s">
        <v>1232</v>
      </c>
      <c r="DIB2187" s="594" t="s">
        <v>1232</v>
      </c>
      <c r="DIC2187" s="594" t="s">
        <v>1232</v>
      </c>
      <c r="DID2187" s="594" t="s">
        <v>1232</v>
      </c>
      <c r="DIE2187" s="594" t="s">
        <v>1232</v>
      </c>
      <c r="DIF2187" s="594" t="s">
        <v>1232</v>
      </c>
      <c r="DIG2187" s="594" t="s">
        <v>1232</v>
      </c>
      <c r="DIH2187" s="594" t="s">
        <v>1232</v>
      </c>
      <c r="DII2187" s="594" t="s">
        <v>1232</v>
      </c>
      <c r="DIJ2187" s="594" t="s">
        <v>1232</v>
      </c>
      <c r="DIK2187" s="594" t="s">
        <v>1232</v>
      </c>
      <c r="DIL2187" s="594" t="s">
        <v>1232</v>
      </c>
      <c r="DIM2187" s="594" t="s">
        <v>1232</v>
      </c>
      <c r="DIN2187" s="594" t="s">
        <v>1232</v>
      </c>
      <c r="DIO2187" s="594" t="s">
        <v>1232</v>
      </c>
      <c r="DIP2187" s="594" t="s">
        <v>1232</v>
      </c>
      <c r="DIQ2187" s="594" t="s">
        <v>1232</v>
      </c>
      <c r="DIR2187" s="594" t="s">
        <v>1232</v>
      </c>
      <c r="DIS2187" s="594" t="s">
        <v>1232</v>
      </c>
      <c r="DIT2187" s="594" t="s">
        <v>1232</v>
      </c>
      <c r="DIU2187" s="594" t="s">
        <v>1232</v>
      </c>
      <c r="DIV2187" s="594" t="s">
        <v>1232</v>
      </c>
      <c r="DIW2187" s="594" t="s">
        <v>1232</v>
      </c>
      <c r="DIX2187" s="594" t="s">
        <v>1232</v>
      </c>
      <c r="DIY2187" s="594" t="s">
        <v>1232</v>
      </c>
      <c r="DIZ2187" s="594" t="s">
        <v>1232</v>
      </c>
      <c r="DJA2187" s="594" t="s">
        <v>1232</v>
      </c>
      <c r="DJB2187" s="594" t="s">
        <v>1232</v>
      </c>
      <c r="DJC2187" s="594" t="s">
        <v>1232</v>
      </c>
      <c r="DJD2187" s="594" t="s">
        <v>1232</v>
      </c>
      <c r="DJE2187" s="594" t="s">
        <v>1232</v>
      </c>
      <c r="DJF2187" s="594" t="s">
        <v>1232</v>
      </c>
      <c r="DJG2187" s="594" t="s">
        <v>1232</v>
      </c>
      <c r="DJH2187" s="594" t="s">
        <v>1232</v>
      </c>
      <c r="DJI2187" s="594" t="s">
        <v>1232</v>
      </c>
      <c r="DJJ2187" s="594" t="s">
        <v>1232</v>
      </c>
      <c r="DJK2187" s="594" t="s">
        <v>1232</v>
      </c>
      <c r="DJL2187" s="594" t="s">
        <v>1232</v>
      </c>
      <c r="DJM2187" s="594" t="s">
        <v>1232</v>
      </c>
      <c r="DJN2187" s="594" t="s">
        <v>1232</v>
      </c>
      <c r="DJO2187" s="594" t="s">
        <v>1232</v>
      </c>
      <c r="DJP2187" s="594" t="s">
        <v>1232</v>
      </c>
      <c r="DJQ2187" s="594" t="s">
        <v>1232</v>
      </c>
      <c r="DJR2187" s="594" t="s">
        <v>1232</v>
      </c>
      <c r="DJS2187" s="594" t="s">
        <v>1232</v>
      </c>
      <c r="DJT2187" s="594" t="s">
        <v>1232</v>
      </c>
      <c r="DJU2187" s="594" t="s">
        <v>1232</v>
      </c>
      <c r="DJV2187" s="594" t="s">
        <v>1232</v>
      </c>
      <c r="DJW2187" s="594" t="s">
        <v>1232</v>
      </c>
      <c r="DJX2187" s="594" t="s">
        <v>1232</v>
      </c>
      <c r="DJY2187" s="594" t="s">
        <v>1232</v>
      </c>
      <c r="DJZ2187" s="594" t="s">
        <v>1232</v>
      </c>
      <c r="DKA2187" s="594" t="s">
        <v>1232</v>
      </c>
      <c r="DKB2187" s="594" t="s">
        <v>1232</v>
      </c>
      <c r="DKC2187" s="594" t="s">
        <v>1232</v>
      </c>
      <c r="DKD2187" s="594" t="s">
        <v>1232</v>
      </c>
      <c r="DKE2187" s="594" t="s">
        <v>1232</v>
      </c>
      <c r="DKF2187" s="594" t="s">
        <v>1232</v>
      </c>
      <c r="DKG2187" s="594" t="s">
        <v>1232</v>
      </c>
      <c r="DKH2187" s="594" t="s">
        <v>1232</v>
      </c>
      <c r="DKI2187" s="594" t="s">
        <v>1232</v>
      </c>
      <c r="DKJ2187" s="594" t="s">
        <v>1232</v>
      </c>
      <c r="DKK2187" s="594" t="s">
        <v>1232</v>
      </c>
      <c r="DKL2187" s="594" t="s">
        <v>1232</v>
      </c>
      <c r="DKM2187" s="594" t="s">
        <v>1232</v>
      </c>
      <c r="DKN2187" s="594" t="s">
        <v>1232</v>
      </c>
      <c r="DKO2187" s="594" t="s">
        <v>1232</v>
      </c>
      <c r="DKP2187" s="594" t="s">
        <v>1232</v>
      </c>
      <c r="DKQ2187" s="594" t="s">
        <v>1232</v>
      </c>
      <c r="DKR2187" s="594" t="s">
        <v>1232</v>
      </c>
      <c r="DKS2187" s="594" t="s">
        <v>1232</v>
      </c>
      <c r="DKT2187" s="594" t="s">
        <v>1232</v>
      </c>
      <c r="DKU2187" s="594" t="s">
        <v>1232</v>
      </c>
      <c r="DKV2187" s="594" t="s">
        <v>1232</v>
      </c>
      <c r="DKW2187" s="594" t="s">
        <v>1232</v>
      </c>
      <c r="DKX2187" s="594" t="s">
        <v>1232</v>
      </c>
      <c r="DKY2187" s="594" t="s">
        <v>1232</v>
      </c>
      <c r="DKZ2187" s="594" t="s">
        <v>1232</v>
      </c>
      <c r="DLA2187" s="594" t="s">
        <v>1232</v>
      </c>
      <c r="DLB2187" s="594" t="s">
        <v>1232</v>
      </c>
      <c r="DLC2187" s="594" t="s">
        <v>1232</v>
      </c>
      <c r="DLD2187" s="594" t="s">
        <v>1232</v>
      </c>
      <c r="DLE2187" s="594" t="s">
        <v>1232</v>
      </c>
      <c r="DLF2187" s="594" t="s">
        <v>1232</v>
      </c>
      <c r="DLG2187" s="594" t="s">
        <v>1232</v>
      </c>
      <c r="DLH2187" s="594" t="s">
        <v>1232</v>
      </c>
      <c r="DLI2187" s="594" t="s">
        <v>1232</v>
      </c>
      <c r="DLJ2187" s="594" t="s">
        <v>1232</v>
      </c>
      <c r="DLK2187" s="594" t="s">
        <v>1232</v>
      </c>
      <c r="DLL2187" s="594" t="s">
        <v>1232</v>
      </c>
      <c r="DLM2187" s="594" t="s">
        <v>1232</v>
      </c>
      <c r="DLN2187" s="594" t="s">
        <v>1232</v>
      </c>
      <c r="DLO2187" s="594" t="s">
        <v>1232</v>
      </c>
      <c r="DLP2187" s="594" t="s">
        <v>1232</v>
      </c>
      <c r="DLQ2187" s="594" t="s">
        <v>1232</v>
      </c>
      <c r="DLR2187" s="594" t="s">
        <v>1232</v>
      </c>
      <c r="DLS2187" s="594" t="s">
        <v>1232</v>
      </c>
      <c r="DLT2187" s="594" t="s">
        <v>1232</v>
      </c>
      <c r="DLU2187" s="594" t="s">
        <v>1232</v>
      </c>
      <c r="DLV2187" s="594" t="s">
        <v>1232</v>
      </c>
      <c r="DLW2187" s="594" t="s">
        <v>1232</v>
      </c>
      <c r="DLX2187" s="594" t="s">
        <v>1232</v>
      </c>
      <c r="DLY2187" s="594" t="s">
        <v>1232</v>
      </c>
      <c r="DLZ2187" s="594" t="s">
        <v>1232</v>
      </c>
      <c r="DMA2187" s="594" t="s">
        <v>1232</v>
      </c>
      <c r="DMB2187" s="594" t="s">
        <v>1232</v>
      </c>
      <c r="DMC2187" s="594" t="s">
        <v>1232</v>
      </c>
      <c r="DMD2187" s="594" t="s">
        <v>1232</v>
      </c>
      <c r="DME2187" s="594" t="s">
        <v>1232</v>
      </c>
      <c r="DMF2187" s="594" t="s">
        <v>1232</v>
      </c>
      <c r="DMG2187" s="594" t="s">
        <v>1232</v>
      </c>
      <c r="DMH2187" s="594" t="s">
        <v>1232</v>
      </c>
      <c r="DMI2187" s="594" t="s">
        <v>1232</v>
      </c>
      <c r="DMJ2187" s="594" t="s">
        <v>1232</v>
      </c>
      <c r="DMK2187" s="594" t="s">
        <v>1232</v>
      </c>
      <c r="DML2187" s="594" t="s">
        <v>1232</v>
      </c>
      <c r="DMM2187" s="594" t="s">
        <v>1232</v>
      </c>
      <c r="DMN2187" s="594" t="s">
        <v>1232</v>
      </c>
      <c r="DMO2187" s="594" t="s">
        <v>1232</v>
      </c>
      <c r="DMP2187" s="594" t="s">
        <v>1232</v>
      </c>
      <c r="DMQ2187" s="594" t="s">
        <v>1232</v>
      </c>
      <c r="DMR2187" s="594" t="s">
        <v>1232</v>
      </c>
      <c r="DMS2187" s="594" t="s">
        <v>1232</v>
      </c>
      <c r="DMT2187" s="594" t="s">
        <v>1232</v>
      </c>
      <c r="DMU2187" s="594" t="s">
        <v>1232</v>
      </c>
      <c r="DMV2187" s="594" t="s">
        <v>1232</v>
      </c>
      <c r="DMW2187" s="594" t="s">
        <v>1232</v>
      </c>
      <c r="DMX2187" s="594" t="s">
        <v>1232</v>
      </c>
      <c r="DMY2187" s="594" t="s">
        <v>1232</v>
      </c>
      <c r="DMZ2187" s="594" t="s">
        <v>1232</v>
      </c>
      <c r="DNA2187" s="594" t="s">
        <v>1232</v>
      </c>
      <c r="DNB2187" s="594" t="s">
        <v>1232</v>
      </c>
      <c r="DNC2187" s="594" t="s">
        <v>1232</v>
      </c>
      <c r="DND2187" s="594" t="s">
        <v>1232</v>
      </c>
      <c r="DNE2187" s="594" t="s">
        <v>1232</v>
      </c>
      <c r="DNF2187" s="594" t="s">
        <v>1232</v>
      </c>
      <c r="DNG2187" s="594" t="s">
        <v>1232</v>
      </c>
      <c r="DNH2187" s="594" t="s">
        <v>1232</v>
      </c>
      <c r="DNI2187" s="594" t="s">
        <v>1232</v>
      </c>
      <c r="DNJ2187" s="594" t="s">
        <v>1232</v>
      </c>
      <c r="DNK2187" s="594" t="s">
        <v>1232</v>
      </c>
      <c r="DNL2187" s="594" t="s">
        <v>1232</v>
      </c>
      <c r="DNM2187" s="594" t="s">
        <v>1232</v>
      </c>
      <c r="DNN2187" s="594" t="s">
        <v>1232</v>
      </c>
      <c r="DNO2187" s="594" t="s">
        <v>1232</v>
      </c>
      <c r="DNP2187" s="594" t="s">
        <v>1232</v>
      </c>
      <c r="DNQ2187" s="594" t="s">
        <v>1232</v>
      </c>
      <c r="DNR2187" s="594" t="s">
        <v>1232</v>
      </c>
      <c r="DNS2187" s="594" t="s">
        <v>1232</v>
      </c>
      <c r="DNT2187" s="594" t="s">
        <v>1232</v>
      </c>
      <c r="DNU2187" s="594" t="s">
        <v>1232</v>
      </c>
      <c r="DNV2187" s="594" t="s">
        <v>1232</v>
      </c>
      <c r="DNW2187" s="594" t="s">
        <v>1232</v>
      </c>
      <c r="DNX2187" s="594" t="s">
        <v>1232</v>
      </c>
      <c r="DNY2187" s="594" t="s">
        <v>1232</v>
      </c>
      <c r="DNZ2187" s="594" t="s">
        <v>1232</v>
      </c>
      <c r="DOA2187" s="594" t="s">
        <v>1232</v>
      </c>
      <c r="DOB2187" s="594" t="s">
        <v>1232</v>
      </c>
      <c r="DOC2187" s="594" t="s">
        <v>1232</v>
      </c>
      <c r="DOD2187" s="594" t="s">
        <v>1232</v>
      </c>
      <c r="DOE2187" s="594" t="s">
        <v>1232</v>
      </c>
      <c r="DOF2187" s="594" t="s">
        <v>1232</v>
      </c>
      <c r="DOG2187" s="594" t="s">
        <v>1232</v>
      </c>
      <c r="DOH2187" s="594" t="s">
        <v>1232</v>
      </c>
      <c r="DOI2187" s="594" t="s">
        <v>1232</v>
      </c>
      <c r="DOJ2187" s="594" t="s">
        <v>1232</v>
      </c>
      <c r="DOK2187" s="594" t="s">
        <v>1232</v>
      </c>
      <c r="DOL2187" s="594" t="s">
        <v>1232</v>
      </c>
      <c r="DOM2187" s="594" t="s">
        <v>1232</v>
      </c>
      <c r="DON2187" s="594" t="s">
        <v>1232</v>
      </c>
      <c r="DOO2187" s="594" t="s">
        <v>1232</v>
      </c>
      <c r="DOP2187" s="594" t="s">
        <v>1232</v>
      </c>
      <c r="DOQ2187" s="594" t="s">
        <v>1232</v>
      </c>
      <c r="DOR2187" s="594" t="s">
        <v>1232</v>
      </c>
      <c r="DOS2187" s="594" t="s">
        <v>1232</v>
      </c>
      <c r="DOT2187" s="594" t="s">
        <v>1232</v>
      </c>
      <c r="DOU2187" s="594" t="s">
        <v>1232</v>
      </c>
      <c r="DOV2187" s="594" t="s">
        <v>1232</v>
      </c>
      <c r="DOW2187" s="594" t="s">
        <v>1232</v>
      </c>
      <c r="DOX2187" s="594" t="s">
        <v>1232</v>
      </c>
      <c r="DOY2187" s="594" t="s">
        <v>1232</v>
      </c>
      <c r="DOZ2187" s="594" t="s">
        <v>1232</v>
      </c>
      <c r="DPA2187" s="594" t="s">
        <v>1232</v>
      </c>
      <c r="DPB2187" s="594" t="s">
        <v>1232</v>
      </c>
      <c r="DPC2187" s="594" t="s">
        <v>1232</v>
      </c>
      <c r="DPD2187" s="594" t="s">
        <v>1232</v>
      </c>
      <c r="DPE2187" s="594" t="s">
        <v>1232</v>
      </c>
      <c r="DPF2187" s="594" t="s">
        <v>1232</v>
      </c>
      <c r="DPG2187" s="594" t="s">
        <v>1232</v>
      </c>
      <c r="DPH2187" s="594" t="s">
        <v>1232</v>
      </c>
      <c r="DPI2187" s="594" t="s">
        <v>1232</v>
      </c>
      <c r="DPJ2187" s="594" t="s">
        <v>1232</v>
      </c>
      <c r="DPK2187" s="594" t="s">
        <v>1232</v>
      </c>
      <c r="DPL2187" s="594" t="s">
        <v>1232</v>
      </c>
      <c r="DPM2187" s="594" t="s">
        <v>1232</v>
      </c>
      <c r="DPN2187" s="594" t="s">
        <v>1232</v>
      </c>
      <c r="DPO2187" s="594" t="s">
        <v>1232</v>
      </c>
      <c r="DPP2187" s="594" t="s">
        <v>1232</v>
      </c>
      <c r="DPQ2187" s="594" t="s">
        <v>1232</v>
      </c>
      <c r="DPR2187" s="594" t="s">
        <v>1232</v>
      </c>
      <c r="DPS2187" s="594" t="s">
        <v>1232</v>
      </c>
      <c r="DPT2187" s="594" t="s">
        <v>1232</v>
      </c>
      <c r="DPU2187" s="594" t="s">
        <v>1232</v>
      </c>
      <c r="DPV2187" s="594" t="s">
        <v>1232</v>
      </c>
      <c r="DPW2187" s="594" t="s">
        <v>1232</v>
      </c>
      <c r="DPX2187" s="594" t="s">
        <v>1232</v>
      </c>
      <c r="DPY2187" s="594" t="s">
        <v>1232</v>
      </c>
      <c r="DPZ2187" s="594" t="s">
        <v>1232</v>
      </c>
      <c r="DQA2187" s="594" t="s">
        <v>1232</v>
      </c>
      <c r="DQB2187" s="594" t="s">
        <v>1232</v>
      </c>
      <c r="DQC2187" s="594" t="s">
        <v>1232</v>
      </c>
      <c r="DQD2187" s="594" t="s">
        <v>1232</v>
      </c>
      <c r="DQE2187" s="594" t="s">
        <v>1232</v>
      </c>
      <c r="DQF2187" s="594" t="s">
        <v>1232</v>
      </c>
      <c r="DQG2187" s="594" t="s">
        <v>1232</v>
      </c>
      <c r="DQH2187" s="594" t="s">
        <v>1232</v>
      </c>
      <c r="DQI2187" s="594" t="s">
        <v>1232</v>
      </c>
      <c r="DQJ2187" s="594" t="s">
        <v>1232</v>
      </c>
      <c r="DQK2187" s="594" t="s">
        <v>1232</v>
      </c>
      <c r="DQL2187" s="594" t="s">
        <v>1232</v>
      </c>
      <c r="DQM2187" s="594" t="s">
        <v>1232</v>
      </c>
      <c r="DQN2187" s="594" t="s">
        <v>1232</v>
      </c>
      <c r="DQO2187" s="594" t="s">
        <v>1232</v>
      </c>
      <c r="DQP2187" s="594" t="s">
        <v>1232</v>
      </c>
      <c r="DQQ2187" s="594" t="s">
        <v>1232</v>
      </c>
      <c r="DQR2187" s="594" t="s">
        <v>1232</v>
      </c>
      <c r="DQS2187" s="594" t="s">
        <v>1232</v>
      </c>
      <c r="DQT2187" s="594" t="s">
        <v>1232</v>
      </c>
      <c r="DQU2187" s="594" t="s">
        <v>1232</v>
      </c>
      <c r="DQV2187" s="594" t="s">
        <v>1232</v>
      </c>
      <c r="DQW2187" s="594" t="s">
        <v>1232</v>
      </c>
      <c r="DQX2187" s="594" t="s">
        <v>1232</v>
      </c>
      <c r="DQY2187" s="594" t="s">
        <v>1232</v>
      </c>
      <c r="DQZ2187" s="594" t="s">
        <v>1232</v>
      </c>
      <c r="DRA2187" s="594" t="s">
        <v>1232</v>
      </c>
      <c r="DRB2187" s="594" t="s">
        <v>1232</v>
      </c>
      <c r="DRC2187" s="594" t="s">
        <v>1232</v>
      </c>
      <c r="DRD2187" s="594" t="s">
        <v>1232</v>
      </c>
      <c r="DRE2187" s="594" t="s">
        <v>1232</v>
      </c>
      <c r="DRF2187" s="594" t="s">
        <v>1232</v>
      </c>
      <c r="DRG2187" s="594" t="s">
        <v>1232</v>
      </c>
      <c r="DRH2187" s="594" t="s">
        <v>1232</v>
      </c>
      <c r="DRI2187" s="594" t="s">
        <v>1232</v>
      </c>
      <c r="DRJ2187" s="594" t="s">
        <v>1232</v>
      </c>
      <c r="DRK2187" s="594" t="s">
        <v>1232</v>
      </c>
      <c r="DRL2187" s="594" t="s">
        <v>1232</v>
      </c>
      <c r="DRM2187" s="594" t="s">
        <v>1232</v>
      </c>
      <c r="DRN2187" s="594" t="s">
        <v>1232</v>
      </c>
      <c r="DRO2187" s="594" t="s">
        <v>1232</v>
      </c>
      <c r="DRP2187" s="594" t="s">
        <v>1232</v>
      </c>
      <c r="DRQ2187" s="594" t="s">
        <v>1232</v>
      </c>
      <c r="DRR2187" s="594" t="s">
        <v>1232</v>
      </c>
      <c r="DRS2187" s="594" t="s">
        <v>1232</v>
      </c>
      <c r="DRT2187" s="594" t="s">
        <v>1232</v>
      </c>
      <c r="DRU2187" s="594" t="s">
        <v>1232</v>
      </c>
      <c r="DRV2187" s="594" t="s">
        <v>1232</v>
      </c>
      <c r="DRW2187" s="594" t="s">
        <v>1232</v>
      </c>
      <c r="DRX2187" s="594" t="s">
        <v>1232</v>
      </c>
      <c r="DRY2187" s="594" t="s">
        <v>1232</v>
      </c>
      <c r="DRZ2187" s="594" t="s">
        <v>1232</v>
      </c>
      <c r="DSA2187" s="594" t="s">
        <v>1232</v>
      </c>
      <c r="DSB2187" s="594" t="s">
        <v>1232</v>
      </c>
      <c r="DSC2187" s="594" t="s">
        <v>1232</v>
      </c>
      <c r="DSD2187" s="594" t="s">
        <v>1232</v>
      </c>
      <c r="DSE2187" s="594" t="s">
        <v>1232</v>
      </c>
      <c r="DSF2187" s="594" t="s">
        <v>1232</v>
      </c>
      <c r="DSG2187" s="594" t="s">
        <v>1232</v>
      </c>
      <c r="DSH2187" s="594" t="s">
        <v>1232</v>
      </c>
      <c r="DSI2187" s="594" t="s">
        <v>1232</v>
      </c>
      <c r="DSJ2187" s="594" t="s">
        <v>1232</v>
      </c>
      <c r="DSK2187" s="594" t="s">
        <v>1232</v>
      </c>
      <c r="DSL2187" s="594" t="s">
        <v>1232</v>
      </c>
      <c r="DSM2187" s="594" t="s">
        <v>1232</v>
      </c>
      <c r="DSN2187" s="594" t="s">
        <v>1232</v>
      </c>
      <c r="DSO2187" s="594" t="s">
        <v>1232</v>
      </c>
      <c r="DSP2187" s="594" t="s">
        <v>1232</v>
      </c>
      <c r="DSQ2187" s="594" t="s">
        <v>1232</v>
      </c>
      <c r="DSR2187" s="594" t="s">
        <v>1232</v>
      </c>
      <c r="DSS2187" s="594" t="s">
        <v>1232</v>
      </c>
      <c r="DST2187" s="594" t="s">
        <v>1232</v>
      </c>
      <c r="DSU2187" s="594" t="s">
        <v>1232</v>
      </c>
      <c r="DSV2187" s="594" t="s">
        <v>1232</v>
      </c>
      <c r="DSW2187" s="594" t="s">
        <v>1232</v>
      </c>
      <c r="DSX2187" s="594" t="s">
        <v>1232</v>
      </c>
      <c r="DSY2187" s="594" t="s">
        <v>1232</v>
      </c>
      <c r="DSZ2187" s="594" t="s">
        <v>1232</v>
      </c>
      <c r="DTA2187" s="594" t="s">
        <v>1232</v>
      </c>
      <c r="DTB2187" s="594" t="s">
        <v>1232</v>
      </c>
      <c r="DTC2187" s="594" t="s">
        <v>1232</v>
      </c>
      <c r="DTD2187" s="594" t="s">
        <v>1232</v>
      </c>
      <c r="DTE2187" s="594" t="s">
        <v>1232</v>
      </c>
      <c r="DTF2187" s="594" t="s">
        <v>1232</v>
      </c>
      <c r="DTG2187" s="594" t="s">
        <v>1232</v>
      </c>
      <c r="DTH2187" s="594" t="s">
        <v>1232</v>
      </c>
      <c r="DTI2187" s="594" t="s">
        <v>1232</v>
      </c>
      <c r="DTJ2187" s="594" t="s">
        <v>1232</v>
      </c>
      <c r="DTK2187" s="594" t="s">
        <v>1232</v>
      </c>
      <c r="DTL2187" s="594" t="s">
        <v>1232</v>
      </c>
      <c r="DTM2187" s="594" t="s">
        <v>1232</v>
      </c>
      <c r="DTN2187" s="594" t="s">
        <v>1232</v>
      </c>
      <c r="DTO2187" s="594" t="s">
        <v>1232</v>
      </c>
      <c r="DTP2187" s="594" t="s">
        <v>1232</v>
      </c>
      <c r="DTQ2187" s="594" t="s">
        <v>1232</v>
      </c>
      <c r="DTR2187" s="594" t="s">
        <v>1232</v>
      </c>
      <c r="DTS2187" s="594" t="s">
        <v>1232</v>
      </c>
      <c r="DTT2187" s="594" t="s">
        <v>1232</v>
      </c>
      <c r="DTU2187" s="594" t="s">
        <v>1232</v>
      </c>
      <c r="DTV2187" s="594" t="s">
        <v>1232</v>
      </c>
      <c r="DTW2187" s="594" t="s">
        <v>1232</v>
      </c>
      <c r="DTX2187" s="594" t="s">
        <v>1232</v>
      </c>
      <c r="DTY2187" s="594" t="s">
        <v>1232</v>
      </c>
      <c r="DTZ2187" s="594" t="s">
        <v>1232</v>
      </c>
      <c r="DUA2187" s="594" t="s">
        <v>1232</v>
      </c>
      <c r="DUB2187" s="594" t="s">
        <v>1232</v>
      </c>
      <c r="DUC2187" s="594" t="s">
        <v>1232</v>
      </c>
      <c r="DUD2187" s="594" t="s">
        <v>1232</v>
      </c>
      <c r="DUE2187" s="594" t="s">
        <v>1232</v>
      </c>
      <c r="DUF2187" s="594" t="s">
        <v>1232</v>
      </c>
      <c r="DUG2187" s="594" t="s">
        <v>1232</v>
      </c>
      <c r="DUH2187" s="594" t="s">
        <v>1232</v>
      </c>
      <c r="DUI2187" s="594" t="s">
        <v>1232</v>
      </c>
      <c r="DUJ2187" s="594" t="s">
        <v>1232</v>
      </c>
      <c r="DUK2187" s="594" t="s">
        <v>1232</v>
      </c>
      <c r="DUL2187" s="594" t="s">
        <v>1232</v>
      </c>
      <c r="DUM2187" s="594" t="s">
        <v>1232</v>
      </c>
      <c r="DUN2187" s="594" t="s">
        <v>1232</v>
      </c>
      <c r="DUO2187" s="594" t="s">
        <v>1232</v>
      </c>
      <c r="DUP2187" s="594" t="s">
        <v>1232</v>
      </c>
      <c r="DUQ2187" s="594" t="s">
        <v>1232</v>
      </c>
      <c r="DUR2187" s="594" t="s">
        <v>1232</v>
      </c>
      <c r="DUS2187" s="594" t="s">
        <v>1232</v>
      </c>
      <c r="DUT2187" s="594" t="s">
        <v>1232</v>
      </c>
      <c r="DUU2187" s="594" t="s">
        <v>1232</v>
      </c>
      <c r="DUV2187" s="594" t="s">
        <v>1232</v>
      </c>
      <c r="DUW2187" s="594" t="s">
        <v>1232</v>
      </c>
      <c r="DUX2187" s="594" t="s">
        <v>1232</v>
      </c>
      <c r="DUY2187" s="594" t="s">
        <v>1232</v>
      </c>
      <c r="DUZ2187" s="594" t="s">
        <v>1232</v>
      </c>
      <c r="DVA2187" s="594" t="s">
        <v>1232</v>
      </c>
      <c r="DVB2187" s="594" t="s">
        <v>1232</v>
      </c>
      <c r="DVC2187" s="594" t="s">
        <v>1232</v>
      </c>
      <c r="DVD2187" s="594" t="s">
        <v>1232</v>
      </c>
      <c r="DVE2187" s="594" t="s">
        <v>1232</v>
      </c>
      <c r="DVF2187" s="594" t="s">
        <v>1232</v>
      </c>
      <c r="DVG2187" s="594" t="s">
        <v>1232</v>
      </c>
      <c r="DVH2187" s="594" t="s">
        <v>1232</v>
      </c>
      <c r="DVI2187" s="594" t="s">
        <v>1232</v>
      </c>
      <c r="DVJ2187" s="594" t="s">
        <v>1232</v>
      </c>
      <c r="DVK2187" s="594" t="s">
        <v>1232</v>
      </c>
      <c r="DVL2187" s="594" t="s">
        <v>1232</v>
      </c>
      <c r="DVM2187" s="594" t="s">
        <v>1232</v>
      </c>
      <c r="DVN2187" s="594" t="s">
        <v>1232</v>
      </c>
      <c r="DVO2187" s="594" t="s">
        <v>1232</v>
      </c>
      <c r="DVP2187" s="594" t="s">
        <v>1232</v>
      </c>
      <c r="DVQ2187" s="594" t="s">
        <v>1232</v>
      </c>
      <c r="DVR2187" s="594" t="s">
        <v>1232</v>
      </c>
      <c r="DVS2187" s="594" t="s">
        <v>1232</v>
      </c>
      <c r="DVT2187" s="594" t="s">
        <v>1232</v>
      </c>
      <c r="DVU2187" s="594" t="s">
        <v>1232</v>
      </c>
      <c r="DVV2187" s="594" t="s">
        <v>1232</v>
      </c>
      <c r="DVW2187" s="594" t="s">
        <v>1232</v>
      </c>
      <c r="DVX2187" s="594" t="s">
        <v>1232</v>
      </c>
      <c r="DVY2187" s="594" t="s">
        <v>1232</v>
      </c>
      <c r="DVZ2187" s="594" t="s">
        <v>1232</v>
      </c>
      <c r="DWA2187" s="594" t="s">
        <v>1232</v>
      </c>
      <c r="DWB2187" s="594" t="s">
        <v>1232</v>
      </c>
      <c r="DWC2187" s="594" t="s">
        <v>1232</v>
      </c>
      <c r="DWD2187" s="594" t="s">
        <v>1232</v>
      </c>
      <c r="DWE2187" s="594" t="s">
        <v>1232</v>
      </c>
      <c r="DWF2187" s="594" t="s">
        <v>1232</v>
      </c>
      <c r="DWG2187" s="594" t="s">
        <v>1232</v>
      </c>
      <c r="DWH2187" s="594" t="s">
        <v>1232</v>
      </c>
      <c r="DWI2187" s="594" t="s">
        <v>1232</v>
      </c>
      <c r="DWJ2187" s="594" t="s">
        <v>1232</v>
      </c>
      <c r="DWK2187" s="594" t="s">
        <v>1232</v>
      </c>
      <c r="DWL2187" s="594" t="s">
        <v>1232</v>
      </c>
      <c r="DWM2187" s="594" t="s">
        <v>1232</v>
      </c>
      <c r="DWN2187" s="594" t="s">
        <v>1232</v>
      </c>
      <c r="DWO2187" s="594" t="s">
        <v>1232</v>
      </c>
      <c r="DWP2187" s="594" t="s">
        <v>1232</v>
      </c>
      <c r="DWQ2187" s="594" t="s">
        <v>1232</v>
      </c>
      <c r="DWR2187" s="594" t="s">
        <v>1232</v>
      </c>
      <c r="DWS2187" s="594" t="s">
        <v>1232</v>
      </c>
      <c r="DWT2187" s="594" t="s">
        <v>1232</v>
      </c>
      <c r="DWU2187" s="594" t="s">
        <v>1232</v>
      </c>
      <c r="DWV2187" s="594" t="s">
        <v>1232</v>
      </c>
      <c r="DWW2187" s="594" t="s">
        <v>1232</v>
      </c>
      <c r="DWX2187" s="594" t="s">
        <v>1232</v>
      </c>
      <c r="DWY2187" s="594" t="s">
        <v>1232</v>
      </c>
      <c r="DWZ2187" s="594" t="s">
        <v>1232</v>
      </c>
      <c r="DXA2187" s="594" t="s">
        <v>1232</v>
      </c>
      <c r="DXB2187" s="594" t="s">
        <v>1232</v>
      </c>
      <c r="DXC2187" s="594" t="s">
        <v>1232</v>
      </c>
      <c r="DXD2187" s="594" t="s">
        <v>1232</v>
      </c>
      <c r="DXE2187" s="594" t="s">
        <v>1232</v>
      </c>
      <c r="DXF2187" s="594" t="s">
        <v>1232</v>
      </c>
      <c r="DXG2187" s="594" t="s">
        <v>1232</v>
      </c>
      <c r="DXH2187" s="594" t="s">
        <v>1232</v>
      </c>
      <c r="DXI2187" s="594" t="s">
        <v>1232</v>
      </c>
      <c r="DXJ2187" s="594" t="s">
        <v>1232</v>
      </c>
      <c r="DXK2187" s="594" t="s">
        <v>1232</v>
      </c>
      <c r="DXL2187" s="594" t="s">
        <v>1232</v>
      </c>
      <c r="DXM2187" s="594" t="s">
        <v>1232</v>
      </c>
      <c r="DXN2187" s="594" t="s">
        <v>1232</v>
      </c>
      <c r="DXO2187" s="594" t="s">
        <v>1232</v>
      </c>
      <c r="DXP2187" s="594" t="s">
        <v>1232</v>
      </c>
      <c r="DXQ2187" s="594" t="s">
        <v>1232</v>
      </c>
      <c r="DXR2187" s="594" t="s">
        <v>1232</v>
      </c>
      <c r="DXS2187" s="594" t="s">
        <v>1232</v>
      </c>
      <c r="DXT2187" s="594" t="s">
        <v>1232</v>
      </c>
      <c r="DXU2187" s="594" t="s">
        <v>1232</v>
      </c>
      <c r="DXV2187" s="594" t="s">
        <v>1232</v>
      </c>
      <c r="DXW2187" s="594" t="s">
        <v>1232</v>
      </c>
      <c r="DXX2187" s="594" t="s">
        <v>1232</v>
      </c>
      <c r="DXY2187" s="594" t="s">
        <v>1232</v>
      </c>
      <c r="DXZ2187" s="594" t="s">
        <v>1232</v>
      </c>
      <c r="DYA2187" s="594" t="s">
        <v>1232</v>
      </c>
      <c r="DYB2187" s="594" t="s">
        <v>1232</v>
      </c>
      <c r="DYC2187" s="594" t="s">
        <v>1232</v>
      </c>
      <c r="DYD2187" s="594" t="s">
        <v>1232</v>
      </c>
      <c r="DYE2187" s="594" t="s">
        <v>1232</v>
      </c>
      <c r="DYF2187" s="594" t="s">
        <v>1232</v>
      </c>
      <c r="DYG2187" s="594" t="s">
        <v>1232</v>
      </c>
      <c r="DYH2187" s="594" t="s">
        <v>1232</v>
      </c>
      <c r="DYI2187" s="594" t="s">
        <v>1232</v>
      </c>
      <c r="DYJ2187" s="594" t="s">
        <v>1232</v>
      </c>
      <c r="DYK2187" s="594" t="s">
        <v>1232</v>
      </c>
      <c r="DYL2187" s="594" t="s">
        <v>1232</v>
      </c>
      <c r="DYM2187" s="594" t="s">
        <v>1232</v>
      </c>
      <c r="DYN2187" s="594" t="s">
        <v>1232</v>
      </c>
      <c r="DYO2187" s="594" t="s">
        <v>1232</v>
      </c>
      <c r="DYP2187" s="594" t="s">
        <v>1232</v>
      </c>
      <c r="DYQ2187" s="594" t="s">
        <v>1232</v>
      </c>
      <c r="DYR2187" s="594" t="s">
        <v>1232</v>
      </c>
      <c r="DYS2187" s="594" t="s">
        <v>1232</v>
      </c>
      <c r="DYT2187" s="594" t="s">
        <v>1232</v>
      </c>
      <c r="DYU2187" s="594" t="s">
        <v>1232</v>
      </c>
      <c r="DYV2187" s="594" t="s">
        <v>1232</v>
      </c>
      <c r="DYW2187" s="594" t="s">
        <v>1232</v>
      </c>
      <c r="DYX2187" s="594" t="s">
        <v>1232</v>
      </c>
      <c r="DYY2187" s="594" t="s">
        <v>1232</v>
      </c>
      <c r="DYZ2187" s="594" t="s">
        <v>1232</v>
      </c>
      <c r="DZA2187" s="594" t="s">
        <v>1232</v>
      </c>
      <c r="DZB2187" s="594" t="s">
        <v>1232</v>
      </c>
      <c r="DZC2187" s="594" t="s">
        <v>1232</v>
      </c>
      <c r="DZD2187" s="594" t="s">
        <v>1232</v>
      </c>
      <c r="DZE2187" s="594" t="s">
        <v>1232</v>
      </c>
      <c r="DZF2187" s="594" t="s">
        <v>1232</v>
      </c>
      <c r="DZG2187" s="594" t="s">
        <v>1232</v>
      </c>
      <c r="DZH2187" s="594" t="s">
        <v>1232</v>
      </c>
      <c r="DZI2187" s="594" t="s">
        <v>1232</v>
      </c>
      <c r="DZJ2187" s="594" t="s">
        <v>1232</v>
      </c>
      <c r="DZK2187" s="594" t="s">
        <v>1232</v>
      </c>
      <c r="DZL2187" s="594" t="s">
        <v>1232</v>
      </c>
      <c r="DZM2187" s="594" t="s">
        <v>1232</v>
      </c>
      <c r="DZN2187" s="594" t="s">
        <v>1232</v>
      </c>
      <c r="DZO2187" s="594" t="s">
        <v>1232</v>
      </c>
      <c r="DZP2187" s="594" t="s">
        <v>1232</v>
      </c>
      <c r="DZQ2187" s="594" t="s">
        <v>1232</v>
      </c>
      <c r="DZR2187" s="594" t="s">
        <v>1232</v>
      </c>
      <c r="DZS2187" s="594" t="s">
        <v>1232</v>
      </c>
      <c r="DZT2187" s="594" t="s">
        <v>1232</v>
      </c>
      <c r="DZU2187" s="594" t="s">
        <v>1232</v>
      </c>
      <c r="DZV2187" s="594" t="s">
        <v>1232</v>
      </c>
      <c r="DZW2187" s="594" t="s">
        <v>1232</v>
      </c>
      <c r="DZX2187" s="594" t="s">
        <v>1232</v>
      </c>
      <c r="DZY2187" s="594" t="s">
        <v>1232</v>
      </c>
      <c r="DZZ2187" s="594" t="s">
        <v>1232</v>
      </c>
      <c r="EAA2187" s="594" t="s">
        <v>1232</v>
      </c>
      <c r="EAB2187" s="594" t="s">
        <v>1232</v>
      </c>
      <c r="EAC2187" s="594" t="s">
        <v>1232</v>
      </c>
      <c r="EAD2187" s="594" t="s">
        <v>1232</v>
      </c>
      <c r="EAE2187" s="594" t="s">
        <v>1232</v>
      </c>
      <c r="EAF2187" s="594" t="s">
        <v>1232</v>
      </c>
      <c r="EAG2187" s="594" t="s">
        <v>1232</v>
      </c>
      <c r="EAH2187" s="594" t="s">
        <v>1232</v>
      </c>
      <c r="EAI2187" s="594" t="s">
        <v>1232</v>
      </c>
      <c r="EAJ2187" s="594" t="s">
        <v>1232</v>
      </c>
      <c r="EAK2187" s="594" t="s">
        <v>1232</v>
      </c>
      <c r="EAL2187" s="594" t="s">
        <v>1232</v>
      </c>
      <c r="EAM2187" s="594" t="s">
        <v>1232</v>
      </c>
      <c r="EAN2187" s="594" t="s">
        <v>1232</v>
      </c>
      <c r="EAO2187" s="594" t="s">
        <v>1232</v>
      </c>
      <c r="EAP2187" s="594" t="s">
        <v>1232</v>
      </c>
      <c r="EAQ2187" s="594" t="s">
        <v>1232</v>
      </c>
      <c r="EAR2187" s="594" t="s">
        <v>1232</v>
      </c>
      <c r="EAS2187" s="594" t="s">
        <v>1232</v>
      </c>
      <c r="EAT2187" s="594" t="s">
        <v>1232</v>
      </c>
      <c r="EAU2187" s="594" t="s">
        <v>1232</v>
      </c>
      <c r="EAV2187" s="594" t="s">
        <v>1232</v>
      </c>
      <c r="EAW2187" s="594" t="s">
        <v>1232</v>
      </c>
      <c r="EAX2187" s="594" t="s">
        <v>1232</v>
      </c>
      <c r="EAY2187" s="594" t="s">
        <v>1232</v>
      </c>
      <c r="EAZ2187" s="594" t="s">
        <v>1232</v>
      </c>
      <c r="EBA2187" s="594" t="s">
        <v>1232</v>
      </c>
      <c r="EBB2187" s="594" t="s">
        <v>1232</v>
      </c>
      <c r="EBC2187" s="594" t="s">
        <v>1232</v>
      </c>
      <c r="EBD2187" s="594" t="s">
        <v>1232</v>
      </c>
      <c r="EBE2187" s="594" t="s">
        <v>1232</v>
      </c>
      <c r="EBF2187" s="594" t="s">
        <v>1232</v>
      </c>
      <c r="EBG2187" s="594" t="s">
        <v>1232</v>
      </c>
      <c r="EBH2187" s="594" t="s">
        <v>1232</v>
      </c>
      <c r="EBI2187" s="594" t="s">
        <v>1232</v>
      </c>
      <c r="EBJ2187" s="594" t="s">
        <v>1232</v>
      </c>
      <c r="EBK2187" s="594" t="s">
        <v>1232</v>
      </c>
      <c r="EBL2187" s="594" t="s">
        <v>1232</v>
      </c>
      <c r="EBM2187" s="594" t="s">
        <v>1232</v>
      </c>
      <c r="EBN2187" s="594" t="s">
        <v>1232</v>
      </c>
      <c r="EBO2187" s="594" t="s">
        <v>1232</v>
      </c>
      <c r="EBP2187" s="594" t="s">
        <v>1232</v>
      </c>
      <c r="EBQ2187" s="594" t="s">
        <v>1232</v>
      </c>
      <c r="EBR2187" s="594" t="s">
        <v>1232</v>
      </c>
      <c r="EBS2187" s="594" t="s">
        <v>1232</v>
      </c>
      <c r="EBT2187" s="594" t="s">
        <v>1232</v>
      </c>
      <c r="EBU2187" s="594" t="s">
        <v>1232</v>
      </c>
      <c r="EBV2187" s="594" t="s">
        <v>1232</v>
      </c>
      <c r="EBW2187" s="594" t="s">
        <v>1232</v>
      </c>
      <c r="EBX2187" s="594" t="s">
        <v>1232</v>
      </c>
      <c r="EBY2187" s="594" t="s">
        <v>1232</v>
      </c>
      <c r="EBZ2187" s="594" t="s">
        <v>1232</v>
      </c>
      <c r="ECA2187" s="594" t="s">
        <v>1232</v>
      </c>
      <c r="ECB2187" s="594" t="s">
        <v>1232</v>
      </c>
      <c r="ECC2187" s="594" t="s">
        <v>1232</v>
      </c>
      <c r="ECD2187" s="594" t="s">
        <v>1232</v>
      </c>
      <c r="ECE2187" s="594" t="s">
        <v>1232</v>
      </c>
      <c r="ECF2187" s="594" t="s">
        <v>1232</v>
      </c>
      <c r="ECG2187" s="594" t="s">
        <v>1232</v>
      </c>
      <c r="ECH2187" s="594" t="s">
        <v>1232</v>
      </c>
      <c r="ECI2187" s="594" t="s">
        <v>1232</v>
      </c>
      <c r="ECJ2187" s="594" t="s">
        <v>1232</v>
      </c>
      <c r="ECK2187" s="594" t="s">
        <v>1232</v>
      </c>
      <c r="ECL2187" s="594" t="s">
        <v>1232</v>
      </c>
      <c r="ECM2187" s="594" t="s">
        <v>1232</v>
      </c>
      <c r="ECN2187" s="594" t="s">
        <v>1232</v>
      </c>
      <c r="ECO2187" s="594" t="s">
        <v>1232</v>
      </c>
      <c r="ECP2187" s="594" t="s">
        <v>1232</v>
      </c>
      <c r="ECQ2187" s="594" t="s">
        <v>1232</v>
      </c>
      <c r="ECR2187" s="594" t="s">
        <v>1232</v>
      </c>
      <c r="ECS2187" s="594" t="s">
        <v>1232</v>
      </c>
      <c r="ECT2187" s="594" t="s">
        <v>1232</v>
      </c>
      <c r="ECU2187" s="594" t="s">
        <v>1232</v>
      </c>
      <c r="ECV2187" s="594" t="s">
        <v>1232</v>
      </c>
      <c r="ECW2187" s="594" t="s">
        <v>1232</v>
      </c>
      <c r="ECX2187" s="594" t="s">
        <v>1232</v>
      </c>
      <c r="ECY2187" s="594" t="s">
        <v>1232</v>
      </c>
      <c r="ECZ2187" s="594" t="s">
        <v>1232</v>
      </c>
      <c r="EDA2187" s="594" t="s">
        <v>1232</v>
      </c>
      <c r="EDB2187" s="594" t="s">
        <v>1232</v>
      </c>
      <c r="EDC2187" s="594" t="s">
        <v>1232</v>
      </c>
      <c r="EDD2187" s="594" t="s">
        <v>1232</v>
      </c>
      <c r="EDE2187" s="594" t="s">
        <v>1232</v>
      </c>
      <c r="EDF2187" s="594" t="s">
        <v>1232</v>
      </c>
      <c r="EDG2187" s="594" t="s">
        <v>1232</v>
      </c>
      <c r="EDH2187" s="594" t="s">
        <v>1232</v>
      </c>
      <c r="EDI2187" s="594" t="s">
        <v>1232</v>
      </c>
      <c r="EDJ2187" s="594" t="s">
        <v>1232</v>
      </c>
      <c r="EDK2187" s="594" t="s">
        <v>1232</v>
      </c>
      <c r="EDL2187" s="594" t="s">
        <v>1232</v>
      </c>
      <c r="EDM2187" s="594" t="s">
        <v>1232</v>
      </c>
      <c r="EDN2187" s="594" t="s">
        <v>1232</v>
      </c>
      <c r="EDO2187" s="594" t="s">
        <v>1232</v>
      </c>
      <c r="EDP2187" s="594" t="s">
        <v>1232</v>
      </c>
      <c r="EDQ2187" s="594" t="s">
        <v>1232</v>
      </c>
      <c r="EDR2187" s="594" t="s">
        <v>1232</v>
      </c>
      <c r="EDS2187" s="594" t="s">
        <v>1232</v>
      </c>
      <c r="EDT2187" s="594" t="s">
        <v>1232</v>
      </c>
      <c r="EDU2187" s="594" t="s">
        <v>1232</v>
      </c>
      <c r="EDV2187" s="594" t="s">
        <v>1232</v>
      </c>
      <c r="EDW2187" s="594" t="s">
        <v>1232</v>
      </c>
      <c r="EDX2187" s="594" t="s">
        <v>1232</v>
      </c>
      <c r="EDY2187" s="594" t="s">
        <v>1232</v>
      </c>
      <c r="EDZ2187" s="594" t="s">
        <v>1232</v>
      </c>
      <c r="EEA2187" s="594" t="s">
        <v>1232</v>
      </c>
      <c r="EEB2187" s="594" t="s">
        <v>1232</v>
      </c>
      <c r="EEC2187" s="594" t="s">
        <v>1232</v>
      </c>
      <c r="EED2187" s="594" t="s">
        <v>1232</v>
      </c>
      <c r="EEE2187" s="594" t="s">
        <v>1232</v>
      </c>
      <c r="EEF2187" s="594" t="s">
        <v>1232</v>
      </c>
      <c r="EEG2187" s="594" t="s">
        <v>1232</v>
      </c>
      <c r="EEH2187" s="594" t="s">
        <v>1232</v>
      </c>
      <c r="EEI2187" s="594" t="s">
        <v>1232</v>
      </c>
      <c r="EEJ2187" s="594" t="s">
        <v>1232</v>
      </c>
      <c r="EEK2187" s="594" t="s">
        <v>1232</v>
      </c>
      <c r="EEL2187" s="594" t="s">
        <v>1232</v>
      </c>
      <c r="EEM2187" s="594" t="s">
        <v>1232</v>
      </c>
      <c r="EEN2187" s="594" t="s">
        <v>1232</v>
      </c>
      <c r="EEO2187" s="594" t="s">
        <v>1232</v>
      </c>
      <c r="EEP2187" s="594" t="s">
        <v>1232</v>
      </c>
      <c r="EEQ2187" s="594" t="s">
        <v>1232</v>
      </c>
      <c r="EER2187" s="594" t="s">
        <v>1232</v>
      </c>
      <c r="EES2187" s="594" t="s">
        <v>1232</v>
      </c>
      <c r="EET2187" s="594" t="s">
        <v>1232</v>
      </c>
      <c r="EEU2187" s="594" t="s">
        <v>1232</v>
      </c>
      <c r="EEV2187" s="594" t="s">
        <v>1232</v>
      </c>
      <c r="EEW2187" s="594" t="s">
        <v>1232</v>
      </c>
      <c r="EEX2187" s="594" t="s">
        <v>1232</v>
      </c>
      <c r="EEY2187" s="594" t="s">
        <v>1232</v>
      </c>
      <c r="EEZ2187" s="594" t="s">
        <v>1232</v>
      </c>
      <c r="EFA2187" s="594" t="s">
        <v>1232</v>
      </c>
      <c r="EFB2187" s="594" t="s">
        <v>1232</v>
      </c>
      <c r="EFC2187" s="594" t="s">
        <v>1232</v>
      </c>
      <c r="EFD2187" s="594" t="s">
        <v>1232</v>
      </c>
      <c r="EFE2187" s="594" t="s">
        <v>1232</v>
      </c>
      <c r="EFF2187" s="594" t="s">
        <v>1232</v>
      </c>
      <c r="EFG2187" s="594" t="s">
        <v>1232</v>
      </c>
      <c r="EFH2187" s="594" t="s">
        <v>1232</v>
      </c>
      <c r="EFI2187" s="594" t="s">
        <v>1232</v>
      </c>
      <c r="EFJ2187" s="594" t="s">
        <v>1232</v>
      </c>
      <c r="EFK2187" s="594" t="s">
        <v>1232</v>
      </c>
      <c r="EFL2187" s="594" t="s">
        <v>1232</v>
      </c>
      <c r="EFM2187" s="594" t="s">
        <v>1232</v>
      </c>
      <c r="EFN2187" s="594" t="s">
        <v>1232</v>
      </c>
      <c r="EFO2187" s="594" t="s">
        <v>1232</v>
      </c>
      <c r="EFP2187" s="594" t="s">
        <v>1232</v>
      </c>
      <c r="EFQ2187" s="594" t="s">
        <v>1232</v>
      </c>
      <c r="EFR2187" s="594" t="s">
        <v>1232</v>
      </c>
      <c r="EFS2187" s="594" t="s">
        <v>1232</v>
      </c>
      <c r="EFT2187" s="594" t="s">
        <v>1232</v>
      </c>
      <c r="EFU2187" s="594" t="s">
        <v>1232</v>
      </c>
      <c r="EFV2187" s="594" t="s">
        <v>1232</v>
      </c>
      <c r="EFW2187" s="594" t="s">
        <v>1232</v>
      </c>
      <c r="EFX2187" s="594" t="s">
        <v>1232</v>
      </c>
      <c r="EFY2187" s="594" t="s">
        <v>1232</v>
      </c>
      <c r="EFZ2187" s="594" t="s">
        <v>1232</v>
      </c>
      <c r="EGA2187" s="594" t="s">
        <v>1232</v>
      </c>
      <c r="EGB2187" s="594" t="s">
        <v>1232</v>
      </c>
      <c r="EGC2187" s="594" t="s">
        <v>1232</v>
      </c>
      <c r="EGD2187" s="594" t="s">
        <v>1232</v>
      </c>
      <c r="EGE2187" s="594" t="s">
        <v>1232</v>
      </c>
      <c r="EGF2187" s="594" t="s">
        <v>1232</v>
      </c>
      <c r="EGG2187" s="594" t="s">
        <v>1232</v>
      </c>
      <c r="EGH2187" s="594" t="s">
        <v>1232</v>
      </c>
      <c r="EGI2187" s="594" t="s">
        <v>1232</v>
      </c>
      <c r="EGJ2187" s="594" t="s">
        <v>1232</v>
      </c>
      <c r="EGK2187" s="594" t="s">
        <v>1232</v>
      </c>
      <c r="EGL2187" s="594" t="s">
        <v>1232</v>
      </c>
      <c r="EGM2187" s="594" t="s">
        <v>1232</v>
      </c>
      <c r="EGN2187" s="594" t="s">
        <v>1232</v>
      </c>
      <c r="EGO2187" s="594" t="s">
        <v>1232</v>
      </c>
      <c r="EGP2187" s="594" t="s">
        <v>1232</v>
      </c>
      <c r="EGQ2187" s="594" t="s">
        <v>1232</v>
      </c>
      <c r="EGR2187" s="594" t="s">
        <v>1232</v>
      </c>
      <c r="EGS2187" s="594" t="s">
        <v>1232</v>
      </c>
      <c r="EGT2187" s="594" t="s">
        <v>1232</v>
      </c>
      <c r="EGU2187" s="594" t="s">
        <v>1232</v>
      </c>
      <c r="EGV2187" s="594" t="s">
        <v>1232</v>
      </c>
      <c r="EGW2187" s="594" t="s">
        <v>1232</v>
      </c>
      <c r="EGX2187" s="594" t="s">
        <v>1232</v>
      </c>
      <c r="EGY2187" s="594" t="s">
        <v>1232</v>
      </c>
      <c r="EGZ2187" s="594" t="s">
        <v>1232</v>
      </c>
      <c r="EHA2187" s="594" t="s">
        <v>1232</v>
      </c>
      <c r="EHB2187" s="594" t="s">
        <v>1232</v>
      </c>
      <c r="EHC2187" s="594" t="s">
        <v>1232</v>
      </c>
      <c r="EHD2187" s="594" t="s">
        <v>1232</v>
      </c>
      <c r="EHE2187" s="594" t="s">
        <v>1232</v>
      </c>
      <c r="EHF2187" s="594" t="s">
        <v>1232</v>
      </c>
      <c r="EHG2187" s="594" t="s">
        <v>1232</v>
      </c>
      <c r="EHH2187" s="594" t="s">
        <v>1232</v>
      </c>
      <c r="EHI2187" s="594" t="s">
        <v>1232</v>
      </c>
      <c r="EHJ2187" s="594" t="s">
        <v>1232</v>
      </c>
      <c r="EHK2187" s="594" t="s">
        <v>1232</v>
      </c>
      <c r="EHL2187" s="594" t="s">
        <v>1232</v>
      </c>
      <c r="EHM2187" s="594" t="s">
        <v>1232</v>
      </c>
      <c r="EHN2187" s="594" t="s">
        <v>1232</v>
      </c>
      <c r="EHO2187" s="594" t="s">
        <v>1232</v>
      </c>
      <c r="EHP2187" s="594" t="s">
        <v>1232</v>
      </c>
      <c r="EHQ2187" s="594" t="s">
        <v>1232</v>
      </c>
      <c r="EHR2187" s="594" t="s">
        <v>1232</v>
      </c>
      <c r="EHS2187" s="594" t="s">
        <v>1232</v>
      </c>
      <c r="EHT2187" s="594" t="s">
        <v>1232</v>
      </c>
      <c r="EHU2187" s="594" t="s">
        <v>1232</v>
      </c>
      <c r="EHV2187" s="594" t="s">
        <v>1232</v>
      </c>
      <c r="EHW2187" s="594" t="s">
        <v>1232</v>
      </c>
      <c r="EHX2187" s="594" t="s">
        <v>1232</v>
      </c>
      <c r="EHY2187" s="594" t="s">
        <v>1232</v>
      </c>
      <c r="EHZ2187" s="594" t="s">
        <v>1232</v>
      </c>
      <c r="EIA2187" s="594" t="s">
        <v>1232</v>
      </c>
      <c r="EIB2187" s="594" t="s">
        <v>1232</v>
      </c>
      <c r="EIC2187" s="594" t="s">
        <v>1232</v>
      </c>
      <c r="EID2187" s="594" t="s">
        <v>1232</v>
      </c>
      <c r="EIE2187" s="594" t="s">
        <v>1232</v>
      </c>
      <c r="EIF2187" s="594" t="s">
        <v>1232</v>
      </c>
      <c r="EIG2187" s="594" t="s">
        <v>1232</v>
      </c>
      <c r="EIH2187" s="594" t="s">
        <v>1232</v>
      </c>
      <c r="EII2187" s="594" t="s">
        <v>1232</v>
      </c>
      <c r="EIJ2187" s="594" t="s">
        <v>1232</v>
      </c>
      <c r="EIK2187" s="594" t="s">
        <v>1232</v>
      </c>
      <c r="EIL2187" s="594" t="s">
        <v>1232</v>
      </c>
      <c r="EIM2187" s="594" t="s">
        <v>1232</v>
      </c>
      <c r="EIN2187" s="594" t="s">
        <v>1232</v>
      </c>
      <c r="EIO2187" s="594" t="s">
        <v>1232</v>
      </c>
      <c r="EIP2187" s="594" t="s">
        <v>1232</v>
      </c>
      <c r="EIQ2187" s="594" t="s">
        <v>1232</v>
      </c>
      <c r="EIR2187" s="594" t="s">
        <v>1232</v>
      </c>
      <c r="EIS2187" s="594" t="s">
        <v>1232</v>
      </c>
      <c r="EIT2187" s="594" t="s">
        <v>1232</v>
      </c>
      <c r="EIU2187" s="594" t="s">
        <v>1232</v>
      </c>
      <c r="EIV2187" s="594" t="s">
        <v>1232</v>
      </c>
      <c r="EIW2187" s="594" t="s">
        <v>1232</v>
      </c>
      <c r="EIX2187" s="594" t="s">
        <v>1232</v>
      </c>
      <c r="EIY2187" s="594" t="s">
        <v>1232</v>
      </c>
      <c r="EIZ2187" s="594" t="s">
        <v>1232</v>
      </c>
      <c r="EJA2187" s="594" t="s">
        <v>1232</v>
      </c>
      <c r="EJB2187" s="594" t="s">
        <v>1232</v>
      </c>
      <c r="EJC2187" s="594" t="s">
        <v>1232</v>
      </c>
      <c r="EJD2187" s="594" t="s">
        <v>1232</v>
      </c>
      <c r="EJE2187" s="594" t="s">
        <v>1232</v>
      </c>
      <c r="EJF2187" s="594" t="s">
        <v>1232</v>
      </c>
      <c r="EJG2187" s="594" t="s">
        <v>1232</v>
      </c>
      <c r="EJH2187" s="594" t="s">
        <v>1232</v>
      </c>
      <c r="EJI2187" s="594" t="s">
        <v>1232</v>
      </c>
      <c r="EJJ2187" s="594" t="s">
        <v>1232</v>
      </c>
      <c r="EJK2187" s="594" t="s">
        <v>1232</v>
      </c>
      <c r="EJL2187" s="594" t="s">
        <v>1232</v>
      </c>
      <c r="EJM2187" s="594" t="s">
        <v>1232</v>
      </c>
      <c r="EJN2187" s="594" t="s">
        <v>1232</v>
      </c>
      <c r="EJO2187" s="594" t="s">
        <v>1232</v>
      </c>
      <c r="EJP2187" s="594" t="s">
        <v>1232</v>
      </c>
      <c r="EJQ2187" s="594" t="s">
        <v>1232</v>
      </c>
      <c r="EJR2187" s="594" t="s">
        <v>1232</v>
      </c>
      <c r="EJS2187" s="594" t="s">
        <v>1232</v>
      </c>
      <c r="EJT2187" s="594" t="s">
        <v>1232</v>
      </c>
      <c r="EJU2187" s="594" t="s">
        <v>1232</v>
      </c>
      <c r="EJV2187" s="594" t="s">
        <v>1232</v>
      </c>
      <c r="EJW2187" s="594" t="s">
        <v>1232</v>
      </c>
      <c r="EJX2187" s="594" t="s">
        <v>1232</v>
      </c>
      <c r="EJY2187" s="594" t="s">
        <v>1232</v>
      </c>
      <c r="EJZ2187" s="594" t="s">
        <v>1232</v>
      </c>
      <c r="EKA2187" s="594" t="s">
        <v>1232</v>
      </c>
      <c r="EKB2187" s="594" t="s">
        <v>1232</v>
      </c>
      <c r="EKC2187" s="594" t="s">
        <v>1232</v>
      </c>
      <c r="EKD2187" s="594" t="s">
        <v>1232</v>
      </c>
      <c r="EKE2187" s="594" t="s">
        <v>1232</v>
      </c>
      <c r="EKF2187" s="594" t="s">
        <v>1232</v>
      </c>
      <c r="EKG2187" s="594" t="s">
        <v>1232</v>
      </c>
      <c r="EKH2187" s="594" t="s">
        <v>1232</v>
      </c>
      <c r="EKI2187" s="594" t="s">
        <v>1232</v>
      </c>
      <c r="EKJ2187" s="594" t="s">
        <v>1232</v>
      </c>
      <c r="EKK2187" s="594" t="s">
        <v>1232</v>
      </c>
      <c r="EKL2187" s="594" t="s">
        <v>1232</v>
      </c>
      <c r="EKM2187" s="594" t="s">
        <v>1232</v>
      </c>
      <c r="EKN2187" s="594" t="s">
        <v>1232</v>
      </c>
      <c r="EKO2187" s="594" t="s">
        <v>1232</v>
      </c>
      <c r="EKP2187" s="594" t="s">
        <v>1232</v>
      </c>
      <c r="EKQ2187" s="594" t="s">
        <v>1232</v>
      </c>
      <c r="EKR2187" s="594" t="s">
        <v>1232</v>
      </c>
      <c r="EKS2187" s="594" t="s">
        <v>1232</v>
      </c>
      <c r="EKT2187" s="594" t="s">
        <v>1232</v>
      </c>
      <c r="EKU2187" s="594" t="s">
        <v>1232</v>
      </c>
      <c r="EKV2187" s="594" t="s">
        <v>1232</v>
      </c>
      <c r="EKW2187" s="594" t="s">
        <v>1232</v>
      </c>
      <c r="EKX2187" s="594" t="s">
        <v>1232</v>
      </c>
      <c r="EKY2187" s="594" t="s">
        <v>1232</v>
      </c>
      <c r="EKZ2187" s="594" t="s">
        <v>1232</v>
      </c>
      <c r="ELA2187" s="594" t="s">
        <v>1232</v>
      </c>
      <c r="ELB2187" s="594" t="s">
        <v>1232</v>
      </c>
      <c r="ELC2187" s="594" t="s">
        <v>1232</v>
      </c>
      <c r="ELD2187" s="594" t="s">
        <v>1232</v>
      </c>
      <c r="ELE2187" s="594" t="s">
        <v>1232</v>
      </c>
      <c r="ELF2187" s="594" t="s">
        <v>1232</v>
      </c>
      <c r="ELG2187" s="594" t="s">
        <v>1232</v>
      </c>
      <c r="ELH2187" s="594" t="s">
        <v>1232</v>
      </c>
      <c r="ELI2187" s="594" t="s">
        <v>1232</v>
      </c>
      <c r="ELJ2187" s="594" t="s">
        <v>1232</v>
      </c>
      <c r="ELK2187" s="594" t="s">
        <v>1232</v>
      </c>
      <c r="ELL2187" s="594" t="s">
        <v>1232</v>
      </c>
      <c r="ELM2187" s="594" t="s">
        <v>1232</v>
      </c>
      <c r="ELN2187" s="594" t="s">
        <v>1232</v>
      </c>
      <c r="ELO2187" s="594" t="s">
        <v>1232</v>
      </c>
      <c r="ELP2187" s="594" t="s">
        <v>1232</v>
      </c>
      <c r="ELQ2187" s="594" t="s">
        <v>1232</v>
      </c>
      <c r="ELR2187" s="594" t="s">
        <v>1232</v>
      </c>
      <c r="ELS2187" s="594" t="s">
        <v>1232</v>
      </c>
      <c r="ELT2187" s="594" t="s">
        <v>1232</v>
      </c>
      <c r="ELU2187" s="594" t="s">
        <v>1232</v>
      </c>
      <c r="ELV2187" s="594" t="s">
        <v>1232</v>
      </c>
      <c r="ELW2187" s="594" t="s">
        <v>1232</v>
      </c>
      <c r="ELX2187" s="594" t="s">
        <v>1232</v>
      </c>
      <c r="ELY2187" s="594" t="s">
        <v>1232</v>
      </c>
      <c r="ELZ2187" s="594" t="s">
        <v>1232</v>
      </c>
      <c r="EMA2187" s="594" t="s">
        <v>1232</v>
      </c>
      <c r="EMB2187" s="594" t="s">
        <v>1232</v>
      </c>
      <c r="EMC2187" s="594" t="s">
        <v>1232</v>
      </c>
      <c r="EMD2187" s="594" t="s">
        <v>1232</v>
      </c>
      <c r="EME2187" s="594" t="s">
        <v>1232</v>
      </c>
      <c r="EMF2187" s="594" t="s">
        <v>1232</v>
      </c>
      <c r="EMG2187" s="594" t="s">
        <v>1232</v>
      </c>
      <c r="EMH2187" s="594" t="s">
        <v>1232</v>
      </c>
      <c r="EMI2187" s="594" t="s">
        <v>1232</v>
      </c>
      <c r="EMJ2187" s="594" t="s">
        <v>1232</v>
      </c>
      <c r="EMK2187" s="594" t="s">
        <v>1232</v>
      </c>
      <c r="EML2187" s="594" t="s">
        <v>1232</v>
      </c>
      <c r="EMM2187" s="594" t="s">
        <v>1232</v>
      </c>
      <c r="EMN2187" s="594" t="s">
        <v>1232</v>
      </c>
      <c r="EMO2187" s="594" t="s">
        <v>1232</v>
      </c>
      <c r="EMP2187" s="594" t="s">
        <v>1232</v>
      </c>
      <c r="EMQ2187" s="594" t="s">
        <v>1232</v>
      </c>
      <c r="EMR2187" s="594" t="s">
        <v>1232</v>
      </c>
      <c r="EMS2187" s="594" t="s">
        <v>1232</v>
      </c>
      <c r="EMT2187" s="594" t="s">
        <v>1232</v>
      </c>
      <c r="EMU2187" s="594" t="s">
        <v>1232</v>
      </c>
      <c r="EMV2187" s="594" t="s">
        <v>1232</v>
      </c>
      <c r="EMW2187" s="594" t="s">
        <v>1232</v>
      </c>
      <c r="EMX2187" s="594" t="s">
        <v>1232</v>
      </c>
      <c r="EMY2187" s="594" t="s">
        <v>1232</v>
      </c>
      <c r="EMZ2187" s="594" t="s">
        <v>1232</v>
      </c>
      <c r="ENA2187" s="594" t="s">
        <v>1232</v>
      </c>
      <c r="ENB2187" s="594" t="s">
        <v>1232</v>
      </c>
      <c r="ENC2187" s="594" t="s">
        <v>1232</v>
      </c>
      <c r="END2187" s="594" t="s">
        <v>1232</v>
      </c>
      <c r="ENE2187" s="594" t="s">
        <v>1232</v>
      </c>
      <c r="ENF2187" s="594" t="s">
        <v>1232</v>
      </c>
      <c r="ENG2187" s="594" t="s">
        <v>1232</v>
      </c>
      <c r="ENH2187" s="594" t="s">
        <v>1232</v>
      </c>
      <c r="ENI2187" s="594" t="s">
        <v>1232</v>
      </c>
      <c r="ENJ2187" s="594" t="s">
        <v>1232</v>
      </c>
      <c r="ENK2187" s="594" t="s">
        <v>1232</v>
      </c>
      <c r="ENL2187" s="594" t="s">
        <v>1232</v>
      </c>
      <c r="ENM2187" s="594" t="s">
        <v>1232</v>
      </c>
      <c r="ENN2187" s="594" t="s">
        <v>1232</v>
      </c>
      <c r="ENO2187" s="594" t="s">
        <v>1232</v>
      </c>
      <c r="ENP2187" s="594" t="s">
        <v>1232</v>
      </c>
      <c r="ENQ2187" s="594" t="s">
        <v>1232</v>
      </c>
      <c r="ENR2187" s="594" t="s">
        <v>1232</v>
      </c>
      <c r="ENS2187" s="594" t="s">
        <v>1232</v>
      </c>
      <c r="ENT2187" s="594" t="s">
        <v>1232</v>
      </c>
      <c r="ENU2187" s="594" t="s">
        <v>1232</v>
      </c>
      <c r="ENV2187" s="594" t="s">
        <v>1232</v>
      </c>
      <c r="ENW2187" s="594" t="s">
        <v>1232</v>
      </c>
      <c r="ENX2187" s="594" t="s">
        <v>1232</v>
      </c>
      <c r="ENY2187" s="594" t="s">
        <v>1232</v>
      </c>
      <c r="ENZ2187" s="594" t="s">
        <v>1232</v>
      </c>
      <c r="EOA2187" s="594" t="s">
        <v>1232</v>
      </c>
      <c r="EOB2187" s="594" t="s">
        <v>1232</v>
      </c>
      <c r="EOC2187" s="594" t="s">
        <v>1232</v>
      </c>
      <c r="EOD2187" s="594" t="s">
        <v>1232</v>
      </c>
      <c r="EOE2187" s="594" t="s">
        <v>1232</v>
      </c>
      <c r="EOF2187" s="594" t="s">
        <v>1232</v>
      </c>
      <c r="EOG2187" s="594" t="s">
        <v>1232</v>
      </c>
      <c r="EOH2187" s="594" t="s">
        <v>1232</v>
      </c>
      <c r="EOI2187" s="594" t="s">
        <v>1232</v>
      </c>
      <c r="EOJ2187" s="594" t="s">
        <v>1232</v>
      </c>
      <c r="EOK2187" s="594" t="s">
        <v>1232</v>
      </c>
      <c r="EOL2187" s="594" t="s">
        <v>1232</v>
      </c>
      <c r="EOM2187" s="594" t="s">
        <v>1232</v>
      </c>
      <c r="EON2187" s="594" t="s">
        <v>1232</v>
      </c>
      <c r="EOO2187" s="594" t="s">
        <v>1232</v>
      </c>
      <c r="EOP2187" s="594" t="s">
        <v>1232</v>
      </c>
      <c r="EOQ2187" s="594" t="s">
        <v>1232</v>
      </c>
      <c r="EOR2187" s="594" t="s">
        <v>1232</v>
      </c>
      <c r="EOS2187" s="594" t="s">
        <v>1232</v>
      </c>
      <c r="EOT2187" s="594" t="s">
        <v>1232</v>
      </c>
      <c r="EOU2187" s="594" t="s">
        <v>1232</v>
      </c>
      <c r="EOV2187" s="594" t="s">
        <v>1232</v>
      </c>
      <c r="EOW2187" s="594" t="s">
        <v>1232</v>
      </c>
      <c r="EOX2187" s="594" t="s">
        <v>1232</v>
      </c>
      <c r="EOY2187" s="594" t="s">
        <v>1232</v>
      </c>
      <c r="EOZ2187" s="594" t="s">
        <v>1232</v>
      </c>
      <c r="EPA2187" s="594" t="s">
        <v>1232</v>
      </c>
      <c r="EPB2187" s="594" t="s">
        <v>1232</v>
      </c>
      <c r="EPC2187" s="594" t="s">
        <v>1232</v>
      </c>
      <c r="EPD2187" s="594" t="s">
        <v>1232</v>
      </c>
      <c r="EPE2187" s="594" t="s">
        <v>1232</v>
      </c>
      <c r="EPF2187" s="594" t="s">
        <v>1232</v>
      </c>
      <c r="EPG2187" s="594" t="s">
        <v>1232</v>
      </c>
      <c r="EPH2187" s="594" t="s">
        <v>1232</v>
      </c>
      <c r="EPI2187" s="594" t="s">
        <v>1232</v>
      </c>
      <c r="EPJ2187" s="594" t="s">
        <v>1232</v>
      </c>
      <c r="EPK2187" s="594" t="s">
        <v>1232</v>
      </c>
      <c r="EPL2187" s="594" t="s">
        <v>1232</v>
      </c>
      <c r="EPM2187" s="594" t="s">
        <v>1232</v>
      </c>
      <c r="EPN2187" s="594" t="s">
        <v>1232</v>
      </c>
      <c r="EPO2187" s="594" t="s">
        <v>1232</v>
      </c>
      <c r="EPP2187" s="594" t="s">
        <v>1232</v>
      </c>
      <c r="EPQ2187" s="594" t="s">
        <v>1232</v>
      </c>
      <c r="EPR2187" s="594" t="s">
        <v>1232</v>
      </c>
      <c r="EPS2187" s="594" t="s">
        <v>1232</v>
      </c>
      <c r="EPT2187" s="594" t="s">
        <v>1232</v>
      </c>
      <c r="EPU2187" s="594" t="s">
        <v>1232</v>
      </c>
      <c r="EPV2187" s="594" t="s">
        <v>1232</v>
      </c>
      <c r="EPW2187" s="594" t="s">
        <v>1232</v>
      </c>
      <c r="EPX2187" s="594" t="s">
        <v>1232</v>
      </c>
      <c r="EPY2187" s="594" t="s">
        <v>1232</v>
      </c>
      <c r="EPZ2187" s="594" t="s">
        <v>1232</v>
      </c>
      <c r="EQA2187" s="594" t="s">
        <v>1232</v>
      </c>
      <c r="EQB2187" s="594" t="s">
        <v>1232</v>
      </c>
      <c r="EQC2187" s="594" t="s">
        <v>1232</v>
      </c>
      <c r="EQD2187" s="594" t="s">
        <v>1232</v>
      </c>
      <c r="EQE2187" s="594" t="s">
        <v>1232</v>
      </c>
      <c r="EQF2187" s="594" t="s">
        <v>1232</v>
      </c>
      <c r="EQG2187" s="594" t="s">
        <v>1232</v>
      </c>
      <c r="EQH2187" s="594" t="s">
        <v>1232</v>
      </c>
      <c r="EQI2187" s="594" t="s">
        <v>1232</v>
      </c>
      <c r="EQJ2187" s="594" t="s">
        <v>1232</v>
      </c>
      <c r="EQK2187" s="594" t="s">
        <v>1232</v>
      </c>
      <c r="EQL2187" s="594" t="s">
        <v>1232</v>
      </c>
      <c r="EQM2187" s="594" t="s">
        <v>1232</v>
      </c>
      <c r="EQN2187" s="594" t="s">
        <v>1232</v>
      </c>
      <c r="EQO2187" s="594" t="s">
        <v>1232</v>
      </c>
      <c r="EQP2187" s="594" t="s">
        <v>1232</v>
      </c>
      <c r="EQQ2187" s="594" t="s">
        <v>1232</v>
      </c>
      <c r="EQR2187" s="594" t="s">
        <v>1232</v>
      </c>
      <c r="EQS2187" s="594" t="s">
        <v>1232</v>
      </c>
      <c r="EQT2187" s="594" t="s">
        <v>1232</v>
      </c>
      <c r="EQU2187" s="594" t="s">
        <v>1232</v>
      </c>
      <c r="EQV2187" s="594" t="s">
        <v>1232</v>
      </c>
      <c r="EQW2187" s="594" t="s">
        <v>1232</v>
      </c>
      <c r="EQX2187" s="594" t="s">
        <v>1232</v>
      </c>
      <c r="EQY2187" s="594" t="s">
        <v>1232</v>
      </c>
      <c r="EQZ2187" s="594" t="s">
        <v>1232</v>
      </c>
      <c r="ERA2187" s="594" t="s">
        <v>1232</v>
      </c>
      <c r="ERB2187" s="594" t="s">
        <v>1232</v>
      </c>
      <c r="ERC2187" s="594" t="s">
        <v>1232</v>
      </c>
      <c r="ERD2187" s="594" t="s">
        <v>1232</v>
      </c>
      <c r="ERE2187" s="594" t="s">
        <v>1232</v>
      </c>
      <c r="ERF2187" s="594" t="s">
        <v>1232</v>
      </c>
      <c r="ERG2187" s="594" t="s">
        <v>1232</v>
      </c>
      <c r="ERH2187" s="594" t="s">
        <v>1232</v>
      </c>
      <c r="ERI2187" s="594" t="s">
        <v>1232</v>
      </c>
      <c r="ERJ2187" s="594" t="s">
        <v>1232</v>
      </c>
      <c r="ERK2187" s="594" t="s">
        <v>1232</v>
      </c>
      <c r="ERL2187" s="594" t="s">
        <v>1232</v>
      </c>
      <c r="ERM2187" s="594" t="s">
        <v>1232</v>
      </c>
      <c r="ERN2187" s="594" t="s">
        <v>1232</v>
      </c>
      <c r="ERO2187" s="594" t="s">
        <v>1232</v>
      </c>
      <c r="ERP2187" s="594" t="s">
        <v>1232</v>
      </c>
      <c r="ERQ2187" s="594" t="s">
        <v>1232</v>
      </c>
      <c r="ERR2187" s="594" t="s">
        <v>1232</v>
      </c>
      <c r="ERS2187" s="594" t="s">
        <v>1232</v>
      </c>
      <c r="ERT2187" s="594" t="s">
        <v>1232</v>
      </c>
      <c r="ERU2187" s="594" t="s">
        <v>1232</v>
      </c>
      <c r="ERV2187" s="594" t="s">
        <v>1232</v>
      </c>
      <c r="ERW2187" s="594" t="s">
        <v>1232</v>
      </c>
      <c r="ERX2187" s="594" t="s">
        <v>1232</v>
      </c>
      <c r="ERY2187" s="594" t="s">
        <v>1232</v>
      </c>
      <c r="ERZ2187" s="594" t="s">
        <v>1232</v>
      </c>
      <c r="ESA2187" s="594" t="s">
        <v>1232</v>
      </c>
      <c r="ESB2187" s="594" t="s">
        <v>1232</v>
      </c>
      <c r="ESC2187" s="594" t="s">
        <v>1232</v>
      </c>
      <c r="ESD2187" s="594" t="s">
        <v>1232</v>
      </c>
      <c r="ESE2187" s="594" t="s">
        <v>1232</v>
      </c>
      <c r="ESF2187" s="594" t="s">
        <v>1232</v>
      </c>
      <c r="ESG2187" s="594" t="s">
        <v>1232</v>
      </c>
      <c r="ESH2187" s="594" t="s">
        <v>1232</v>
      </c>
      <c r="ESI2187" s="594" t="s">
        <v>1232</v>
      </c>
      <c r="ESJ2187" s="594" t="s">
        <v>1232</v>
      </c>
      <c r="ESK2187" s="594" t="s">
        <v>1232</v>
      </c>
      <c r="ESL2187" s="594" t="s">
        <v>1232</v>
      </c>
      <c r="ESM2187" s="594" t="s">
        <v>1232</v>
      </c>
      <c r="ESN2187" s="594" t="s">
        <v>1232</v>
      </c>
      <c r="ESO2187" s="594" t="s">
        <v>1232</v>
      </c>
      <c r="ESP2187" s="594" t="s">
        <v>1232</v>
      </c>
      <c r="ESQ2187" s="594" t="s">
        <v>1232</v>
      </c>
      <c r="ESR2187" s="594" t="s">
        <v>1232</v>
      </c>
      <c r="ESS2187" s="594" t="s">
        <v>1232</v>
      </c>
      <c r="EST2187" s="594" t="s">
        <v>1232</v>
      </c>
      <c r="ESU2187" s="594" t="s">
        <v>1232</v>
      </c>
      <c r="ESV2187" s="594" t="s">
        <v>1232</v>
      </c>
      <c r="ESW2187" s="594" t="s">
        <v>1232</v>
      </c>
      <c r="ESX2187" s="594" t="s">
        <v>1232</v>
      </c>
      <c r="ESY2187" s="594" t="s">
        <v>1232</v>
      </c>
      <c r="ESZ2187" s="594" t="s">
        <v>1232</v>
      </c>
      <c r="ETA2187" s="594" t="s">
        <v>1232</v>
      </c>
      <c r="ETB2187" s="594" t="s">
        <v>1232</v>
      </c>
      <c r="ETC2187" s="594" t="s">
        <v>1232</v>
      </c>
      <c r="ETD2187" s="594" t="s">
        <v>1232</v>
      </c>
      <c r="ETE2187" s="594" t="s">
        <v>1232</v>
      </c>
      <c r="ETF2187" s="594" t="s">
        <v>1232</v>
      </c>
      <c r="ETG2187" s="594" t="s">
        <v>1232</v>
      </c>
      <c r="ETH2187" s="594" t="s">
        <v>1232</v>
      </c>
      <c r="ETI2187" s="594" t="s">
        <v>1232</v>
      </c>
      <c r="ETJ2187" s="594" t="s">
        <v>1232</v>
      </c>
      <c r="ETK2187" s="594" t="s">
        <v>1232</v>
      </c>
      <c r="ETL2187" s="594" t="s">
        <v>1232</v>
      </c>
      <c r="ETM2187" s="594" t="s">
        <v>1232</v>
      </c>
      <c r="ETN2187" s="594" t="s">
        <v>1232</v>
      </c>
      <c r="ETO2187" s="594" t="s">
        <v>1232</v>
      </c>
      <c r="ETP2187" s="594" t="s">
        <v>1232</v>
      </c>
      <c r="ETQ2187" s="594" t="s">
        <v>1232</v>
      </c>
      <c r="ETR2187" s="594" t="s">
        <v>1232</v>
      </c>
      <c r="ETS2187" s="594" t="s">
        <v>1232</v>
      </c>
      <c r="ETT2187" s="594" t="s">
        <v>1232</v>
      </c>
      <c r="ETU2187" s="594" t="s">
        <v>1232</v>
      </c>
      <c r="ETV2187" s="594" t="s">
        <v>1232</v>
      </c>
      <c r="ETW2187" s="594" t="s">
        <v>1232</v>
      </c>
      <c r="ETX2187" s="594" t="s">
        <v>1232</v>
      </c>
      <c r="ETY2187" s="594" t="s">
        <v>1232</v>
      </c>
      <c r="ETZ2187" s="594" t="s">
        <v>1232</v>
      </c>
      <c r="EUA2187" s="594" t="s">
        <v>1232</v>
      </c>
      <c r="EUB2187" s="594" t="s">
        <v>1232</v>
      </c>
      <c r="EUC2187" s="594" t="s">
        <v>1232</v>
      </c>
      <c r="EUD2187" s="594" t="s">
        <v>1232</v>
      </c>
      <c r="EUE2187" s="594" t="s">
        <v>1232</v>
      </c>
      <c r="EUF2187" s="594" t="s">
        <v>1232</v>
      </c>
      <c r="EUG2187" s="594" t="s">
        <v>1232</v>
      </c>
      <c r="EUH2187" s="594" t="s">
        <v>1232</v>
      </c>
      <c r="EUI2187" s="594" t="s">
        <v>1232</v>
      </c>
      <c r="EUJ2187" s="594" t="s">
        <v>1232</v>
      </c>
      <c r="EUK2187" s="594" t="s">
        <v>1232</v>
      </c>
      <c r="EUL2187" s="594" t="s">
        <v>1232</v>
      </c>
      <c r="EUM2187" s="594" t="s">
        <v>1232</v>
      </c>
      <c r="EUN2187" s="594" t="s">
        <v>1232</v>
      </c>
      <c r="EUO2187" s="594" t="s">
        <v>1232</v>
      </c>
      <c r="EUP2187" s="594" t="s">
        <v>1232</v>
      </c>
      <c r="EUQ2187" s="594" t="s">
        <v>1232</v>
      </c>
      <c r="EUR2187" s="594" t="s">
        <v>1232</v>
      </c>
      <c r="EUS2187" s="594" t="s">
        <v>1232</v>
      </c>
      <c r="EUT2187" s="594" t="s">
        <v>1232</v>
      </c>
      <c r="EUU2187" s="594" t="s">
        <v>1232</v>
      </c>
      <c r="EUV2187" s="594" t="s">
        <v>1232</v>
      </c>
      <c r="EUW2187" s="594" t="s">
        <v>1232</v>
      </c>
      <c r="EUX2187" s="594" t="s">
        <v>1232</v>
      </c>
      <c r="EUY2187" s="594" t="s">
        <v>1232</v>
      </c>
      <c r="EUZ2187" s="594" t="s">
        <v>1232</v>
      </c>
      <c r="EVA2187" s="594" t="s">
        <v>1232</v>
      </c>
      <c r="EVB2187" s="594" t="s">
        <v>1232</v>
      </c>
      <c r="EVC2187" s="594" t="s">
        <v>1232</v>
      </c>
      <c r="EVD2187" s="594" t="s">
        <v>1232</v>
      </c>
      <c r="EVE2187" s="594" t="s">
        <v>1232</v>
      </c>
      <c r="EVF2187" s="594" t="s">
        <v>1232</v>
      </c>
      <c r="EVG2187" s="594" t="s">
        <v>1232</v>
      </c>
      <c r="EVH2187" s="594" t="s">
        <v>1232</v>
      </c>
      <c r="EVI2187" s="594" t="s">
        <v>1232</v>
      </c>
      <c r="EVJ2187" s="594" t="s">
        <v>1232</v>
      </c>
      <c r="EVK2187" s="594" t="s">
        <v>1232</v>
      </c>
      <c r="EVL2187" s="594" t="s">
        <v>1232</v>
      </c>
      <c r="EVM2187" s="594" t="s">
        <v>1232</v>
      </c>
      <c r="EVN2187" s="594" t="s">
        <v>1232</v>
      </c>
      <c r="EVO2187" s="594" t="s">
        <v>1232</v>
      </c>
      <c r="EVP2187" s="594" t="s">
        <v>1232</v>
      </c>
      <c r="EVQ2187" s="594" t="s">
        <v>1232</v>
      </c>
      <c r="EVR2187" s="594" t="s">
        <v>1232</v>
      </c>
      <c r="EVS2187" s="594" t="s">
        <v>1232</v>
      </c>
      <c r="EVT2187" s="594" t="s">
        <v>1232</v>
      </c>
      <c r="EVU2187" s="594" t="s">
        <v>1232</v>
      </c>
      <c r="EVV2187" s="594" t="s">
        <v>1232</v>
      </c>
      <c r="EVW2187" s="594" t="s">
        <v>1232</v>
      </c>
      <c r="EVX2187" s="594" t="s">
        <v>1232</v>
      </c>
      <c r="EVY2187" s="594" t="s">
        <v>1232</v>
      </c>
      <c r="EVZ2187" s="594" t="s">
        <v>1232</v>
      </c>
      <c r="EWA2187" s="594" t="s">
        <v>1232</v>
      </c>
      <c r="EWB2187" s="594" t="s">
        <v>1232</v>
      </c>
      <c r="EWC2187" s="594" t="s">
        <v>1232</v>
      </c>
      <c r="EWD2187" s="594" t="s">
        <v>1232</v>
      </c>
      <c r="EWE2187" s="594" t="s">
        <v>1232</v>
      </c>
      <c r="EWF2187" s="594" t="s">
        <v>1232</v>
      </c>
      <c r="EWG2187" s="594" t="s">
        <v>1232</v>
      </c>
      <c r="EWH2187" s="594" t="s">
        <v>1232</v>
      </c>
      <c r="EWI2187" s="594" t="s">
        <v>1232</v>
      </c>
      <c r="EWJ2187" s="594" t="s">
        <v>1232</v>
      </c>
      <c r="EWK2187" s="594" t="s">
        <v>1232</v>
      </c>
      <c r="EWL2187" s="594" t="s">
        <v>1232</v>
      </c>
      <c r="EWM2187" s="594" t="s">
        <v>1232</v>
      </c>
      <c r="EWN2187" s="594" t="s">
        <v>1232</v>
      </c>
      <c r="EWO2187" s="594" t="s">
        <v>1232</v>
      </c>
      <c r="EWP2187" s="594" t="s">
        <v>1232</v>
      </c>
      <c r="EWQ2187" s="594" t="s">
        <v>1232</v>
      </c>
      <c r="EWR2187" s="594" t="s">
        <v>1232</v>
      </c>
      <c r="EWS2187" s="594" t="s">
        <v>1232</v>
      </c>
      <c r="EWT2187" s="594" t="s">
        <v>1232</v>
      </c>
      <c r="EWU2187" s="594" t="s">
        <v>1232</v>
      </c>
      <c r="EWV2187" s="594" t="s">
        <v>1232</v>
      </c>
      <c r="EWW2187" s="594" t="s">
        <v>1232</v>
      </c>
      <c r="EWX2187" s="594" t="s">
        <v>1232</v>
      </c>
      <c r="EWY2187" s="594" t="s">
        <v>1232</v>
      </c>
      <c r="EWZ2187" s="594" t="s">
        <v>1232</v>
      </c>
      <c r="EXA2187" s="594" t="s">
        <v>1232</v>
      </c>
      <c r="EXB2187" s="594" t="s">
        <v>1232</v>
      </c>
      <c r="EXC2187" s="594" t="s">
        <v>1232</v>
      </c>
      <c r="EXD2187" s="594" t="s">
        <v>1232</v>
      </c>
      <c r="EXE2187" s="594" t="s">
        <v>1232</v>
      </c>
      <c r="EXF2187" s="594" t="s">
        <v>1232</v>
      </c>
      <c r="EXG2187" s="594" t="s">
        <v>1232</v>
      </c>
      <c r="EXH2187" s="594" t="s">
        <v>1232</v>
      </c>
      <c r="EXI2187" s="594" t="s">
        <v>1232</v>
      </c>
      <c r="EXJ2187" s="594" t="s">
        <v>1232</v>
      </c>
      <c r="EXK2187" s="594" t="s">
        <v>1232</v>
      </c>
      <c r="EXL2187" s="594" t="s">
        <v>1232</v>
      </c>
      <c r="EXM2187" s="594" t="s">
        <v>1232</v>
      </c>
      <c r="EXN2187" s="594" t="s">
        <v>1232</v>
      </c>
      <c r="EXO2187" s="594" t="s">
        <v>1232</v>
      </c>
      <c r="EXP2187" s="594" t="s">
        <v>1232</v>
      </c>
      <c r="EXQ2187" s="594" t="s">
        <v>1232</v>
      </c>
      <c r="EXR2187" s="594" t="s">
        <v>1232</v>
      </c>
      <c r="EXS2187" s="594" t="s">
        <v>1232</v>
      </c>
      <c r="EXT2187" s="594" t="s">
        <v>1232</v>
      </c>
      <c r="EXU2187" s="594" t="s">
        <v>1232</v>
      </c>
      <c r="EXV2187" s="594" t="s">
        <v>1232</v>
      </c>
      <c r="EXW2187" s="594" t="s">
        <v>1232</v>
      </c>
      <c r="EXX2187" s="594" t="s">
        <v>1232</v>
      </c>
      <c r="EXY2187" s="594" t="s">
        <v>1232</v>
      </c>
      <c r="EXZ2187" s="594" t="s">
        <v>1232</v>
      </c>
      <c r="EYA2187" s="594" t="s">
        <v>1232</v>
      </c>
      <c r="EYB2187" s="594" t="s">
        <v>1232</v>
      </c>
      <c r="EYC2187" s="594" t="s">
        <v>1232</v>
      </c>
      <c r="EYD2187" s="594" t="s">
        <v>1232</v>
      </c>
      <c r="EYE2187" s="594" t="s">
        <v>1232</v>
      </c>
      <c r="EYF2187" s="594" t="s">
        <v>1232</v>
      </c>
      <c r="EYG2187" s="594" t="s">
        <v>1232</v>
      </c>
      <c r="EYH2187" s="594" t="s">
        <v>1232</v>
      </c>
      <c r="EYI2187" s="594" t="s">
        <v>1232</v>
      </c>
      <c r="EYJ2187" s="594" t="s">
        <v>1232</v>
      </c>
      <c r="EYK2187" s="594" t="s">
        <v>1232</v>
      </c>
      <c r="EYL2187" s="594" t="s">
        <v>1232</v>
      </c>
      <c r="EYM2187" s="594" t="s">
        <v>1232</v>
      </c>
      <c r="EYN2187" s="594" t="s">
        <v>1232</v>
      </c>
      <c r="EYO2187" s="594" t="s">
        <v>1232</v>
      </c>
      <c r="EYP2187" s="594" t="s">
        <v>1232</v>
      </c>
      <c r="EYQ2187" s="594" t="s">
        <v>1232</v>
      </c>
      <c r="EYR2187" s="594" t="s">
        <v>1232</v>
      </c>
      <c r="EYS2187" s="594" t="s">
        <v>1232</v>
      </c>
      <c r="EYT2187" s="594" t="s">
        <v>1232</v>
      </c>
      <c r="EYU2187" s="594" t="s">
        <v>1232</v>
      </c>
      <c r="EYV2187" s="594" t="s">
        <v>1232</v>
      </c>
      <c r="EYW2187" s="594" t="s">
        <v>1232</v>
      </c>
      <c r="EYX2187" s="594" t="s">
        <v>1232</v>
      </c>
      <c r="EYY2187" s="594" t="s">
        <v>1232</v>
      </c>
      <c r="EYZ2187" s="594" t="s">
        <v>1232</v>
      </c>
      <c r="EZA2187" s="594" t="s">
        <v>1232</v>
      </c>
      <c r="EZB2187" s="594" t="s">
        <v>1232</v>
      </c>
      <c r="EZC2187" s="594" t="s">
        <v>1232</v>
      </c>
      <c r="EZD2187" s="594" t="s">
        <v>1232</v>
      </c>
      <c r="EZE2187" s="594" t="s">
        <v>1232</v>
      </c>
      <c r="EZF2187" s="594" t="s">
        <v>1232</v>
      </c>
      <c r="EZG2187" s="594" t="s">
        <v>1232</v>
      </c>
      <c r="EZH2187" s="594" t="s">
        <v>1232</v>
      </c>
      <c r="EZI2187" s="594" t="s">
        <v>1232</v>
      </c>
      <c r="EZJ2187" s="594" t="s">
        <v>1232</v>
      </c>
      <c r="EZK2187" s="594" t="s">
        <v>1232</v>
      </c>
      <c r="EZL2187" s="594" t="s">
        <v>1232</v>
      </c>
      <c r="EZM2187" s="594" t="s">
        <v>1232</v>
      </c>
      <c r="EZN2187" s="594" t="s">
        <v>1232</v>
      </c>
      <c r="EZO2187" s="594" t="s">
        <v>1232</v>
      </c>
      <c r="EZP2187" s="594" t="s">
        <v>1232</v>
      </c>
      <c r="EZQ2187" s="594" t="s">
        <v>1232</v>
      </c>
      <c r="EZR2187" s="594" t="s">
        <v>1232</v>
      </c>
      <c r="EZS2187" s="594" t="s">
        <v>1232</v>
      </c>
      <c r="EZT2187" s="594" t="s">
        <v>1232</v>
      </c>
      <c r="EZU2187" s="594" t="s">
        <v>1232</v>
      </c>
      <c r="EZV2187" s="594" t="s">
        <v>1232</v>
      </c>
      <c r="EZW2187" s="594" t="s">
        <v>1232</v>
      </c>
      <c r="EZX2187" s="594" t="s">
        <v>1232</v>
      </c>
      <c r="EZY2187" s="594" t="s">
        <v>1232</v>
      </c>
      <c r="EZZ2187" s="594" t="s">
        <v>1232</v>
      </c>
      <c r="FAA2187" s="594" t="s">
        <v>1232</v>
      </c>
      <c r="FAB2187" s="594" t="s">
        <v>1232</v>
      </c>
      <c r="FAC2187" s="594" t="s">
        <v>1232</v>
      </c>
      <c r="FAD2187" s="594" t="s">
        <v>1232</v>
      </c>
      <c r="FAE2187" s="594" t="s">
        <v>1232</v>
      </c>
      <c r="FAF2187" s="594" t="s">
        <v>1232</v>
      </c>
      <c r="FAG2187" s="594" t="s">
        <v>1232</v>
      </c>
      <c r="FAH2187" s="594" t="s">
        <v>1232</v>
      </c>
      <c r="FAI2187" s="594" t="s">
        <v>1232</v>
      </c>
      <c r="FAJ2187" s="594" t="s">
        <v>1232</v>
      </c>
      <c r="FAK2187" s="594" t="s">
        <v>1232</v>
      </c>
      <c r="FAL2187" s="594" t="s">
        <v>1232</v>
      </c>
      <c r="FAM2187" s="594" t="s">
        <v>1232</v>
      </c>
      <c r="FAN2187" s="594" t="s">
        <v>1232</v>
      </c>
      <c r="FAO2187" s="594" t="s">
        <v>1232</v>
      </c>
      <c r="FAP2187" s="594" t="s">
        <v>1232</v>
      </c>
      <c r="FAQ2187" s="594" t="s">
        <v>1232</v>
      </c>
      <c r="FAR2187" s="594" t="s">
        <v>1232</v>
      </c>
      <c r="FAS2187" s="594" t="s">
        <v>1232</v>
      </c>
      <c r="FAT2187" s="594" t="s">
        <v>1232</v>
      </c>
      <c r="FAU2187" s="594" t="s">
        <v>1232</v>
      </c>
      <c r="FAV2187" s="594" t="s">
        <v>1232</v>
      </c>
      <c r="FAW2187" s="594" t="s">
        <v>1232</v>
      </c>
      <c r="FAX2187" s="594" t="s">
        <v>1232</v>
      </c>
      <c r="FAY2187" s="594" t="s">
        <v>1232</v>
      </c>
      <c r="FAZ2187" s="594" t="s">
        <v>1232</v>
      </c>
      <c r="FBA2187" s="594" t="s">
        <v>1232</v>
      </c>
      <c r="FBB2187" s="594" t="s">
        <v>1232</v>
      </c>
      <c r="FBC2187" s="594" t="s">
        <v>1232</v>
      </c>
      <c r="FBD2187" s="594" t="s">
        <v>1232</v>
      </c>
      <c r="FBE2187" s="594" t="s">
        <v>1232</v>
      </c>
      <c r="FBF2187" s="594" t="s">
        <v>1232</v>
      </c>
      <c r="FBG2187" s="594" t="s">
        <v>1232</v>
      </c>
      <c r="FBH2187" s="594" t="s">
        <v>1232</v>
      </c>
      <c r="FBI2187" s="594" t="s">
        <v>1232</v>
      </c>
      <c r="FBJ2187" s="594" t="s">
        <v>1232</v>
      </c>
      <c r="FBK2187" s="594" t="s">
        <v>1232</v>
      </c>
      <c r="FBL2187" s="594" t="s">
        <v>1232</v>
      </c>
      <c r="FBM2187" s="594" t="s">
        <v>1232</v>
      </c>
      <c r="FBN2187" s="594" t="s">
        <v>1232</v>
      </c>
      <c r="FBO2187" s="594" t="s">
        <v>1232</v>
      </c>
      <c r="FBP2187" s="594" t="s">
        <v>1232</v>
      </c>
      <c r="FBQ2187" s="594" t="s">
        <v>1232</v>
      </c>
      <c r="FBR2187" s="594" t="s">
        <v>1232</v>
      </c>
      <c r="FBS2187" s="594" t="s">
        <v>1232</v>
      </c>
      <c r="FBT2187" s="594" t="s">
        <v>1232</v>
      </c>
      <c r="FBU2187" s="594" t="s">
        <v>1232</v>
      </c>
      <c r="FBV2187" s="594" t="s">
        <v>1232</v>
      </c>
      <c r="FBW2187" s="594" t="s">
        <v>1232</v>
      </c>
      <c r="FBX2187" s="594" t="s">
        <v>1232</v>
      </c>
      <c r="FBY2187" s="594" t="s">
        <v>1232</v>
      </c>
      <c r="FBZ2187" s="594" t="s">
        <v>1232</v>
      </c>
      <c r="FCA2187" s="594" t="s">
        <v>1232</v>
      </c>
      <c r="FCB2187" s="594" t="s">
        <v>1232</v>
      </c>
      <c r="FCC2187" s="594" t="s">
        <v>1232</v>
      </c>
      <c r="FCD2187" s="594" t="s">
        <v>1232</v>
      </c>
      <c r="FCE2187" s="594" t="s">
        <v>1232</v>
      </c>
      <c r="FCF2187" s="594" t="s">
        <v>1232</v>
      </c>
      <c r="FCG2187" s="594" t="s">
        <v>1232</v>
      </c>
      <c r="FCH2187" s="594" t="s">
        <v>1232</v>
      </c>
      <c r="FCI2187" s="594" t="s">
        <v>1232</v>
      </c>
      <c r="FCJ2187" s="594" t="s">
        <v>1232</v>
      </c>
      <c r="FCK2187" s="594" t="s">
        <v>1232</v>
      </c>
      <c r="FCL2187" s="594" t="s">
        <v>1232</v>
      </c>
      <c r="FCM2187" s="594" t="s">
        <v>1232</v>
      </c>
      <c r="FCN2187" s="594" t="s">
        <v>1232</v>
      </c>
      <c r="FCO2187" s="594" t="s">
        <v>1232</v>
      </c>
      <c r="FCP2187" s="594" t="s">
        <v>1232</v>
      </c>
      <c r="FCQ2187" s="594" t="s">
        <v>1232</v>
      </c>
      <c r="FCR2187" s="594" t="s">
        <v>1232</v>
      </c>
      <c r="FCS2187" s="594" t="s">
        <v>1232</v>
      </c>
      <c r="FCT2187" s="594" t="s">
        <v>1232</v>
      </c>
      <c r="FCU2187" s="594" t="s">
        <v>1232</v>
      </c>
      <c r="FCV2187" s="594" t="s">
        <v>1232</v>
      </c>
      <c r="FCW2187" s="594" t="s">
        <v>1232</v>
      </c>
      <c r="FCX2187" s="594" t="s">
        <v>1232</v>
      </c>
      <c r="FCY2187" s="594" t="s">
        <v>1232</v>
      </c>
      <c r="FCZ2187" s="594" t="s">
        <v>1232</v>
      </c>
      <c r="FDA2187" s="594" t="s">
        <v>1232</v>
      </c>
      <c r="FDB2187" s="594" t="s">
        <v>1232</v>
      </c>
      <c r="FDC2187" s="594" t="s">
        <v>1232</v>
      </c>
      <c r="FDD2187" s="594" t="s">
        <v>1232</v>
      </c>
      <c r="FDE2187" s="594" t="s">
        <v>1232</v>
      </c>
      <c r="FDF2187" s="594" t="s">
        <v>1232</v>
      </c>
      <c r="FDG2187" s="594" t="s">
        <v>1232</v>
      </c>
      <c r="FDH2187" s="594" t="s">
        <v>1232</v>
      </c>
      <c r="FDI2187" s="594" t="s">
        <v>1232</v>
      </c>
      <c r="FDJ2187" s="594" t="s">
        <v>1232</v>
      </c>
      <c r="FDK2187" s="594" t="s">
        <v>1232</v>
      </c>
      <c r="FDL2187" s="594" t="s">
        <v>1232</v>
      </c>
      <c r="FDM2187" s="594" t="s">
        <v>1232</v>
      </c>
      <c r="FDN2187" s="594" t="s">
        <v>1232</v>
      </c>
      <c r="FDO2187" s="594" t="s">
        <v>1232</v>
      </c>
      <c r="FDP2187" s="594" t="s">
        <v>1232</v>
      </c>
      <c r="FDQ2187" s="594" t="s">
        <v>1232</v>
      </c>
      <c r="FDR2187" s="594" t="s">
        <v>1232</v>
      </c>
      <c r="FDS2187" s="594" t="s">
        <v>1232</v>
      </c>
      <c r="FDT2187" s="594" t="s">
        <v>1232</v>
      </c>
      <c r="FDU2187" s="594" t="s">
        <v>1232</v>
      </c>
      <c r="FDV2187" s="594" t="s">
        <v>1232</v>
      </c>
      <c r="FDW2187" s="594" t="s">
        <v>1232</v>
      </c>
      <c r="FDX2187" s="594" t="s">
        <v>1232</v>
      </c>
      <c r="FDY2187" s="594" t="s">
        <v>1232</v>
      </c>
      <c r="FDZ2187" s="594" t="s">
        <v>1232</v>
      </c>
      <c r="FEA2187" s="594" t="s">
        <v>1232</v>
      </c>
      <c r="FEB2187" s="594" t="s">
        <v>1232</v>
      </c>
      <c r="FEC2187" s="594" t="s">
        <v>1232</v>
      </c>
      <c r="FED2187" s="594" t="s">
        <v>1232</v>
      </c>
      <c r="FEE2187" s="594" t="s">
        <v>1232</v>
      </c>
      <c r="FEF2187" s="594" t="s">
        <v>1232</v>
      </c>
      <c r="FEG2187" s="594" t="s">
        <v>1232</v>
      </c>
      <c r="FEH2187" s="594" t="s">
        <v>1232</v>
      </c>
      <c r="FEI2187" s="594" t="s">
        <v>1232</v>
      </c>
      <c r="FEJ2187" s="594" t="s">
        <v>1232</v>
      </c>
      <c r="FEK2187" s="594" t="s">
        <v>1232</v>
      </c>
      <c r="FEL2187" s="594" t="s">
        <v>1232</v>
      </c>
      <c r="FEM2187" s="594" t="s">
        <v>1232</v>
      </c>
      <c r="FEN2187" s="594" t="s">
        <v>1232</v>
      </c>
      <c r="FEO2187" s="594" t="s">
        <v>1232</v>
      </c>
      <c r="FEP2187" s="594" t="s">
        <v>1232</v>
      </c>
      <c r="FEQ2187" s="594" t="s">
        <v>1232</v>
      </c>
      <c r="FER2187" s="594" t="s">
        <v>1232</v>
      </c>
      <c r="FES2187" s="594" t="s">
        <v>1232</v>
      </c>
      <c r="FET2187" s="594" t="s">
        <v>1232</v>
      </c>
      <c r="FEU2187" s="594" t="s">
        <v>1232</v>
      </c>
      <c r="FEV2187" s="594" t="s">
        <v>1232</v>
      </c>
      <c r="FEW2187" s="594" t="s">
        <v>1232</v>
      </c>
      <c r="FEX2187" s="594" t="s">
        <v>1232</v>
      </c>
      <c r="FEY2187" s="594" t="s">
        <v>1232</v>
      </c>
      <c r="FEZ2187" s="594" t="s">
        <v>1232</v>
      </c>
      <c r="FFA2187" s="594" t="s">
        <v>1232</v>
      </c>
      <c r="FFB2187" s="594" t="s">
        <v>1232</v>
      </c>
      <c r="FFC2187" s="594" t="s">
        <v>1232</v>
      </c>
      <c r="FFD2187" s="594" t="s">
        <v>1232</v>
      </c>
      <c r="FFE2187" s="594" t="s">
        <v>1232</v>
      </c>
      <c r="FFF2187" s="594" t="s">
        <v>1232</v>
      </c>
      <c r="FFG2187" s="594" t="s">
        <v>1232</v>
      </c>
      <c r="FFH2187" s="594" t="s">
        <v>1232</v>
      </c>
      <c r="FFI2187" s="594" t="s">
        <v>1232</v>
      </c>
      <c r="FFJ2187" s="594" t="s">
        <v>1232</v>
      </c>
      <c r="FFK2187" s="594" t="s">
        <v>1232</v>
      </c>
      <c r="FFL2187" s="594" t="s">
        <v>1232</v>
      </c>
      <c r="FFM2187" s="594" t="s">
        <v>1232</v>
      </c>
      <c r="FFN2187" s="594" t="s">
        <v>1232</v>
      </c>
      <c r="FFO2187" s="594" t="s">
        <v>1232</v>
      </c>
      <c r="FFP2187" s="594" t="s">
        <v>1232</v>
      </c>
      <c r="FFQ2187" s="594" t="s">
        <v>1232</v>
      </c>
      <c r="FFR2187" s="594" t="s">
        <v>1232</v>
      </c>
      <c r="FFS2187" s="594" t="s">
        <v>1232</v>
      </c>
      <c r="FFT2187" s="594" t="s">
        <v>1232</v>
      </c>
      <c r="FFU2187" s="594" t="s">
        <v>1232</v>
      </c>
      <c r="FFV2187" s="594" t="s">
        <v>1232</v>
      </c>
      <c r="FFW2187" s="594" t="s">
        <v>1232</v>
      </c>
      <c r="FFX2187" s="594" t="s">
        <v>1232</v>
      </c>
      <c r="FFY2187" s="594" t="s">
        <v>1232</v>
      </c>
      <c r="FFZ2187" s="594" t="s">
        <v>1232</v>
      </c>
      <c r="FGA2187" s="594" t="s">
        <v>1232</v>
      </c>
      <c r="FGB2187" s="594" t="s">
        <v>1232</v>
      </c>
      <c r="FGC2187" s="594" t="s">
        <v>1232</v>
      </c>
      <c r="FGD2187" s="594" t="s">
        <v>1232</v>
      </c>
      <c r="FGE2187" s="594" t="s">
        <v>1232</v>
      </c>
      <c r="FGF2187" s="594" t="s">
        <v>1232</v>
      </c>
      <c r="FGG2187" s="594" t="s">
        <v>1232</v>
      </c>
      <c r="FGH2187" s="594" t="s">
        <v>1232</v>
      </c>
      <c r="FGI2187" s="594" t="s">
        <v>1232</v>
      </c>
      <c r="FGJ2187" s="594" t="s">
        <v>1232</v>
      </c>
      <c r="FGK2187" s="594" t="s">
        <v>1232</v>
      </c>
      <c r="FGL2187" s="594" t="s">
        <v>1232</v>
      </c>
      <c r="FGM2187" s="594" t="s">
        <v>1232</v>
      </c>
      <c r="FGN2187" s="594" t="s">
        <v>1232</v>
      </c>
      <c r="FGO2187" s="594" t="s">
        <v>1232</v>
      </c>
      <c r="FGP2187" s="594" t="s">
        <v>1232</v>
      </c>
      <c r="FGQ2187" s="594" t="s">
        <v>1232</v>
      </c>
      <c r="FGR2187" s="594" t="s">
        <v>1232</v>
      </c>
      <c r="FGS2187" s="594" t="s">
        <v>1232</v>
      </c>
      <c r="FGT2187" s="594" t="s">
        <v>1232</v>
      </c>
      <c r="FGU2187" s="594" t="s">
        <v>1232</v>
      </c>
      <c r="FGV2187" s="594" t="s">
        <v>1232</v>
      </c>
      <c r="FGW2187" s="594" t="s">
        <v>1232</v>
      </c>
      <c r="FGX2187" s="594" t="s">
        <v>1232</v>
      </c>
      <c r="FGY2187" s="594" t="s">
        <v>1232</v>
      </c>
      <c r="FGZ2187" s="594" t="s">
        <v>1232</v>
      </c>
      <c r="FHA2187" s="594" t="s">
        <v>1232</v>
      </c>
      <c r="FHB2187" s="594" t="s">
        <v>1232</v>
      </c>
      <c r="FHC2187" s="594" t="s">
        <v>1232</v>
      </c>
      <c r="FHD2187" s="594" t="s">
        <v>1232</v>
      </c>
      <c r="FHE2187" s="594" t="s">
        <v>1232</v>
      </c>
      <c r="FHF2187" s="594" t="s">
        <v>1232</v>
      </c>
      <c r="FHG2187" s="594" t="s">
        <v>1232</v>
      </c>
      <c r="FHH2187" s="594" t="s">
        <v>1232</v>
      </c>
      <c r="FHI2187" s="594" t="s">
        <v>1232</v>
      </c>
      <c r="FHJ2187" s="594" t="s">
        <v>1232</v>
      </c>
      <c r="FHK2187" s="594" t="s">
        <v>1232</v>
      </c>
      <c r="FHL2187" s="594" t="s">
        <v>1232</v>
      </c>
      <c r="FHM2187" s="594" t="s">
        <v>1232</v>
      </c>
      <c r="FHN2187" s="594" t="s">
        <v>1232</v>
      </c>
      <c r="FHO2187" s="594" t="s">
        <v>1232</v>
      </c>
      <c r="FHP2187" s="594" t="s">
        <v>1232</v>
      </c>
      <c r="FHQ2187" s="594" t="s">
        <v>1232</v>
      </c>
      <c r="FHR2187" s="594" t="s">
        <v>1232</v>
      </c>
      <c r="FHS2187" s="594" t="s">
        <v>1232</v>
      </c>
      <c r="FHT2187" s="594" t="s">
        <v>1232</v>
      </c>
      <c r="FHU2187" s="594" t="s">
        <v>1232</v>
      </c>
      <c r="FHV2187" s="594" t="s">
        <v>1232</v>
      </c>
      <c r="FHW2187" s="594" t="s">
        <v>1232</v>
      </c>
      <c r="FHX2187" s="594" t="s">
        <v>1232</v>
      </c>
      <c r="FHY2187" s="594" t="s">
        <v>1232</v>
      </c>
      <c r="FHZ2187" s="594" t="s">
        <v>1232</v>
      </c>
      <c r="FIA2187" s="594" t="s">
        <v>1232</v>
      </c>
      <c r="FIB2187" s="594" t="s">
        <v>1232</v>
      </c>
      <c r="FIC2187" s="594" t="s">
        <v>1232</v>
      </c>
      <c r="FID2187" s="594" t="s">
        <v>1232</v>
      </c>
      <c r="FIE2187" s="594" t="s">
        <v>1232</v>
      </c>
      <c r="FIF2187" s="594" t="s">
        <v>1232</v>
      </c>
      <c r="FIG2187" s="594" t="s">
        <v>1232</v>
      </c>
      <c r="FIH2187" s="594" t="s">
        <v>1232</v>
      </c>
      <c r="FII2187" s="594" t="s">
        <v>1232</v>
      </c>
      <c r="FIJ2187" s="594" t="s">
        <v>1232</v>
      </c>
      <c r="FIK2187" s="594" t="s">
        <v>1232</v>
      </c>
      <c r="FIL2187" s="594" t="s">
        <v>1232</v>
      </c>
      <c r="FIM2187" s="594" t="s">
        <v>1232</v>
      </c>
      <c r="FIN2187" s="594" t="s">
        <v>1232</v>
      </c>
      <c r="FIO2187" s="594" t="s">
        <v>1232</v>
      </c>
      <c r="FIP2187" s="594" t="s">
        <v>1232</v>
      </c>
      <c r="FIQ2187" s="594" t="s">
        <v>1232</v>
      </c>
      <c r="FIR2187" s="594" t="s">
        <v>1232</v>
      </c>
      <c r="FIS2187" s="594" t="s">
        <v>1232</v>
      </c>
      <c r="FIT2187" s="594" t="s">
        <v>1232</v>
      </c>
      <c r="FIU2187" s="594" t="s">
        <v>1232</v>
      </c>
      <c r="FIV2187" s="594" t="s">
        <v>1232</v>
      </c>
      <c r="FIW2187" s="594" t="s">
        <v>1232</v>
      </c>
      <c r="FIX2187" s="594" t="s">
        <v>1232</v>
      </c>
      <c r="FIY2187" s="594" t="s">
        <v>1232</v>
      </c>
      <c r="FIZ2187" s="594" t="s">
        <v>1232</v>
      </c>
      <c r="FJA2187" s="594" t="s">
        <v>1232</v>
      </c>
      <c r="FJB2187" s="594" t="s">
        <v>1232</v>
      </c>
      <c r="FJC2187" s="594" t="s">
        <v>1232</v>
      </c>
      <c r="FJD2187" s="594" t="s">
        <v>1232</v>
      </c>
      <c r="FJE2187" s="594" t="s">
        <v>1232</v>
      </c>
      <c r="FJF2187" s="594" t="s">
        <v>1232</v>
      </c>
      <c r="FJG2187" s="594" t="s">
        <v>1232</v>
      </c>
      <c r="FJH2187" s="594" t="s">
        <v>1232</v>
      </c>
      <c r="FJI2187" s="594" t="s">
        <v>1232</v>
      </c>
      <c r="FJJ2187" s="594" t="s">
        <v>1232</v>
      </c>
      <c r="FJK2187" s="594" t="s">
        <v>1232</v>
      </c>
      <c r="FJL2187" s="594" t="s">
        <v>1232</v>
      </c>
      <c r="FJM2187" s="594" t="s">
        <v>1232</v>
      </c>
      <c r="FJN2187" s="594" t="s">
        <v>1232</v>
      </c>
      <c r="FJO2187" s="594" t="s">
        <v>1232</v>
      </c>
      <c r="FJP2187" s="594" t="s">
        <v>1232</v>
      </c>
      <c r="FJQ2187" s="594" t="s">
        <v>1232</v>
      </c>
      <c r="FJR2187" s="594" t="s">
        <v>1232</v>
      </c>
      <c r="FJS2187" s="594" t="s">
        <v>1232</v>
      </c>
      <c r="FJT2187" s="594" t="s">
        <v>1232</v>
      </c>
      <c r="FJU2187" s="594" t="s">
        <v>1232</v>
      </c>
      <c r="FJV2187" s="594" t="s">
        <v>1232</v>
      </c>
      <c r="FJW2187" s="594" t="s">
        <v>1232</v>
      </c>
      <c r="FJX2187" s="594" t="s">
        <v>1232</v>
      </c>
      <c r="FJY2187" s="594" t="s">
        <v>1232</v>
      </c>
      <c r="FJZ2187" s="594" t="s">
        <v>1232</v>
      </c>
      <c r="FKA2187" s="594" t="s">
        <v>1232</v>
      </c>
      <c r="FKB2187" s="594" t="s">
        <v>1232</v>
      </c>
      <c r="FKC2187" s="594" t="s">
        <v>1232</v>
      </c>
      <c r="FKD2187" s="594" t="s">
        <v>1232</v>
      </c>
      <c r="FKE2187" s="594" t="s">
        <v>1232</v>
      </c>
      <c r="FKF2187" s="594" t="s">
        <v>1232</v>
      </c>
      <c r="FKG2187" s="594" t="s">
        <v>1232</v>
      </c>
      <c r="FKH2187" s="594" t="s">
        <v>1232</v>
      </c>
      <c r="FKI2187" s="594" t="s">
        <v>1232</v>
      </c>
      <c r="FKJ2187" s="594" t="s">
        <v>1232</v>
      </c>
      <c r="FKK2187" s="594" t="s">
        <v>1232</v>
      </c>
      <c r="FKL2187" s="594" t="s">
        <v>1232</v>
      </c>
      <c r="FKM2187" s="594" t="s">
        <v>1232</v>
      </c>
      <c r="FKN2187" s="594" t="s">
        <v>1232</v>
      </c>
      <c r="FKO2187" s="594" t="s">
        <v>1232</v>
      </c>
      <c r="FKP2187" s="594" t="s">
        <v>1232</v>
      </c>
      <c r="FKQ2187" s="594" t="s">
        <v>1232</v>
      </c>
      <c r="FKR2187" s="594" t="s">
        <v>1232</v>
      </c>
      <c r="FKS2187" s="594" t="s">
        <v>1232</v>
      </c>
      <c r="FKT2187" s="594" t="s">
        <v>1232</v>
      </c>
      <c r="FKU2187" s="594" t="s">
        <v>1232</v>
      </c>
      <c r="FKV2187" s="594" t="s">
        <v>1232</v>
      </c>
      <c r="FKW2187" s="594" t="s">
        <v>1232</v>
      </c>
      <c r="FKX2187" s="594" t="s">
        <v>1232</v>
      </c>
      <c r="FKY2187" s="594" t="s">
        <v>1232</v>
      </c>
      <c r="FKZ2187" s="594" t="s">
        <v>1232</v>
      </c>
      <c r="FLA2187" s="594" t="s">
        <v>1232</v>
      </c>
      <c r="FLB2187" s="594" t="s">
        <v>1232</v>
      </c>
      <c r="FLC2187" s="594" t="s">
        <v>1232</v>
      </c>
      <c r="FLD2187" s="594" t="s">
        <v>1232</v>
      </c>
      <c r="FLE2187" s="594" t="s">
        <v>1232</v>
      </c>
      <c r="FLF2187" s="594" t="s">
        <v>1232</v>
      </c>
      <c r="FLG2187" s="594" t="s">
        <v>1232</v>
      </c>
      <c r="FLH2187" s="594" t="s">
        <v>1232</v>
      </c>
      <c r="FLI2187" s="594" t="s">
        <v>1232</v>
      </c>
      <c r="FLJ2187" s="594" t="s">
        <v>1232</v>
      </c>
      <c r="FLK2187" s="594" t="s">
        <v>1232</v>
      </c>
      <c r="FLL2187" s="594" t="s">
        <v>1232</v>
      </c>
      <c r="FLM2187" s="594" t="s">
        <v>1232</v>
      </c>
      <c r="FLN2187" s="594" t="s">
        <v>1232</v>
      </c>
      <c r="FLO2187" s="594" t="s">
        <v>1232</v>
      </c>
      <c r="FLP2187" s="594" t="s">
        <v>1232</v>
      </c>
      <c r="FLQ2187" s="594" t="s">
        <v>1232</v>
      </c>
      <c r="FLR2187" s="594" t="s">
        <v>1232</v>
      </c>
      <c r="FLS2187" s="594" t="s">
        <v>1232</v>
      </c>
      <c r="FLT2187" s="594" t="s">
        <v>1232</v>
      </c>
      <c r="FLU2187" s="594" t="s">
        <v>1232</v>
      </c>
      <c r="FLV2187" s="594" t="s">
        <v>1232</v>
      </c>
      <c r="FLW2187" s="594" t="s">
        <v>1232</v>
      </c>
      <c r="FLX2187" s="594" t="s">
        <v>1232</v>
      </c>
      <c r="FLY2187" s="594" t="s">
        <v>1232</v>
      </c>
      <c r="FLZ2187" s="594" t="s">
        <v>1232</v>
      </c>
      <c r="FMA2187" s="594" t="s">
        <v>1232</v>
      </c>
      <c r="FMB2187" s="594" t="s">
        <v>1232</v>
      </c>
      <c r="FMC2187" s="594" t="s">
        <v>1232</v>
      </c>
      <c r="FMD2187" s="594" t="s">
        <v>1232</v>
      </c>
      <c r="FME2187" s="594" t="s">
        <v>1232</v>
      </c>
      <c r="FMF2187" s="594" t="s">
        <v>1232</v>
      </c>
      <c r="FMG2187" s="594" t="s">
        <v>1232</v>
      </c>
      <c r="FMH2187" s="594" t="s">
        <v>1232</v>
      </c>
      <c r="FMI2187" s="594" t="s">
        <v>1232</v>
      </c>
      <c r="FMJ2187" s="594" t="s">
        <v>1232</v>
      </c>
      <c r="FMK2187" s="594" t="s">
        <v>1232</v>
      </c>
      <c r="FML2187" s="594" t="s">
        <v>1232</v>
      </c>
      <c r="FMM2187" s="594" t="s">
        <v>1232</v>
      </c>
      <c r="FMN2187" s="594" t="s">
        <v>1232</v>
      </c>
      <c r="FMO2187" s="594" t="s">
        <v>1232</v>
      </c>
      <c r="FMP2187" s="594" t="s">
        <v>1232</v>
      </c>
      <c r="FMQ2187" s="594" t="s">
        <v>1232</v>
      </c>
      <c r="FMR2187" s="594" t="s">
        <v>1232</v>
      </c>
      <c r="FMS2187" s="594" t="s">
        <v>1232</v>
      </c>
      <c r="FMT2187" s="594" t="s">
        <v>1232</v>
      </c>
      <c r="FMU2187" s="594" t="s">
        <v>1232</v>
      </c>
      <c r="FMV2187" s="594" t="s">
        <v>1232</v>
      </c>
      <c r="FMW2187" s="594" t="s">
        <v>1232</v>
      </c>
      <c r="FMX2187" s="594" t="s">
        <v>1232</v>
      </c>
      <c r="FMY2187" s="594" t="s">
        <v>1232</v>
      </c>
      <c r="FMZ2187" s="594" t="s">
        <v>1232</v>
      </c>
      <c r="FNA2187" s="594" t="s">
        <v>1232</v>
      </c>
      <c r="FNB2187" s="594" t="s">
        <v>1232</v>
      </c>
      <c r="FNC2187" s="594" t="s">
        <v>1232</v>
      </c>
      <c r="FND2187" s="594" t="s">
        <v>1232</v>
      </c>
      <c r="FNE2187" s="594" t="s">
        <v>1232</v>
      </c>
      <c r="FNF2187" s="594" t="s">
        <v>1232</v>
      </c>
      <c r="FNG2187" s="594" t="s">
        <v>1232</v>
      </c>
      <c r="FNH2187" s="594" t="s">
        <v>1232</v>
      </c>
      <c r="FNI2187" s="594" t="s">
        <v>1232</v>
      </c>
      <c r="FNJ2187" s="594" t="s">
        <v>1232</v>
      </c>
      <c r="FNK2187" s="594" t="s">
        <v>1232</v>
      </c>
      <c r="FNL2187" s="594" t="s">
        <v>1232</v>
      </c>
      <c r="FNM2187" s="594" t="s">
        <v>1232</v>
      </c>
      <c r="FNN2187" s="594" t="s">
        <v>1232</v>
      </c>
      <c r="FNO2187" s="594" t="s">
        <v>1232</v>
      </c>
      <c r="FNP2187" s="594" t="s">
        <v>1232</v>
      </c>
      <c r="FNQ2187" s="594" t="s">
        <v>1232</v>
      </c>
      <c r="FNR2187" s="594" t="s">
        <v>1232</v>
      </c>
      <c r="FNS2187" s="594" t="s">
        <v>1232</v>
      </c>
      <c r="FNT2187" s="594" t="s">
        <v>1232</v>
      </c>
      <c r="FNU2187" s="594" t="s">
        <v>1232</v>
      </c>
      <c r="FNV2187" s="594" t="s">
        <v>1232</v>
      </c>
      <c r="FNW2187" s="594" t="s">
        <v>1232</v>
      </c>
      <c r="FNX2187" s="594" t="s">
        <v>1232</v>
      </c>
      <c r="FNY2187" s="594" t="s">
        <v>1232</v>
      </c>
      <c r="FNZ2187" s="594" t="s">
        <v>1232</v>
      </c>
      <c r="FOA2187" s="594" t="s">
        <v>1232</v>
      </c>
      <c r="FOB2187" s="594" t="s">
        <v>1232</v>
      </c>
      <c r="FOC2187" s="594" t="s">
        <v>1232</v>
      </c>
      <c r="FOD2187" s="594" t="s">
        <v>1232</v>
      </c>
      <c r="FOE2187" s="594" t="s">
        <v>1232</v>
      </c>
      <c r="FOF2187" s="594" t="s">
        <v>1232</v>
      </c>
      <c r="FOG2187" s="594" t="s">
        <v>1232</v>
      </c>
      <c r="FOH2187" s="594" t="s">
        <v>1232</v>
      </c>
      <c r="FOI2187" s="594" t="s">
        <v>1232</v>
      </c>
      <c r="FOJ2187" s="594" t="s">
        <v>1232</v>
      </c>
      <c r="FOK2187" s="594" t="s">
        <v>1232</v>
      </c>
      <c r="FOL2187" s="594" t="s">
        <v>1232</v>
      </c>
      <c r="FOM2187" s="594" t="s">
        <v>1232</v>
      </c>
      <c r="FON2187" s="594" t="s">
        <v>1232</v>
      </c>
      <c r="FOO2187" s="594" t="s">
        <v>1232</v>
      </c>
      <c r="FOP2187" s="594" t="s">
        <v>1232</v>
      </c>
      <c r="FOQ2187" s="594" t="s">
        <v>1232</v>
      </c>
      <c r="FOR2187" s="594" t="s">
        <v>1232</v>
      </c>
      <c r="FOS2187" s="594" t="s">
        <v>1232</v>
      </c>
      <c r="FOT2187" s="594" t="s">
        <v>1232</v>
      </c>
      <c r="FOU2187" s="594" t="s">
        <v>1232</v>
      </c>
      <c r="FOV2187" s="594" t="s">
        <v>1232</v>
      </c>
      <c r="FOW2187" s="594" t="s">
        <v>1232</v>
      </c>
      <c r="FOX2187" s="594" t="s">
        <v>1232</v>
      </c>
      <c r="FOY2187" s="594" t="s">
        <v>1232</v>
      </c>
      <c r="FOZ2187" s="594" t="s">
        <v>1232</v>
      </c>
      <c r="FPA2187" s="594" t="s">
        <v>1232</v>
      </c>
      <c r="FPB2187" s="594" t="s">
        <v>1232</v>
      </c>
      <c r="FPC2187" s="594" t="s">
        <v>1232</v>
      </c>
      <c r="FPD2187" s="594" t="s">
        <v>1232</v>
      </c>
      <c r="FPE2187" s="594" t="s">
        <v>1232</v>
      </c>
      <c r="FPF2187" s="594" t="s">
        <v>1232</v>
      </c>
      <c r="FPG2187" s="594" t="s">
        <v>1232</v>
      </c>
      <c r="FPH2187" s="594" t="s">
        <v>1232</v>
      </c>
      <c r="FPI2187" s="594" t="s">
        <v>1232</v>
      </c>
      <c r="FPJ2187" s="594" t="s">
        <v>1232</v>
      </c>
      <c r="FPK2187" s="594" t="s">
        <v>1232</v>
      </c>
      <c r="FPL2187" s="594" t="s">
        <v>1232</v>
      </c>
      <c r="FPM2187" s="594" t="s">
        <v>1232</v>
      </c>
      <c r="FPN2187" s="594" t="s">
        <v>1232</v>
      </c>
      <c r="FPO2187" s="594" t="s">
        <v>1232</v>
      </c>
      <c r="FPP2187" s="594" t="s">
        <v>1232</v>
      </c>
      <c r="FPQ2187" s="594" t="s">
        <v>1232</v>
      </c>
      <c r="FPR2187" s="594" t="s">
        <v>1232</v>
      </c>
      <c r="FPS2187" s="594" t="s">
        <v>1232</v>
      </c>
      <c r="FPT2187" s="594" t="s">
        <v>1232</v>
      </c>
      <c r="FPU2187" s="594" t="s">
        <v>1232</v>
      </c>
      <c r="FPV2187" s="594" t="s">
        <v>1232</v>
      </c>
      <c r="FPW2187" s="594" t="s">
        <v>1232</v>
      </c>
      <c r="FPX2187" s="594" t="s">
        <v>1232</v>
      </c>
      <c r="FPY2187" s="594" t="s">
        <v>1232</v>
      </c>
      <c r="FPZ2187" s="594" t="s">
        <v>1232</v>
      </c>
      <c r="FQA2187" s="594" t="s">
        <v>1232</v>
      </c>
      <c r="FQB2187" s="594" t="s">
        <v>1232</v>
      </c>
      <c r="FQC2187" s="594" t="s">
        <v>1232</v>
      </c>
      <c r="FQD2187" s="594" t="s">
        <v>1232</v>
      </c>
      <c r="FQE2187" s="594" t="s">
        <v>1232</v>
      </c>
      <c r="FQF2187" s="594" t="s">
        <v>1232</v>
      </c>
      <c r="FQG2187" s="594" t="s">
        <v>1232</v>
      </c>
      <c r="FQH2187" s="594" t="s">
        <v>1232</v>
      </c>
      <c r="FQI2187" s="594" t="s">
        <v>1232</v>
      </c>
      <c r="FQJ2187" s="594" t="s">
        <v>1232</v>
      </c>
      <c r="FQK2187" s="594" t="s">
        <v>1232</v>
      </c>
      <c r="FQL2187" s="594" t="s">
        <v>1232</v>
      </c>
      <c r="FQM2187" s="594" t="s">
        <v>1232</v>
      </c>
      <c r="FQN2187" s="594" t="s">
        <v>1232</v>
      </c>
      <c r="FQO2187" s="594" t="s">
        <v>1232</v>
      </c>
      <c r="FQP2187" s="594" t="s">
        <v>1232</v>
      </c>
      <c r="FQQ2187" s="594" t="s">
        <v>1232</v>
      </c>
      <c r="FQR2187" s="594" t="s">
        <v>1232</v>
      </c>
      <c r="FQS2187" s="594" t="s">
        <v>1232</v>
      </c>
      <c r="FQT2187" s="594" t="s">
        <v>1232</v>
      </c>
      <c r="FQU2187" s="594" t="s">
        <v>1232</v>
      </c>
      <c r="FQV2187" s="594" t="s">
        <v>1232</v>
      </c>
      <c r="FQW2187" s="594" t="s">
        <v>1232</v>
      </c>
      <c r="FQX2187" s="594" t="s">
        <v>1232</v>
      </c>
      <c r="FQY2187" s="594" t="s">
        <v>1232</v>
      </c>
      <c r="FQZ2187" s="594" t="s">
        <v>1232</v>
      </c>
      <c r="FRA2187" s="594" t="s">
        <v>1232</v>
      </c>
      <c r="FRB2187" s="594" t="s">
        <v>1232</v>
      </c>
      <c r="FRC2187" s="594" t="s">
        <v>1232</v>
      </c>
      <c r="FRD2187" s="594" t="s">
        <v>1232</v>
      </c>
      <c r="FRE2187" s="594" t="s">
        <v>1232</v>
      </c>
      <c r="FRF2187" s="594" t="s">
        <v>1232</v>
      </c>
      <c r="FRG2187" s="594" t="s">
        <v>1232</v>
      </c>
      <c r="FRH2187" s="594" t="s">
        <v>1232</v>
      </c>
      <c r="FRI2187" s="594" t="s">
        <v>1232</v>
      </c>
      <c r="FRJ2187" s="594" t="s">
        <v>1232</v>
      </c>
      <c r="FRK2187" s="594" t="s">
        <v>1232</v>
      </c>
      <c r="FRL2187" s="594" t="s">
        <v>1232</v>
      </c>
      <c r="FRM2187" s="594" t="s">
        <v>1232</v>
      </c>
      <c r="FRN2187" s="594" t="s">
        <v>1232</v>
      </c>
      <c r="FRO2187" s="594" t="s">
        <v>1232</v>
      </c>
      <c r="FRP2187" s="594" t="s">
        <v>1232</v>
      </c>
      <c r="FRQ2187" s="594" t="s">
        <v>1232</v>
      </c>
      <c r="FRR2187" s="594" t="s">
        <v>1232</v>
      </c>
      <c r="FRS2187" s="594" t="s">
        <v>1232</v>
      </c>
      <c r="FRT2187" s="594" t="s">
        <v>1232</v>
      </c>
      <c r="FRU2187" s="594" t="s">
        <v>1232</v>
      </c>
      <c r="FRV2187" s="594" t="s">
        <v>1232</v>
      </c>
      <c r="FRW2187" s="594" t="s">
        <v>1232</v>
      </c>
      <c r="FRX2187" s="594" t="s">
        <v>1232</v>
      </c>
      <c r="FRY2187" s="594" t="s">
        <v>1232</v>
      </c>
      <c r="FRZ2187" s="594" t="s">
        <v>1232</v>
      </c>
      <c r="FSA2187" s="594" t="s">
        <v>1232</v>
      </c>
      <c r="FSB2187" s="594" t="s">
        <v>1232</v>
      </c>
      <c r="FSC2187" s="594" t="s">
        <v>1232</v>
      </c>
      <c r="FSD2187" s="594" t="s">
        <v>1232</v>
      </c>
      <c r="FSE2187" s="594" t="s">
        <v>1232</v>
      </c>
      <c r="FSF2187" s="594" t="s">
        <v>1232</v>
      </c>
      <c r="FSG2187" s="594" t="s">
        <v>1232</v>
      </c>
      <c r="FSH2187" s="594" t="s">
        <v>1232</v>
      </c>
      <c r="FSI2187" s="594" t="s">
        <v>1232</v>
      </c>
      <c r="FSJ2187" s="594" t="s">
        <v>1232</v>
      </c>
      <c r="FSK2187" s="594" t="s">
        <v>1232</v>
      </c>
      <c r="FSL2187" s="594" t="s">
        <v>1232</v>
      </c>
      <c r="FSM2187" s="594" t="s">
        <v>1232</v>
      </c>
      <c r="FSN2187" s="594" t="s">
        <v>1232</v>
      </c>
      <c r="FSO2187" s="594" t="s">
        <v>1232</v>
      </c>
      <c r="FSP2187" s="594" t="s">
        <v>1232</v>
      </c>
      <c r="FSQ2187" s="594" t="s">
        <v>1232</v>
      </c>
      <c r="FSR2187" s="594" t="s">
        <v>1232</v>
      </c>
      <c r="FSS2187" s="594" t="s">
        <v>1232</v>
      </c>
      <c r="FST2187" s="594" t="s">
        <v>1232</v>
      </c>
      <c r="FSU2187" s="594" t="s">
        <v>1232</v>
      </c>
      <c r="FSV2187" s="594" t="s">
        <v>1232</v>
      </c>
      <c r="FSW2187" s="594" t="s">
        <v>1232</v>
      </c>
      <c r="FSX2187" s="594" t="s">
        <v>1232</v>
      </c>
      <c r="FSY2187" s="594" t="s">
        <v>1232</v>
      </c>
      <c r="FSZ2187" s="594" t="s">
        <v>1232</v>
      </c>
      <c r="FTA2187" s="594" t="s">
        <v>1232</v>
      </c>
      <c r="FTB2187" s="594" t="s">
        <v>1232</v>
      </c>
      <c r="FTC2187" s="594" t="s">
        <v>1232</v>
      </c>
      <c r="FTD2187" s="594" t="s">
        <v>1232</v>
      </c>
      <c r="FTE2187" s="594" t="s">
        <v>1232</v>
      </c>
      <c r="FTF2187" s="594" t="s">
        <v>1232</v>
      </c>
      <c r="FTG2187" s="594" t="s">
        <v>1232</v>
      </c>
      <c r="FTH2187" s="594" t="s">
        <v>1232</v>
      </c>
      <c r="FTI2187" s="594" t="s">
        <v>1232</v>
      </c>
      <c r="FTJ2187" s="594" t="s">
        <v>1232</v>
      </c>
      <c r="FTK2187" s="594" t="s">
        <v>1232</v>
      </c>
      <c r="FTL2187" s="594" t="s">
        <v>1232</v>
      </c>
      <c r="FTM2187" s="594" t="s">
        <v>1232</v>
      </c>
      <c r="FTN2187" s="594" t="s">
        <v>1232</v>
      </c>
      <c r="FTO2187" s="594" t="s">
        <v>1232</v>
      </c>
      <c r="FTP2187" s="594" t="s">
        <v>1232</v>
      </c>
      <c r="FTQ2187" s="594" t="s">
        <v>1232</v>
      </c>
      <c r="FTR2187" s="594" t="s">
        <v>1232</v>
      </c>
      <c r="FTS2187" s="594" t="s">
        <v>1232</v>
      </c>
      <c r="FTT2187" s="594" t="s">
        <v>1232</v>
      </c>
      <c r="FTU2187" s="594" t="s">
        <v>1232</v>
      </c>
      <c r="FTV2187" s="594" t="s">
        <v>1232</v>
      </c>
      <c r="FTW2187" s="594" t="s">
        <v>1232</v>
      </c>
      <c r="FTX2187" s="594" t="s">
        <v>1232</v>
      </c>
      <c r="FTY2187" s="594" t="s">
        <v>1232</v>
      </c>
      <c r="FTZ2187" s="594" t="s">
        <v>1232</v>
      </c>
      <c r="FUA2187" s="594" t="s">
        <v>1232</v>
      </c>
      <c r="FUB2187" s="594" t="s">
        <v>1232</v>
      </c>
      <c r="FUC2187" s="594" t="s">
        <v>1232</v>
      </c>
      <c r="FUD2187" s="594" t="s">
        <v>1232</v>
      </c>
      <c r="FUE2187" s="594" t="s">
        <v>1232</v>
      </c>
      <c r="FUF2187" s="594" t="s">
        <v>1232</v>
      </c>
      <c r="FUG2187" s="594" t="s">
        <v>1232</v>
      </c>
      <c r="FUH2187" s="594" t="s">
        <v>1232</v>
      </c>
      <c r="FUI2187" s="594" t="s">
        <v>1232</v>
      </c>
      <c r="FUJ2187" s="594" t="s">
        <v>1232</v>
      </c>
      <c r="FUK2187" s="594" t="s">
        <v>1232</v>
      </c>
      <c r="FUL2187" s="594" t="s">
        <v>1232</v>
      </c>
      <c r="FUM2187" s="594" t="s">
        <v>1232</v>
      </c>
      <c r="FUN2187" s="594" t="s">
        <v>1232</v>
      </c>
      <c r="FUO2187" s="594" t="s">
        <v>1232</v>
      </c>
      <c r="FUP2187" s="594" t="s">
        <v>1232</v>
      </c>
      <c r="FUQ2187" s="594" t="s">
        <v>1232</v>
      </c>
      <c r="FUR2187" s="594" t="s">
        <v>1232</v>
      </c>
      <c r="FUS2187" s="594" t="s">
        <v>1232</v>
      </c>
      <c r="FUT2187" s="594" t="s">
        <v>1232</v>
      </c>
      <c r="FUU2187" s="594" t="s">
        <v>1232</v>
      </c>
      <c r="FUV2187" s="594" t="s">
        <v>1232</v>
      </c>
      <c r="FUW2187" s="594" t="s">
        <v>1232</v>
      </c>
      <c r="FUX2187" s="594" t="s">
        <v>1232</v>
      </c>
      <c r="FUY2187" s="594" t="s">
        <v>1232</v>
      </c>
      <c r="FUZ2187" s="594" t="s">
        <v>1232</v>
      </c>
      <c r="FVA2187" s="594" t="s">
        <v>1232</v>
      </c>
      <c r="FVB2187" s="594" t="s">
        <v>1232</v>
      </c>
      <c r="FVC2187" s="594" t="s">
        <v>1232</v>
      </c>
      <c r="FVD2187" s="594" t="s">
        <v>1232</v>
      </c>
      <c r="FVE2187" s="594" t="s">
        <v>1232</v>
      </c>
      <c r="FVF2187" s="594" t="s">
        <v>1232</v>
      </c>
      <c r="FVG2187" s="594" t="s">
        <v>1232</v>
      </c>
      <c r="FVH2187" s="594" t="s">
        <v>1232</v>
      </c>
      <c r="FVI2187" s="594" t="s">
        <v>1232</v>
      </c>
      <c r="FVJ2187" s="594" t="s">
        <v>1232</v>
      </c>
      <c r="FVK2187" s="594" t="s">
        <v>1232</v>
      </c>
      <c r="FVL2187" s="594" t="s">
        <v>1232</v>
      </c>
      <c r="FVM2187" s="594" t="s">
        <v>1232</v>
      </c>
      <c r="FVN2187" s="594" t="s">
        <v>1232</v>
      </c>
      <c r="FVO2187" s="594" t="s">
        <v>1232</v>
      </c>
      <c r="FVP2187" s="594" t="s">
        <v>1232</v>
      </c>
      <c r="FVQ2187" s="594" t="s">
        <v>1232</v>
      </c>
      <c r="FVR2187" s="594" t="s">
        <v>1232</v>
      </c>
      <c r="FVS2187" s="594" t="s">
        <v>1232</v>
      </c>
      <c r="FVT2187" s="594" t="s">
        <v>1232</v>
      </c>
      <c r="FVU2187" s="594" t="s">
        <v>1232</v>
      </c>
      <c r="FVV2187" s="594" t="s">
        <v>1232</v>
      </c>
      <c r="FVW2187" s="594" t="s">
        <v>1232</v>
      </c>
      <c r="FVX2187" s="594" t="s">
        <v>1232</v>
      </c>
      <c r="FVY2187" s="594" t="s">
        <v>1232</v>
      </c>
      <c r="FVZ2187" s="594" t="s">
        <v>1232</v>
      </c>
      <c r="FWA2187" s="594" t="s">
        <v>1232</v>
      </c>
      <c r="FWB2187" s="594" t="s">
        <v>1232</v>
      </c>
      <c r="FWC2187" s="594" t="s">
        <v>1232</v>
      </c>
      <c r="FWD2187" s="594" t="s">
        <v>1232</v>
      </c>
      <c r="FWE2187" s="594" t="s">
        <v>1232</v>
      </c>
      <c r="FWF2187" s="594" t="s">
        <v>1232</v>
      </c>
      <c r="FWG2187" s="594" t="s">
        <v>1232</v>
      </c>
      <c r="FWH2187" s="594" t="s">
        <v>1232</v>
      </c>
      <c r="FWI2187" s="594" t="s">
        <v>1232</v>
      </c>
      <c r="FWJ2187" s="594" t="s">
        <v>1232</v>
      </c>
      <c r="FWK2187" s="594" t="s">
        <v>1232</v>
      </c>
      <c r="FWL2187" s="594" t="s">
        <v>1232</v>
      </c>
      <c r="FWM2187" s="594" t="s">
        <v>1232</v>
      </c>
      <c r="FWN2187" s="594" t="s">
        <v>1232</v>
      </c>
      <c r="FWO2187" s="594" t="s">
        <v>1232</v>
      </c>
      <c r="FWP2187" s="594" t="s">
        <v>1232</v>
      </c>
      <c r="FWQ2187" s="594" t="s">
        <v>1232</v>
      </c>
      <c r="FWR2187" s="594" t="s">
        <v>1232</v>
      </c>
      <c r="FWS2187" s="594" t="s">
        <v>1232</v>
      </c>
      <c r="FWT2187" s="594" t="s">
        <v>1232</v>
      </c>
      <c r="FWU2187" s="594" t="s">
        <v>1232</v>
      </c>
      <c r="FWV2187" s="594" t="s">
        <v>1232</v>
      </c>
      <c r="FWW2187" s="594" t="s">
        <v>1232</v>
      </c>
      <c r="FWX2187" s="594" t="s">
        <v>1232</v>
      </c>
      <c r="FWY2187" s="594" t="s">
        <v>1232</v>
      </c>
      <c r="FWZ2187" s="594" t="s">
        <v>1232</v>
      </c>
      <c r="FXA2187" s="594" t="s">
        <v>1232</v>
      </c>
      <c r="FXB2187" s="594" t="s">
        <v>1232</v>
      </c>
      <c r="FXC2187" s="594" t="s">
        <v>1232</v>
      </c>
      <c r="FXD2187" s="594" t="s">
        <v>1232</v>
      </c>
      <c r="FXE2187" s="594" t="s">
        <v>1232</v>
      </c>
      <c r="FXF2187" s="594" t="s">
        <v>1232</v>
      </c>
      <c r="FXG2187" s="594" t="s">
        <v>1232</v>
      </c>
      <c r="FXH2187" s="594" t="s">
        <v>1232</v>
      </c>
      <c r="FXI2187" s="594" t="s">
        <v>1232</v>
      </c>
      <c r="FXJ2187" s="594" t="s">
        <v>1232</v>
      </c>
      <c r="FXK2187" s="594" t="s">
        <v>1232</v>
      </c>
      <c r="FXL2187" s="594" t="s">
        <v>1232</v>
      </c>
      <c r="FXM2187" s="594" t="s">
        <v>1232</v>
      </c>
      <c r="FXN2187" s="594" t="s">
        <v>1232</v>
      </c>
      <c r="FXO2187" s="594" t="s">
        <v>1232</v>
      </c>
      <c r="FXP2187" s="594" t="s">
        <v>1232</v>
      </c>
      <c r="FXQ2187" s="594" t="s">
        <v>1232</v>
      </c>
      <c r="FXR2187" s="594" t="s">
        <v>1232</v>
      </c>
      <c r="FXS2187" s="594" t="s">
        <v>1232</v>
      </c>
      <c r="FXT2187" s="594" t="s">
        <v>1232</v>
      </c>
      <c r="FXU2187" s="594" t="s">
        <v>1232</v>
      </c>
      <c r="FXV2187" s="594" t="s">
        <v>1232</v>
      </c>
      <c r="FXW2187" s="594" t="s">
        <v>1232</v>
      </c>
      <c r="FXX2187" s="594" t="s">
        <v>1232</v>
      </c>
      <c r="FXY2187" s="594" t="s">
        <v>1232</v>
      </c>
      <c r="FXZ2187" s="594" t="s">
        <v>1232</v>
      </c>
      <c r="FYA2187" s="594" t="s">
        <v>1232</v>
      </c>
      <c r="FYB2187" s="594" t="s">
        <v>1232</v>
      </c>
      <c r="FYC2187" s="594" t="s">
        <v>1232</v>
      </c>
      <c r="FYD2187" s="594" t="s">
        <v>1232</v>
      </c>
      <c r="FYE2187" s="594" t="s">
        <v>1232</v>
      </c>
      <c r="FYF2187" s="594" t="s">
        <v>1232</v>
      </c>
      <c r="FYG2187" s="594" t="s">
        <v>1232</v>
      </c>
      <c r="FYH2187" s="594" t="s">
        <v>1232</v>
      </c>
      <c r="FYI2187" s="594" t="s">
        <v>1232</v>
      </c>
      <c r="FYJ2187" s="594" t="s">
        <v>1232</v>
      </c>
      <c r="FYK2187" s="594" t="s">
        <v>1232</v>
      </c>
      <c r="FYL2187" s="594" t="s">
        <v>1232</v>
      </c>
      <c r="FYM2187" s="594" t="s">
        <v>1232</v>
      </c>
      <c r="FYN2187" s="594" t="s">
        <v>1232</v>
      </c>
      <c r="FYO2187" s="594" t="s">
        <v>1232</v>
      </c>
      <c r="FYP2187" s="594" t="s">
        <v>1232</v>
      </c>
      <c r="FYQ2187" s="594" t="s">
        <v>1232</v>
      </c>
      <c r="FYR2187" s="594" t="s">
        <v>1232</v>
      </c>
      <c r="FYS2187" s="594" t="s">
        <v>1232</v>
      </c>
      <c r="FYT2187" s="594" t="s">
        <v>1232</v>
      </c>
      <c r="FYU2187" s="594" t="s">
        <v>1232</v>
      </c>
      <c r="FYV2187" s="594" t="s">
        <v>1232</v>
      </c>
      <c r="FYW2187" s="594" t="s">
        <v>1232</v>
      </c>
      <c r="FYX2187" s="594" t="s">
        <v>1232</v>
      </c>
      <c r="FYY2187" s="594" t="s">
        <v>1232</v>
      </c>
      <c r="FYZ2187" s="594" t="s">
        <v>1232</v>
      </c>
      <c r="FZA2187" s="594" t="s">
        <v>1232</v>
      </c>
      <c r="FZB2187" s="594" t="s">
        <v>1232</v>
      </c>
      <c r="FZC2187" s="594" t="s">
        <v>1232</v>
      </c>
      <c r="FZD2187" s="594" t="s">
        <v>1232</v>
      </c>
      <c r="FZE2187" s="594" t="s">
        <v>1232</v>
      </c>
      <c r="FZF2187" s="594" t="s">
        <v>1232</v>
      </c>
      <c r="FZG2187" s="594" t="s">
        <v>1232</v>
      </c>
      <c r="FZH2187" s="594" t="s">
        <v>1232</v>
      </c>
      <c r="FZI2187" s="594" t="s">
        <v>1232</v>
      </c>
      <c r="FZJ2187" s="594" t="s">
        <v>1232</v>
      </c>
      <c r="FZK2187" s="594" t="s">
        <v>1232</v>
      </c>
      <c r="FZL2187" s="594" t="s">
        <v>1232</v>
      </c>
      <c r="FZM2187" s="594" t="s">
        <v>1232</v>
      </c>
      <c r="FZN2187" s="594" t="s">
        <v>1232</v>
      </c>
      <c r="FZO2187" s="594" t="s">
        <v>1232</v>
      </c>
      <c r="FZP2187" s="594" t="s">
        <v>1232</v>
      </c>
      <c r="FZQ2187" s="594" t="s">
        <v>1232</v>
      </c>
      <c r="FZR2187" s="594" t="s">
        <v>1232</v>
      </c>
      <c r="FZS2187" s="594" t="s">
        <v>1232</v>
      </c>
      <c r="FZT2187" s="594" t="s">
        <v>1232</v>
      </c>
      <c r="FZU2187" s="594" t="s">
        <v>1232</v>
      </c>
      <c r="FZV2187" s="594" t="s">
        <v>1232</v>
      </c>
      <c r="FZW2187" s="594" t="s">
        <v>1232</v>
      </c>
      <c r="FZX2187" s="594" t="s">
        <v>1232</v>
      </c>
      <c r="FZY2187" s="594" t="s">
        <v>1232</v>
      </c>
      <c r="FZZ2187" s="594" t="s">
        <v>1232</v>
      </c>
      <c r="GAA2187" s="594" t="s">
        <v>1232</v>
      </c>
      <c r="GAB2187" s="594" t="s">
        <v>1232</v>
      </c>
      <c r="GAC2187" s="594" t="s">
        <v>1232</v>
      </c>
      <c r="GAD2187" s="594" t="s">
        <v>1232</v>
      </c>
      <c r="GAE2187" s="594" t="s">
        <v>1232</v>
      </c>
      <c r="GAF2187" s="594" t="s">
        <v>1232</v>
      </c>
      <c r="GAG2187" s="594" t="s">
        <v>1232</v>
      </c>
      <c r="GAH2187" s="594" t="s">
        <v>1232</v>
      </c>
      <c r="GAI2187" s="594" t="s">
        <v>1232</v>
      </c>
      <c r="GAJ2187" s="594" t="s">
        <v>1232</v>
      </c>
      <c r="GAK2187" s="594" t="s">
        <v>1232</v>
      </c>
      <c r="GAL2187" s="594" t="s">
        <v>1232</v>
      </c>
      <c r="GAM2187" s="594" t="s">
        <v>1232</v>
      </c>
      <c r="GAN2187" s="594" t="s">
        <v>1232</v>
      </c>
      <c r="GAO2187" s="594" t="s">
        <v>1232</v>
      </c>
      <c r="GAP2187" s="594" t="s">
        <v>1232</v>
      </c>
      <c r="GAQ2187" s="594" t="s">
        <v>1232</v>
      </c>
      <c r="GAR2187" s="594" t="s">
        <v>1232</v>
      </c>
      <c r="GAS2187" s="594" t="s">
        <v>1232</v>
      </c>
      <c r="GAT2187" s="594" t="s">
        <v>1232</v>
      </c>
      <c r="GAU2187" s="594" t="s">
        <v>1232</v>
      </c>
      <c r="GAV2187" s="594" t="s">
        <v>1232</v>
      </c>
      <c r="GAW2187" s="594" t="s">
        <v>1232</v>
      </c>
      <c r="GAX2187" s="594" t="s">
        <v>1232</v>
      </c>
      <c r="GAY2187" s="594" t="s">
        <v>1232</v>
      </c>
      <c r="GAZ2187" s="594" t="s">
        <v>1232</v>
      </c>
      <c r="GBA2187" s="594" t="s">
        <v>1232</v>
      </c>
      <c r="GBB2187" s="594" t="s">
        <v>1232</v>
      </c>
      <c r="GBC2187" s="594" t="s">
        <v>1232</v>
      </c>
      <c r="GBD2187" s="594" t="s">
        <v>1232</v>
      </c>
      <c r="GBE2187" s="594" t="s">
        <v>1232</v>
      </c>
      <c r="GBF2187" s="594" t="s">
        <v>1232</v>
      </c>
      <c r="GBG2187" s="594" t="s">
        <v>1232</v>
      </c>
      <c r="GBH2187" s="594" t="s">
        <v>1232</v>
      </c>
      <c r="GBI2187" s="594" t="s">
        <v>1232</v>
      </c>
      <c r="GBJ2187" s="594" t="s">
        <v>1232</v>
      </c>
      <c r="GBK2187" s="594" t="s">
        <v>1232</v>
      </c>
      <c r="GBL2187" s="594" t="s">
        <v>1232</v>
      </c>
      <c r="GBM2187" s="594" t="s">
        <v>1232</v>
      </c>
      <c r="GBN2187" s="594" t="s">
        <v>1232</v>
      </c>
      <c r="GBO2187" s="594" t="s">
        <v>1232</v>
      </c>
      <c r="GBP2187" s="594" t="s">
        <v>1232</v>
      </c>
      <c r="GBQ2187" s="594" t="s">
        <v>1232</v>
      </c>
      <c r="GBR2187" s="594" t="s">
        <v>1232</v>
      </c>
      <c r="GBS2187" s="594" t="s">
        <v>1232</v>
      </c>
      <c r="GBT2187" s="594" t="s">
        <v>1232</v>
      </c>
      <c r="GBU2187" s="594" t="s">
        <v>1232</v>
      </c>
      <c r="GBV2187" s="594" t="s">
        <v>1232</v>
      </c>
      <c r="GBW2187" s="594" t="s">
        <v>1232</v>
      </c>
      <c r="GBX2187" s="594" t="s">
        <v>1232</v>
      </c>
      <c r="GBY2187" s="594" t="s">
        <v>1232</v>
      </c>
      <c r="GBZ2187" s="594" t="s">
        <v>1232</v>
      </c>
      <c r="GCA2187" s="594" t="s">
        <v>1232</v>
      </c>
      <c r="GCB2187" s="594" t="s">
        <v>1232</v>
      </c>
      <c r="GCC2187" s="594" t="s">
        <v>1232</v>
      </c>
      <c r="GCD2187" s="594" t="s">
        <v>1232</v>
      </c>
      <c r="GCE2187" s="594" t="s">
        <v>1232</v>
      </c>
      <c r="GCF2187" s="594" t="s">
        <v>1232</v>
      </c>
      <c r="GCG2187" s="594" t="s">
        <v>1232</v>
      </c>
      <c r="GCH2187" s="594" t="s">
        <v>1232</v>
      </c>
      <c r="GCI2187" s="594" t="s">
        <v>1232</v>
      </c>
      <c r="GCJ2187" s="594" t="s">
        <v>1232</v>
      </c>
      <c r="GCK2187" s="594" t="s">
        <v>1232</v>
      </c>
      <c r="GCL2187" s="594" t="s">
        <v>1232</v>
      </c>
      <c r="GCM2187" s="594" t="s">
        <v>1232</v>
      </c>
      <c r="GCN2187" s="594" t="s">
        <v>1232</v>
      </c>
      <c r="GCO2187" s="594" t="s">
        <v>1232</v>
      </c>
      <c r="GCP2187" s="594" t="s">
        <v>1232</v>
      </c>
      <c r="GCQ2187" s="594" t="s">
        <v>1232</v>
      </c>
      <c r="GCR2187" s="594" t="s">
        <v>1232</v>
      </c>
      <c r="GCS2187" s="594" t="s">
        <v>1232</v>
      </c>
      <c r="GCT2187" s="594" t="s">
        <v>1232</v>
      </c>
      <c r="GCU2187" s="594" t="s">
        <v>1232</v>
      </c>
      <c r="GCV2187" s="594" t="s">
        <v>1232</v>
      </c>
      <c r="GCW2187" s="594" t="s">
        <v>1232</v>
      </c>
      <c r="GCX2187" s="594" t="s">
        <v>1232</v>
      </c>
      <c r="GCY2187" s="594" t="s">
        <v>1232</v>
      </c>
      <c r="GCZ2187" s="594" t="s">
        <v>1232</v>
      </c>
      <c r="GDA2187" s="594" t="s">
        <v>1232</v>
      </c>
      <c r="GDB2187" s="594" t="s">
        <v>1232</v>
      </c>
      <c r="GDC2187" s="594" t="s">
        <v>1232</v>
      </c>
      <c r="GDD2187" s="594" t="s">
        <v>1232</v>
      </c>
      <c r="GDE2187" s="594" t="s">
        <v>1232</v>
      </c>
      <c r="GDF2187" s="594" t="s">
        <v>1232</v>
      </c>
      <c r="GDG2187" s="594" t="s">
        <v>1232</v>
      </c>
      <c r="GDH2187" s="594" t="s">
        <v>1232</v>
      </c>
      <c r="GDI2187" s="594" t="s">
        <v>1232</v>
      </c>
      <c r="GDJ2187" s="594" t="s">
        <v>1232</v>
      </c>
      <c r="GDK2187" s="594" t="s">
        <v>1232</v>
      </c>
      <c r="GDL2187" s="594" t="s">
        <v>1232</v>
      </c>
      <c r="GDM2187" s="594" t="s">
        <v>1232</v>
      </c>
      <c r="GDN2187" s="594" t="s">
        <v>1232</v>
      </c>
      <c r="GDO2187" s="594" t="s">
        <v>1232</v>
      </c>
      <c r="GDP2187" s="594" t="s">
        <v>1232</v>
      </c>
      <c r="GDQ2187" s="594" t="s">
        <v>1232</v>
      </c>
      <c r="GDR2187" s="594" t="s">
        <v>1232</v>
      </c>
      <c r="GDS2187" s="594" t="s">
        <v>1232</v>
      </c>
      <c r="GDT2187" s="594" t="s">
        <v>1232</v>
      </c>
      <c r="GDU2187" s="594" t="s">
        <v>1232</v>
      </c>
      <c r="GDV2187" s="594" t="s">
        <v>1232</v>
      </c>
      <c r="GDW2187" s="594" t="s">
        <v>1232</v>
      </c>
      <c r="GDX2187" s="594" t="s">
        <v>1232</v>
      </c>
      <c r="GDY2187" s="594" t="s">
        <v>1232</v>
      </c>
      <c r="GDZ2187" s="594" t="s">
        <v>1232</v>
      </c>
      <c r="GEA2187" s="594" t="s">
        <v>1232</v>
      </c>
      <c r="GEB2187" s="594" t="s">
        <v>1232</v>
      </c>
      <c r="GEC2187" s="594" t="s">
        <v>1232</v>
      </c>
      <c r="GED2187" s="594" t="s">
        <v>1232</v>
      </c>
      <c r="GEE2187" s="594" t="s">
        <v>1232</v>
      </c>
      <c r="GEF2187" s="594" t="s">
        <v>1232</v>
      </c>
      <c r="GEG2187" s="594" t="s">
        <v>1232</v>
      </c>
      <c r="GEH2187" s="594" t="s">
        <v>1232</v>
      </c>
      <c r="GEI2187" s="594" t="s">
        <v>1232</v>
      </c>
      <c r="GEJ2187" s="594" t="s">
        <v>1232</v>
      </c>
      <c r="GEK2187" s="594" t="s">
        <v>1232</v>
      </c>
      <c r="GEL2187" s="594" t="s">
        <v>1232</v>
      </c>
      <c r="GEM2187" s="594" t="s">
        <v>1232</v>
      </c>
      <c r="GEN2187" s="594" t="s">
        <v>1232</v>
      </c>
      <c r="GEO2187" s="594" t="s">
        <v>1232</v>
      </c>
      <c r="GEP2187" s="594" t="s">
        <v>1232</v>
      </c>
      <c r="GEQ2187" s="594" t="s">
        <v>1232</v>
      </c>
      <c r="GER2187" s="594" t="s">
        <v>1232</v>
      </c>
      <c r="GES2187" s="594" t="s">
        <v>1232</v>
      </c>
      <c r="GET2187" s="594" t="s">
        <v>1232</v>
      </c>
      <c r="GEU2187" s="594" t="s">
        <v>1232</v>
      </c>
      <c r="GEV2187" s="594" t="s">
        <v>1232</v>
      </c>
      <c r="GEW2187" s="594" t="s">
        <v>1232</v>
      </c>
      <c r="GEX2187" s="594" t="s">
        <v>1232</v>
      </c>
      <c r="GEY2187" s="594" t="s">
        <v>1232</v>
      </c>
      <c r="GEZ2187" s="594" t="s">
        <v>1232</v>
      </c>
      <c r="GFA2187" s="594" t="s">
        <v>1232</v>
      </c>
      <c r="GFB2187" s="594" t="s">
        <v>1232</v>
      </c>
      <c r="GFC2187" s="594" t="s">
        <v>1232</v>
      </c>
      <c r="GFD2187" s="594" t="s">
        <v>1232</v>
      </c>
      <c r="GFE2187" s="594" t="s">
        <v>1232</v>
      </c>
      <c r="GFF2187" s="594" t="s">
        <v>1232</v>
      </c>
      <c r="GFG2187" s="594" t="s">
        <v>1232</v>
      </c>
      <c r="GFH2187" s="594" t="s">
        <v>1232</v>
      </c>
      <c r="GFI2187" s="594" t="s">
        <v>1232</v>
      </c>
      <c r="GFJ2187" s="594" t="s">
        <v>1232</v>
      </c>
      <c r="GFK2187" s="594" t="s">
        <v>1232</v>
      </c>
      <c r="GFL2187" s="594" t="s">
        <v>1232</v>
      </c>
      <c r="GFM2187" s="594" t="s">
        <v>1232</v>
      </c>
      <c r="GFN2187" s="594" t="s">
        <v>1232</v>
      </c>
      <c r="GFO2187" s="594" t="s">
        <v>1232</v>
      </c>
      <c r="GFP2187" s="594" t="s">
        <v>1232</v>
      </c>
      <c r="GFQ2187" s="594" t="s">
        <v>1232</v>
      </c>
      <c r="GFR2187" s="594" t="s">
        <v>1232</v>
      </c>
      <c r="GFS2187" s="594" t="s">
        <v>1232</v>
      </c>
      <c r="GFT2187" s="594" t="s">
        <v>1232</v>
      </c>
      <c r="GFU2187" s="594" t="s">
        <v>1232</v>
      </c>
      <c r="GFV2187" s="594" t="s">
        <v>1232</v>
      </c>
      <c r="GFW2187" s="594" t="s">
        <v>1232</v>
      </c>
      <c r="GFX2187" s="594" t="s">
        <v>1232</v>
      </c>
      <c r="GFY2187" s="594" t="s">
        <v>1232</v>
      </c>
      <c r="GFZ2187" s="594" t="s">
        <v>1232</v>
      </c>
      <c r="GGA2187" s="594" t="s">
        <v>1232</v>
      </c>
      <c r="GGB2187" s="594" t="s">
        <v>1232</v>
      </c>
      <c r="GGC2187" s="594" t="s">
        <v>1232</v>
      </c>
      <c r="GGD2187" s="594" t="s">
        <v>1232</v>
      </c>
      <c r="GGE2187" s="594" t="s">
        <v>1232</v>
      </c>
      <c r="GGF2187" s="594" t="s">
        <v>1232</v>
      </c>
      <c r="GGG2187" s="594" t="s">
        <v>1232</v>
      </c>
      <c r="GGH2187" s="594" t="s">
        <v>1232</v>
      </c>
      <c r="GGI2187" s="594" t="s">
        <v>1232</v>
      </c>
      <c r="GGJ2187" s="594" t="s">
        <v>1232</v>
      </c>
      <c r="GGK2187" s="594" t="s">
        <v>1232</v>
      </c>
      <c r="GGL2187" s="594" t="s">
        <v>1232</v>
      </c>
      <c r="GGM2187" s="594" t="s">
        <v>1232</v>
      </c>
      <c r="GGN2187" s="594" t="s">
        <v>1232</v>
      </c>
      <c r="GGO2187" s="594" t="s">
        <v>1232</v>
      </c>
      <c r="GGP2187" s="594" t="s">
        <v>1232</v>
      </c>
      <c r="GGQ2187" s="594" t="s">
        <v>1232</v>
      </c>
      <c r="GGR2187" s="594" t="s">
        <v>1232</v>
      </c>
      <c r="GGS2187" s="594" t="s">
        <v>1232</v>
      </c>
      <c r="GGT2187" s="594" t="s">
        <v>1232</v>
      </c>
      <c r="GGU2187" s="594" t="s">
        <v>1232</v>
      </c>
      <c r="GGV2187" s="594" t="s">
        <v>1232</v>
      </c>
      <c r="GGW2187" s="594" t="s">
        <v>1232</v>
      </c>
      <c r="GGX2187" s="594" t="s">
        <v>1232</v>
      </c>
      <c r="GGY2187" s="594" t="s">
        <v>1232</v>
      </c>
      <c r="GGZ2187" s="594" t="s">
        <v>1232</v>
      </c>
      <c r="GHA2187" s="594" t="s">
        <v>1232</v>
      </c>
      <c r="GHB2187" s="594" t="s">
        <v>1232</v>
      </c>
      <c r="GHC2187" s="594" t="s">
        <v>1232</v>
      </c>
      <c r="GHD2187" s="594" t="s">
        <v>1232</v>
      </c>
      <c r="GHE2187" s="594" t="s">
        <v>1232</v>
      </c>
      <c r="GHF2187" s="594" t="s">
        <v>1232</v>
      </c>
      <c r="GHG2187" s="594" t="s">
        <v>1232</v>
      </c>
      <c r="GHH2187" s="594" t="s">
        <v>1232</v>
      </c>
      <c r="GHI2187" s="594" t="s">
        <v>1232</v>
      </c>
      <c r="GHJ2187" s="594" t="s">
        <v>1232</v>
      </c>
      <c r="GHK2187" s="594" t="s">
        <v>1232</v>
      </c>
      <c r="GHL2187" s="594" t="s">
        <v>1232</v>
      </c>
      <c r="GHM2187" s="594" t="s">
        <v>1232</v>
      </c>
      <c r="GHN2187" s="594" t="s">
        <v>1232</v>
      </c>
      <c r="GHO2187" s="594" t="s">
        <v>1232</v>
      </c>
      <c r="GHP2187" s="594" t="s">
        <v>1232</v>
      </c>
      <c r="GHQ2187" s="594" t="s">
        <v>1232</v>
      </c>
      <c r="GHR2187" s="594" t="s">
        <v>1232</v>
      </c>
      <c r="GHS2187" s="594" t="s">
        <v>1232</v>
      </c>
      <c r="GHT2187" s="594" t="s">
        <v>1232</v>
      </c>
      <c r="GHU2187" s="594" t="s">
        <v>1232</v>
      </c>
      <c r="GHV2187" s="594" t="s">
        <v>1232</v>
      </c>
      <c r="GHW2187" s="594" t="s">
        <v>1232</v>
      </c>
      <c r="GHX2187" s="594" t="s">
        <v>1232</v>
      </c>
      <c r="GHY2187" s="594" t="s">
        <v>1232</v>
      </c>
      <c r="GHZ2187" s="594" t="s">
        <v>1232</v>
      </c>
      <c r="GIA2187" s="594" t="s">
        <v>1232</v>
      </c>
      <c r="GIB2187" s="594" t="s">
        <v>1232</v>
      </c>
      <c r="GIC2187" s="594" t="s">
        <v>1232</v>
      </c>
      <c r="GID2187" s="594" t="s">
        <v>1232</v>
      </c>
      <c r="GIE2187" s="594" t="s">
        <v>1232</v>
      </c>
      <c r="GIF2187" s="594" t="s">
        <v>1232</v>
      </c>
      <c r="GIG2187" s="594" t="s">
        <v>1232</v>
      </c>
      <c r="GIH2187" s="594" t="s">
        <v>1232</v>
      </c>
      <c r="GII2187" s="594" t="s">
        <v>1232</v>
      </c>
      <c r="GIJ2187" s="594" t="s">
        <v>1232</v>
      </c>
      <c r="GIK2187" s="594" t="s">
        <v>1232</v>
      </c>
      <c r="GIL2187" s="594" t="s">
        <v>1232</v>
      </c>
      <c r="GIM2187" s="594" t="s">
        <v>1232</v>
      </c>
      <c r="GIN2187" s="594" t="s">
        <v>1232</v>
      </c>
      <c r="GIO2187" s="594" t="s">
        <v>1232</v>
      </c>
      <c r="GIP2187" s="594" t="s">
        <v>1232</v>
      </c>
      <c r="GIQ2187" s="594" t="s">
        <v>1232</v>
      </c>
      <c r="GIR2187" s="594" t="s">
        <v>1232</v>
      </c>
      <c r="GIS2187" s="594" t="s">
        <v>1232</v>
      </c>
      <c r="GIT2187" s="594" t="s">
        <v>1232</v>
      </c>
      <c r="GIU2187" s="594" t="s">
        <v>1232</v>
      </c>
      <c r="GIV2187" s="594" t="s">
        <v>1232</v>
      </c>
      <c r="GIW2187" s="594" t="s">
        <v>1232</v>
      </c>
      <c r="GIX2187" s="594" t="s">
        <v>1232</v>
      </c>
      <c r="GIY2187" s="594" t="s">
        <v>1232</v>
      </c>
      <c r="GIZ2187" s="594" t="s">
        <v>1232</v>
      </c>
      <c r="GJA2187" s="594" t="s">
        <v>1232</v>
      </c>
      <c r="GJB2187" s="594" t="s">
        <v>1232</v>
      </c>
      <c r="GJC2187" s="594" t="s">
        <v>1232</v>
      </c>
      <c r="GJD2187" s="594" t="s">
        <v>1232</v>
      </c>
      <c r="GJE2187" s="594" t="s">
        <v>1232</v>
      </c>
      <c r="GJF2187" s="594" t="s">
        <v>1232</v>
      </c>
      <c r="GJG2187" s="594" t="s">
        <v>1232</v>
      </c>
      <c r="GJH2187" s="594" t="s">
        <v>1232</v>
      </c>
      <c r="GJI2187" s="594" t="s">
        <v>1232</v>
      </c>
      <c r="GJJ2187" s="594" t="s">
        <v>1232</v>
      </c>
      <c r="GJK2187" s="594" t="s">
        <v>1232</v>
      </c>
      <c r="GJL2187" s="594" t="s">
        <v>1232</v>
      </c>
      <c r="GJM2187" s="594" t="s">
        <v>1232</v>
      </c>
      <c r="GJN2187" s="594" t="s">
        <v>1232</v>
      </c>
      <c r="GJO2187" s="594" t="s">
        <v>1232</v>
      </c>
      <c r="GJP2187" s="594" t="s">
        <v>1232</v>
      </c>
      <c r="GJQ2187" s="594" t="s">
        <v>1232</v>
      </c>
      <c r="GJR2187" s="594" t="s">
        <v>1232</v>
      </c>
      <c r="GJS2187" s="594" t="s">
        <v>1232</v>
      </c>
      <c r="GJT2187" s="594" t="s">
        <v>1232</v>
      </c>
      <c r="GJU2187" s="594" t="s">
        <v>1232</v>
      </c>
      <c r="GJV2187" s="594" t="s">
        <v>1232</v>
      </c>
      <c r="GJW2187" s="594" t="s">
        <v>1232</v>
      </c>
      <c r="GJX2187" s="594" t="s">
        <v>1232</v>
      </c>
      <c r="GJY2187" s="594" t="s">
        <v>1232</v>
      </c>
      <c r="GJZ2187" s="594" t="s">
        <v>1232</v>
      </c>
      <c r="GKA2187" s="594" t="s">
        <v>1232</v>
      </c>
      <c r="GKB2187" s="594" t="s">
        <v>1232</v>
      </c>
      <c r="GKC2187" s="594" t="s">
        <v>1232</v>
      </c>
      <c r="GKD2187" s="594" t="s">
        <v>1232</v>
      </c>
      <c r="GKE2187" s="594" t="s">
        <v>1232</v>
      </c>
      <c r="GKF2187" s="594" t="s">
        <v>1232</v>
      </c>
      <c r="GKG2187" s="594" t="s">
        <v>1232</v>
      </c>
      <c r="GKH2187" s="594" t="s">
        <v>1232</v>
      </c>
      <c r="GKI2187" s="594" t="s">
        <v>1232</v>
      </c>
      <c r="GKJ2187" s="594" t="s">
        <v>1232</v>
      </c>
      <c r="GKK2187" s="594" t="s">
        <v>1232</v>
      </c>
      <c r="GKL2187" s="594" t="s">
        <v>1232</v>
      </c>
      <c r="GKM2187" s="594" t="s">
        <v>1232</v>
      </c>
      <c r="GKN2187" s="594" t="s">
        <v>1232</v>
      </c>
      <c r="GKO2187" s="594" t="s">
        <v>1232</v>
      </c>
      <c r="GKP2187" s="594" t="s">
        <v>1232</v>
      </c>
      <c r="GKQ2187" s="594" t="s">
        <v>1232</v>
      </c>
      <c r="GKR2187" s="594" t="s">
        <v>1232</v>
      </c>
      <c r="GKS2187" s="594" t="s">
        <v>1232</v>
      </c>
      <c r="GKT2187" s="594" t="s">
        <v>1232</v>
      </c>
      <c r="GKU2187" s="594" t="s">
        <v>1232</v>
      </c>
      <c r="GKV2187" s="594" t="s">
        <v>1232</v>
      </c>
      <c r="GKW2187" s="594" t="s">
        <v>1232</v>
      </c>
      <c r="GKX2187" s="594" t="s">
        <v>1232</v>
      </c>
      <c r="GKY2187" s="594" t="s">
        <v>1232</v>
      </c>
      <c r="GKZ2187" s="594" t="s">
        <v>1232</v>
      </c>
      <c r="GLA2187" s="594" t="s">
        <v>1232</v>
      </c>
      <c r="GLB2187" s="594" t="s">
        <v>1232</v>
      </c>
      <c r="GLC2187" s="594" t="s">
        <v>1232</v>
      </c>
      <c r="GLD2187" s="594" t="s">
        <v>1232</v>
      </c>
      <c r="GLE2187" s="594" t="s">
        <v>1232</v>
      </c>
      <c r="GLF2187" s="594" t="s">
        <v>1232</v>
      </c>
      <c r="GLG2187" s="594" t="s">
        <v>1232</v>
      </c>
      <c r="GLH2187" s="594" t="s">
        <v>1232</v>
      </c>
      <c r="GLI2187" s="594" t="s">
        <v>1232</v>
      </c>
      <c r="GLJ2187" s="594" t="s">
        <v>1232</v>
      </c>
      <c r="GLK2187" s="594" t="s">
        <v>1232</v>
      </c>
      <c r="GLL2187" s="594" t="s">
        <v>1232</v>
      </c>
      <c r="GLM2187" s="594" t="s">
        <v>1232</v>
      </c>
      <c r="GLN2187" s="594" t="s">
        <v>1232</v>
      </c>
      <c r="GLO2187" s="594" t="s">
        <v>1232</v>
      </c>
      <c r="GLP2187" s="594" t="s">
        <v>1232</v>
      </c>
      <c r="GLQ2187" s="594" t="s">
        <v>1232</v>
      </c>
      <c r="GLR2187" s="594" t="s">
        <v>1232</v>
      </c>
      <c r="GLS2187" s="594" t="s">
        <v>1232</v>
      </c>
      <c r="GLT2187" s="594" t="s">
        <v>1232</v>
      </c>
      <c r="GLU2187" s="594" t="s">
        <v>1232</v>
      </c>
      <c r="GLV2187" s="594" t="s">
        <v>1232</v>
      </c>
      <c r="GLW2187" s="594" t="s">
        <v>1232</v>
      </c>
      <c r="GLX2187" s="594" t="s">
        <v>1232</v>
      </c>
      <c r="GLY2187" s="594" t="s">
        <v>1232</v>
      </c>
      <c r="GLZ2187" s="594" t="s">
        <v>1232</v>
      </c>
      <c r="GMA2187" s="594" t="s">
        <v>1232</v>
      </c>
      <c r="GMB2187" s="594" t="s">
        <v>1232</v>
      </c>
      <c r="GMC2187" s="594" t="s">
        <v>1232</v>
      </c>
      <c r="GMD2187" s="594" t="s">
        <v>1232</v>
      </c>
      <c r="GME2187" s="594" t="s">
        <v>1232</v>
      </c>
      <c r="GMF2187" s="594" t="s">
        <v>1232</v>
      </c>
      <c r="GMG2187" s="594" t="s">
        <v>1232</v>
      </c>
      <c r="GMH2187" s="594" t="s">
        <v>1232</v>
      </c>
      <c r="GMI2187" s="594" t="s">
        <v>1232</v>
      </c>
      <c r="GMJ2187" s="594" t="s">
        <v>1232</v>
      </c>
      <c r="GMK2187" s="594" t="s">
        <v>1232</v>
      </c>
      <c r="GML2187" s="594" t="s">
        <v>1232</v>
      </c>
      <c r="GMM2187" s="594" t="s">
        <v>1232</v>
      </c>
      <c r="GMN2187" s="594" t="s">
        <v>1232</v>
      </c>
      <c r="GMO2187" s="594" t="s">
        <v>1232</v>
      </c>
      <c r="GMP2187" s="594" t="s">
        <v>1232</v>
      </c>
      <c r="GMQ2187" s="594" t="s">
        <v>1232</v>
      </c>
      <c r="GMR2187" s="594" t="s">
        <v>1232</v>
      </c>
      <c r="GMS2187" s="594" t="s">
        <v>1232</v>
      </c>
      <c r="GMT2187" s="594" t="s">
        <v>1232</v>
      </c>
      <c r="GMU2187" s="594" t="s">
        <v>1232</v>
      </c>
      <c r="GMV2187" s="594" t="s">
        <v>1232</v>
      </c>
      <c r="GMW2187" s="594" t="s">
        <v>1232</v>
      </c>
      <c r="GMX2187" s="594" t="s">
        <v>1232</v>
      </c>
      <c r="GMY2187" s="594" t="s">
        <v>1232</v>
      </c>
      <c r="GMZ2187" s="594" t="s">
        <v>1232</v>
      </c>
      <c r="GNA2187" s="594" t="s">
        <v>1232</v>
      </c>
      <c r="GNB2187" s="594" t="s">
        <v>1232</v>
      </c>
      <c r="GNC2187" s="594" t="s">
        <v>1232</v>
      </c>
      <c r="GND2187" s="594" t="s">
        <v>1232</v>
      </c>
      <c r="GNE2187" s="594" t="s">
        <v>1232</v>
      </c>
      <c r="GNF2187" s="594" t="s">
        <v>1232</v>
      </c>
      <c r="GNG2187" s="594" t="s">
        <v>1232</v>
      </c>
      <c r="GNH2187" s="594" t="s">
        <v>1232</v>
      </c>
      <c r="GNI2187" s="594" t="s">
        <v>1232</v>
      </c>
      <c r="GNJ2187" s="594" t="s">
        <v>1232</v>
      </c>
      <c r="GNK2187" s="594" t="s">
        <v>1232</v>
      </c>
      <c r="GNL2187" s="594" t="s">
        <v>1232</v>
      </c>
      <c r="GNM2187" s="594" t="s">
        <v>1232</v>
      </c>
      <c r="GNN2187" s="594" t="s">
        <v>1232</v>
      </c>
      <c r="GNO2187" s="594" t="s">
        <v>1232</v>
      </c>
      <c r="GNP2187" s="594" t="s">
        <v>1232</v>
      </c>
      <c r="GNQ2187" s="594" t="s">
        <v>1232</v>
      </c>
      <c r="GNR2187" s="594" t="s">
        <v>1232</v>
      </c>
      <c r="GNS2187" s="594" t="s">
        <v>1232</v>
      </c>
      <c r="GNT2187" s="594" t="s">
        <v>1232</v>
      </c>
      <c r="GNU2187" s="594" t="s">
        <v>1232</v>
      </c>
      <c r="GNV2187" s="594" t="s">
        <v>1232</v>
      </c>
      <c r="GNW2187" s="594" t="s">
        <v>1232</v>
      </c>
      <c r="GNX2187" s="594" t="s">
        <v>1232</v>
      </c>
      <c r="GNY2187" s="594" t="s">
        <v>1232</v>
      </c>
      <c r="GNZ2187" s="594" t="s">
        <v>1232</v>
      </c>
      <c r="GOA2187" s="594" t="s">
        <v>1232</v>
      </c>
      <c r="GOB2187" s="594" t="s">
        <v>1232</v>
      </c>
      <c r="GOC2187" s="594" t="s">
        <v>1232</v>
      </c>
      <c r="GOD2187" s="594" t="s">
        <v>1232</v>
      </c>
      <c r="GOE2187" s="594" t="s">
        <v>1232</v>
      </c>
      <c r="GOF2187" s="594" t="s">
        <v>1232</v>
      </c>
      <c r="GOG2187" s="594" t="s">
        <v>1232</v>
      </c>
      <c r="GOH2187" s="594" t="s">
        <v>1232</v>
      </c>
      <c r="GOI2187" s="594" t="s">
        <v>1232</v>
      </c>
      <c r="GOJ2187" s="594" t="s">
        <v>1232</v>
      </c>
      <c r="GOK2187" s="594" t="s">
        <v>1232</v>
      </c>
      <c r="GOL2187" s="594" t="s">
        <v>1232</v>
      </c>
      <c r="GOM2187" s="594" t="s">
        <v>1232</v>
      </c>
      <c r="GON2187" s="594" t="s">
        <v>1232</v>
      </c>
      <c r="GOO2187" s="594" t="s">
        <v>1232</v>
      </c>
      <c r="GOP2187" s="594" t="s">
        <v>1232</v>
      </c>
      <c r="GOQ2187" s="594" t="s">
        <v>1232</v>
      </c>
      <c r="GOR2187" s="594" t="s">
        <v>1232</v>
      </c>
      <c r="GOS2187" s="594" t="s">
        <v>1232</v>
      </c>
      <c r="GOT2187" s="594" t="s">
        <v>1232</v>
      </c>
      <c r="GOU2187" s="594" t="s">
        <v>1232</v>
      </c>
      <c r="GOV2187" s="594" t="s">
        <v>1232</v>
      </c>
      <c r="GOW2187" s="594" t="s">
        <v>1232</v>
      </c>
      <c r="GOX2187" s="594" t="s">
        <v>1232</v>
      </c>
      <c r="GOY2187" s="594" t="s">
        <v>1232</v>
      </c>
      <c r="GOZ2187" s="594" t="s">
        <v>1232</v>
      </c>
      <c r="GPA2187" s="594" t="s">
        <v>1232</v>
      </c>
      <c r="GPB2187" s="594" t="s">
        <v>1232</v>
      </c>
      <c r="GPC2187" s="594" t="s">
        <v>1232</v>
      </c>
      <c r="GPD2187" s="594" t="s">
        <v>1232</v>
      </c>
      <c r="GPE2187" s="594" t="s">
        <v>1232</v>
      </c>
      <c r="GPF2187" s="594" t="s">
        <v>1232</v>
      </c>
      <c r="GPG2187" s="594" t="s">
        <v>1232</v>
      </c>
      <c r="GPH2187" s="594" t="s">
        <v>1232</v>
      </c>
      <c r="GPI2187" s="594" t="s">
        <v>1232</v>
      </c>
      <c r="GPJ2187" s="594" t="s">
        <v>1232</v>
      </c>
      <c r="GPK2187" s="594" t="s">
        <v>1232</v>
      </c>
      <c r="GPL2187" s="594" t="s">
        <v>1232</v>
      </c>
      <c r="GPM2187" s="594" t="s">
        <v>1232</v>
      </c>
      <c r="GPN2187" s="594" t="s">
        <v>1232</v>
      </c>
      <c r="GPO2187" s="594" t="s">
        <v>1232</v>
      </c>
      <c r="GPP2187" s="594" t="s">
        <v>1232</v>
      </c>
      <c r="GPQ2187" s="594" t="s">
        <v>1232</v>
      </c>
      <c r="GPR2187" s="594" t="s">
        <v>1232</v>
      </c>
      <c r="GPS2187" s="594" t="s">
        <v>1232</v>
      </c>
      <c r="GPT2187" s="594" t="s">
        <v>1232</v>
      </c>
      <c r="GPU2187" s="594" t="s">
        <v>1232</v>
      </c>
      <c r="GPV2187" s="594" t="s">
        <v>1232</v>
      </c>
      <c r="GPW2187" s="594" t="s">
        <v>1232</v>
      </c>
      <c r="GPX2187" s="594" t="s">
        <v>1232</v>
      </c>
      <c r="GPY2187" s="594" t="s">
        <v>1232</v>
      </c>
      <c r="GPZ2187" s="594" t="s">
        <v>1232</v>
      </c>
      <c r="GQA2187" s="594" t="s">
        <v>1232</v>
      </c>
      <c r="GQB2187" s="594" t="s">
        <v>1232</v>
      </c>
      <c r="GQC2187" s="594" t="s">
        <v>1232</v>
      </c>
      <c r="GQD2187" s="594" t="s">
        <v>1232</v>
      </c>
      <c r="GQE2187" s="594" t="s">
        <v>1232</v>
      </c>
      <c r="GQF2187" s="594" t="s">
        <v>1232</v>
      </c>
      <c r="GQG2187" s="594" t="s">
        <v>1232</v>
      </c>
      <c r="GQH2187" s="594" t="s">
        <v>1232</v>
      </c>
      <c r="GQI2187" s="594" t="s">
        <v>1232</v>
      </c>
      <c r="GQJ2187" s="594" t="s">
        <v>1232</v>
      </c>
      <c r="GQK2187" s="594" t="s">
        <v>1232</v>
      </c>
      <c r="GQL2187" s="594" t="s">
        <v>1232</v>
      </c>
      <c r="GQM2187" s="594" t="s">
        <v>1232</v>
      </c>
      <c r="GQN2187" s="594" t="s">
        <v>1232</v>
      </c>
      <c r="GQO2187" s="594" t="s">
        <v>1232</v>
      </c>
      <c r="GQP2187" s="594" t="s">
        <v>1232</v>
      </c>
      <c r="GQQ2187" s="594" t="s">
        <v>1232</v>
      </c>
      <c r="GQR2187" s="594" t="s">
        <v>1232</v>
      </c>
      <c r="GQS2187" s="594" t="s">
        <v>1232</v>
      </c>
      <c r="GQT2187" s="594" t="s">
        <v>1232</v>
      </c>
      <c r="GQU2187" s="594" t="s">
        <v>1232</v>
      </c>
      <c r="GQV2187" s="594" t="s">
        <v>1232</v>
      </c>
      <c r="GQW2187" s="594" t="s">
        <v>1232</v>
      </c>
      <c r="GQX2187" s="594" t="s">
        <v>1232</v>
      </c>
      <c r="GQY2187" s="594" t="s">
        <v>1232</v>
      </c>
      <c r="GQZ2187" s="594" t="s">
        <v>1232</v>
      </c>
      <c r="GRA2187" s="594" t="s">
        <v>1232</v>
      </c>
      <c r="GRB2187" s="594" t="s">
        <v>1232</v>
      </c>
      <c r="GRC2187" s="594" t="s">
        <v>1232</v>
      </c>
      <c r="GRD2187" s="594" t="s">
        <v>1232</v>
      </c>
      <c r="GRE2187" s="594" t="s">
        <v>1232</v>
      </c>
      <c r="GRF2187" s="594" t="s">
        <v>1232</v>
      </c>
      <c r="GRG2187" s="594" t="s">
        <v>1232</v>
      </c>
      <c r="GRH2187" s="594" t="s">
        <v>1232</v>
      </c>
      <c r="GRI2187" s="594" t="s">
        <v>1232</v>
      </c>
      <c r="GRJ2187" s="594" t="s">
        <v>1232</v>
      </c>
      <c r="GRK2187" s="594" t="s">
        <v>1232</v>
      </c>
      <c r="GRL2187" s="594" t="s">
        <v>1232</v>
      </c>
      <c r="GRM2187" s="594" t="s">
        <v>1232</v>
      </c>
      <c r="GRN2187" s="594" t="s">
        <v>1232</v>
      </c>
      <c r="GRO2187" s="594" t="s">
        <v>1232</v>
      </c>
      <c r="GRP2187" s="594" t="s">
        <v>1232</v>
      </c>
      <c r="GRQ2187" s="594" t="s">
        <v>1232</v>
      </c>
      <c r="GRR2187" s="594" t="s">
        <v>1232</v>
      </c>
      <c r="GRS2187" s="594" t="s">
        <v>1232</v>
      </c>
      <c r="GRT2187" s="594" t="s">
        <v>1232</v>
      </c>
      <c r="GRU2187" s="594" t="s">
        <v>1232</v>
      </c>
      <c r="GRV2187" s="594" t="s">
        <v>1232</v>
      </c>
      <c r="GRW2187" s="594" t="s">
        <v>1232</v>
      </c>
      <c r="GRX2187" s="594" t="s">
        <v>1232</v>
      </c>
      <c r="GRY2187" s="594" t="s">
        <v>1232</v>
      </c>
      <c r="GRZ2187" s="594" t="s">
        <v>1232</v>
      </c>
      <c r="GSA2187" s="594" t="s">
        <v>1232</v>
      </c>
      <c r="GSB2187" s="594" t="s">
        <v>1232</v>
      </c>
      <c r="GSC2187" s="594" t="s">
        <v>1232</v>
      </c>
      <c r="GSD2187" s="594" t="s">
        <v>1232</v>
      </c>
      <c r="GSE2187" s="594" t="s">
        <v>1232</v>
      </c>
      <c r="GSF2187" s="594" t="s">
        <v>1232</v>
      </c>
      <c r="GSG2187" s="594" t="s">
        <v>1232</v>
      </c>
      <c r="GSH2187" s="594" t="s">
        <v>1232</v>
      </c>
      <c r="GSI2187" s="594" t="s">
        <v>1232</v>
      </c>
      <c r="GSJ2187" s="594" t="s">
        <v>1232</v>
      </c>
      <c r="GSK2187" s="594" t="s">
        <v>1232</v>
      </c>
      <c r="GSL2187" s="594" t="s">
        <v>1232</v>
      </c>
      <c r="GSM2187" s="594" t="s">
        <v>1232</v>
      </c>
      <c r="GSN2187" s="594" t="s">
        <v>1232</v>
      </c>
      <c r="GSO2187" s="594" t="s">
        <v>1232</v>
      </c>
      <c r="GSP2187" s="594" t="s">
        <v>1232</v>
      </c>
      <c r="GSQ2187" s="594" t="s">
        <v>1232</v>
      </c>
      <c r="GSR2187" s="594" t="s">
        <v>1232</v>
      </c>
      <c r="GSS2187" s="594" t="s">
        <v>1232</v>
      </c>
      <c r="GST2187" s="594" t="s">
        <v>1232</v>
      </c>
      <c r="GSU2187" s="594" t="s">
        <v>1232</v>
      </c>
      <c r="GSV2187" s="594" t="s">
        <v>1232</v>
      </c>
      <c r="GSW2187" s="594" t="s">
        <v>1232</v>
      </c>
      <c r="GSX2187" s="594" t="s">
        <v>1232</v>
      </c>
      <c r="GSY2187" s="594" t="s">
        <v>1232</v>
      </c>
      <c r="GSZ2187" s="594" t="s">
        <v>1232</v>
      </c>
      <c r="GTA2187" s="594" t="s">
        <v>1232</v>
      </c>
      <c r="GTB2187" s="594" t="s">
        <v>1232</v>
      </c>
      <c r="GTC2187" s="594" t="s">
        <v>1232</v>
      </c>
      <c r="GTD2187" s="594" t="s">
        <v>1232</v>
      </c>
      <c r="GTE2187" s="594" t="s">
        <v>1232</v>
      </c>
      <c r="GTF2187" s="594" t="s">
        <v>1232</v>
      </c>
      <c r="GTG2187" s="594" t="s">
        <v>1232</v>
      </c>
      <c r="GTH2187" s="594" t="s">
        <v>1232</v>
      </c>
      <c r="GTI2187" s="594" t="s">
        <v>1232</v>
      </c>
      <c r="GTJ2187" s="594" t="s">
        <v>1232</v>
      </c>
      <c r="GTK2187" s="594" t="s">
        <v>1232</v>
      </c>
      <c r="GTL2187" s="594" t="s">
        <v>1232</v>
      </c>
      <c r="GTM2187" s="594" t="s">
        <v>1232</v>
      </c>
      <c r="GTN2187" s="594" t="s">
        <v>1232</v>
      </c>
      <c r="GTO2187" s="594" t="s">
        <v>1232</v>
      </c>
      <c r="GTP2187" s="594" t="s">
        <v>1232</v>
      </c>
      <c r="GTQ2187" s="594" t="s">
        <v>1232</v>
      </c>
      <c r="GTR2187" s="594" t="s">
        <v>1232</v>
      </c>
      <c r="GTS2187" s="594" t="s">
        <v>1232</v>
      </c>
      <c r="GTT2187" s="594" t="s">
        <v>1232</v>
      </c>
      <c r="GTU2187" s="594" t="s">
        <v>1232</v>
      </c>
      <c r="GTV2187" s="594" t="s">
        <v>1232</v>
      </c>
      <c r="GTW2187" s="594" t="s">
        <v>1232</v>
      </c>
      <c r="GTX2187" s="594" t="s">
        <v>1232</v>
      </c>
      <c r="GTY2187" s="594" t="s">
        <v>1232</v>
      </c>
      <c r="GTZ2187" s="594" t="s">
        <v>1232</v>
      </c>
      <c r="GUA2187" s="594" t="s">
        <v>1232</v>
      </c>
      <c r="GUB2187" s="594" t="s">
        <v>1232</v>
      </c>
      <c r="GUC2187" s="594" t="s">
        <v>1232</v>
      </c>
      <c r="GUD2187" s="594" t="s">
        <v>1232</v>
      </c>
      <c r="GUE2187" s="594" t="s">
        <v>1232</v>
      </c>
      <c r="GUF2187" s="594" t="s">
        <v>1232</v>
      </c>
      <c r="GUG2187" s="594" t="s">
        <v>1232</v>
      </c>
      <c r="GUH2187" s="594" t="s">
        <v>1232</v>
      </c>
      <c r="GUI2187" s="594" t="s">
        <v>1232</v>
      </c>
      <c r="GUJ2187" s="594" t="s">
        <v>1232</v>
      </c>
      <c r="GUK2187" s="594" t="s">
        <v>1232</v>
      </c>
      <c r="GUL2187" s="594" t="s">
        <v>1232</v>
      </c>
      <c r="GUM2187" s="594" t="s">
        <v>1232</v>
      </c>
      <c r="GUN2187" s="594" t="s">
        <v>1232</v>
      </c>
      <c r="GUO2187" s="594" t="s">
        <v>1232</v>
      </c>
      <c r="GUP2187" s="594" t="s">
        <v>1232</v>
      </c>
      <c r="GUQ2187" s="594" t="s">
        <v>1232</v>
      </c>
      <c r="GUR2187" s="594" t="s">
        <v>1232</v>
      </c>
      <c r="GUS2187" s="594" t="s">
        <v>1232</v>
      </c>
      <c r="GUT2187" s="594" t="s">
        <v>1232</v>
      </c>
      <c r="GUU2187" s="594" t="s">
        <v>1232</v>
      </c>
      <c r="GUV2187" s="594" t="s">
        <v>1232</v>
      </c>
      <c r="GUW2187" s="594" t="s">
        <v>1232</v>
      </c>
      <c r="GUX2187" s="594" t="s">
        <v>1232</v>
      </c>
      <c r="GUY2187" s="594" t="s">
        <v>1232</v>
      </c>
      <c r="GUZ2187" s="594" t="s">
        <v>1232</v>
      </c>
      <c r="GVA2187" s="594" t="s">
        <v>1232</v>
      </c>
      <c r="GVB2187" s="594" t="s">
        <v>1232</v>
      </c>
      <c r="GVC2187" s="594" t="s">
        <v>1232</v>
      </c>
      <c r="GVD2187" s="594" t="s">
        <v>1232</v>
      </c>
      <c r="GVE2187" s="594" t="s">
        <v>1232</v>
      </c>
      <c r="GVF2187" s="594" t="s">
        <v>1232</v>
      </c>
      <c r="GVG2187" s="594" t="s">
        <v>1232</v>
      </c>
      <c r="GVH2187" s="594" t="s">
        <v>1232</v>
      </c>
      <c r="GVI2187" s="594" t="s">
        <v>1232</v>
      </c>
      <c r="GVJ2187" s="594" t="s">
        <v>1232</v>
      </c>
      <c r="GVK2187" s="594" t="s">
        <v>1232</v>
      </c>
      <c r="GVL2187" s="594" t="s">
        <v>1232</v>
      </c>
      <c r="GVM2187" s="594" t="s">
        <v>1232</v>
      </c>
      <c r="GVN2187" s="594" t="s">
        <v>1232</v>
      </c>
      <c r="GVO2187" s="594" t="s">
        <v>1232</v>
      </c>
      <c r="GVP2187" s="594" t="s">
        <v>1232</v>
      </c>
      <c r="GVQ2187" s="594" t="s">
        <v>1232</v>
      </c>
      <c r="GVR2187" s="594" t="s">
        <v>1232</v>
      </c>
      <c r="GVS2187" s="594" t="s">
        <v>1232</v>
      </c>
      <c r="GVT2187" s="594" t="s">
        <v>1232</v>
      </c>
      <c r="GVU2187" s="594" t="s">
        <v>1232</v>
      </c>
      <c r="GVV2187" s="594" t="s">
        <v>1232</v>
      </c>
      <c r="GVW2187" s="594" t="s">
        <v>1232</v>
      </c>
      <c r="GVX2187" s="594" t="s">
        <v>1232</v>
      </c>
      <c r="GVY2187" s="594" t="s">
        <v>1232</v>
      </c>
      <c r="GVZ2187" s="594" t="s">
        <v>1232</v>
      </c>
      <c r="GWA2187" s="594" t="s">
        <v>1232</v>
      </c>
      <c r="GWB2187" s="594" t="s">
        <v>1232</v>
      </c>
      <c r="GWC2187" s="594" t="s">
        <v>1232</v>
      </c>
      <c r="GWD2187" s="594" t="s">
        <v>1232</v>
      </c>
      <c r="GWE2187" s="594" t="s">
        <v>1232</v>
      </c>
      <c r="GWF2187" s="594" t="s">
        <v>1232</v>
      </c>
      <c r="GWG2187" s="594" t="s">
        <v>1232</v>
      </c>
      <c r="GWH2187" s="594" t="s">
        <v>1232</v>
      </c>
      <c r="GWI2187" s="594" t="s">
        <v>1232</v>
      </c>
      <c r="GWJ2187" s="594" t="s">
        <v>1232</v>
      </c>
      <c r="GWK2187" s="594" t="s">
        <v>1232</v>
      </c>
      <c r="GWL2187" s="594" t="s">
        <v>1232</v>
      </c>
      <c r="GWM2187" s="594" t="s">
        <v>1232</v>
      </c>
      <c r="GWN2187" s="594" t="s">
        <v>1232</v>
      </c>
      <c r="GWO2187" s="594" t="s">
        <v>1232</v>
      </c>
      <c r="GWP2187" s="594" t="s">
        <v>1232</v>
      </c>
      <c r="GWQ2187" s="594" t="s">
        <v>1232</v>
      </c>
      <c r="GWR2187" s="594" t="s">
        <v>1232</v>
      </c>
      <c r="GWS2187" s="594" t="s">
        <v>1232</v>
      </c>
      <c r="GWT2187" s="594" t="s">
        <v>1232</v>
      </c>
      <c r="GWU2187" s="594" t="s">
        <v>1232</v>
      </c>
      <c r="GWV2187" s="594" t="s">
        <v>1232</v>
      </c>
      <c r="GWW2187" s="594" t="s">
        <v>1232</v>
      </c>
      <c r="GWX2187" s="594" t="s">
        <v>1232</v>
      </c>
      <c r="GWY2187" s="594" t="s">
        <v>1232</v>
      </c>
      <c r="GWZ2187" s="594" t="s">
        <v>1232</v>
      </c>
      <c r="GXA2187" s="594" t="s">
        <v>1232</v>
      </c>
      <c r="GXB2187" s="594" t="s">
        <v>1232</v>
      </c>
      <c r="GXC2187" s="594" t="s">
        <v>1232</v>
      </c>
      <c r="GXD2187" s="594" t="s">
        <v>1232</v>
      </c>
      <c r="GXE2187" s="594" t="s">
        <v>1232</v>
      </c>
      <c r="GXF2187" s="594" t="s">
        <v>1232</v>
      </c>
      <c r="GXG2187" s="594" t="s">
        <v>1232</v>
      </c>
      <c r="GXH2187" s="594" t="s">
        <v>1232</v>
      </c>
      <c r="GXI2187" s="594" t="s">
        <v>1232</v>
      </c>
      <c r="GXJ2187" s="594" t="s">
        <v>1232</v>
      </c>
      <c r="GXK2187" s="594" t="s">
        <v>1232</v>
      </c>
      <c r="GXL2187" s="594" t="s">
        <v>1232</v>
      </c>
      <c r="GXM2187" s="594" t="s">
        <v>1232</v>
      </c>
      <c r="GXN2187" s="594" t="s">
        <v>1232</v>
      </c>
      <c r="GXO2187" s="594" t="s">
        <v>1232</v>
      </c>
      <c r="GXP2187" s="594" t="s">
        <v>1232</v>
      </c>
      <c r="GXQ2187" s="594" t="s">
        <v>1232</v>
      </c>
      <c r="GXR2187" s="594" t="s">
        <v>1232</v>
      </c>
      <c r="GXS2187" s="594" t="s">
        <v>1232</v>
      </c>
      <c r="GXT2187" s="594" t="s">
        <v>1232</v>
      </c>
      <c r="GXU2187" s="594" t="s">
        <v>1232</v>
      </c>
      <c r="GXV2187" s="594" t="s">
        <v>1232</v>
      </c>
      <c r="GXW2187" s="594" t="s">
        <v>1232</v>
      </c>
      <c r="GXX2187" s="594" t="s">
        <v>1232</v>
      </c>
      <c r="GXY2187" s="594" t="s">
        <v>1232</v>
      </c>
      <c r="GXZ2187" s="594" t="s">
        <v>1232</v>
      </c>
      <c r="GYA2187" s="594" t="s">
        <v>1232</v>
      </c>
      <c r="GYB2187" s="594" t="s">
        <v>1232</v>
      </c>
      <c r="GYC2187" s="594" t="s">
        <v>1232</v>
      </c>
      <c r="GYD2187" s="594" t="s">
        <v>1232</v>
      </c>
      <c r="GYE2187" s="594" t="s">
        <v>1232</v>
      </c>
      <c r="GYF2187" s="594" t="s">
        <v>1232</v>
      </c>
      <c r="GYG2187" s="594" t="s">
        <v>1232</v>
      </c>
      <c r="GYH2187" s="594" t="s">
        <v>1232</v>
      </c>
      <c r="GYI2187" s="594" t="s">
        <v>1232</v>
      </c>
      <c r="GYJ2187" s="594" t="s">
        <v>1232</v>
      </c>
      <c r="GYK2187" s="594" t="s">
        <v>1232</v>
      </c>
      <c r="GYL2187" s="594" t="s">
        <v>1232</v>
      </c>
      <c r="GYM2187" s="594" t="s">
        <v>1232</v>
      </c>
      <c r="GYN2187" s="594" t="s">
        <v>1232</v>
      </c>
      <c r="GYO2187" s="594" t="s">
        <v>1232</v>
      </c>
      <c r="GYP2187" s="594" t="s">
        <v>1232</v>
      </c>
      <c r="GYQ2187" s="594" t="s">
        <v>1232</v>
      </c>
      <c r="GYR2187" s="594" t="s">
        <v>1232</v>
      </c>
      <c r="GYS2187" s="594" t="s">
        <v>1232</v>
      </c>
      <c r="GYT2187" s="594" t="s">
        <v>1232</v>
      </c>
      <c r="GYU2187" s="594" t="s">
        <v>1232</v>
      </c>
      <c r="GYV2187" s="594" t="s">
        <v>1232</v>
      </c>
      <c r="GYW2187" s="594" t="s">
        <v>1232</v>
      </c>
      <c r="GYX2187" s="594" t="s">
        <v>1232</v>
      </c>
      <c r="GYY2187" s="594" t="s">
        <v>1232</v>
      </c>
      <c r="GYZ2187" s="594" t="s">
        <v>1232</v>
      </c>
      <c r="GZA2187" s="594" t="s">
        <v>1232</v>
      </c>
      <c r="GZB2187" s="594" t="s">
        <v>1232</v>
      </c>
      <c r="GZC2187" s="594" t="s">
        <v>1232</v>
      </c>
      <c r="GZD2187" s="594" t="s">
        <v>1232</v>
      </c>
      <c r="GZE2187" s="594" t="s">
        <v>1232</v>
      </c>
      <c r="GZF2187" s="594" t="s">
        <v>1232</v>
      </c>
      <c r="GZG2187" s="594" t="s">
        <v>1232</v>
      </c>
      <c r="GZH2187" s="594" t="s">
        <v>1232</v>
      </c>
      <c r="GZI2187" s="594" t="s">
        <v>1232</v>
      </c>
      <c r="GZJ2187" s="594" t="s">
        <v>1232</v>
      </c>
      <c r="GZK2187" s="594" t="s">
        <v>1232</v>
      </c>
      <c r="GZL2187" s="594" t="s">
        <v>1232</v>
      </c>
      <c r="GZM2187" s="594" t="s">
        <v>1232</v>
      </c>
      <c r="GZN2187" s="594" t="s">
        <v>1232</v>
      </c>
      <c r="GZO2187" s="594" t="s">
        <v>1232</v>
      </c>
      <c r="GZP2187" s="594" t="s">
        <v>1232</v>
      </c>
      <c r="GZQ2187" s="594" t="s">
        <v>1232</v>
      </c>
      <c r="GZR2187" s="594" t="s">
        <v>1232</v>
      </c>
      <c r="GZS2187" s="594" t="s">
        <v>1232</v>
      </c>
      <c r="GZT2187" s="594" t="s">
        <v>1232</v>
      </c>
      <c r="GZU2187" s="594" t="s">
        <v>1232</v>
      </c>
      <c r="GZV2187" s="594" t="s">
        <v>1232</v>
      </c>
      <c r="GZW2187" s="594" t="s">
        <v>1232</v>
      </c>
      <c r="GZX2187" s="594" t="s">
        <v>1232</v>
      </c>
      <c r="GZY2187" s="594" t="s">
        <v>1232</v>
      </c>
      <c r="GZZ2187" s="594" t="s">
        <v>1232</v>
      </c>
      <c r="HAA2187" s="594" t="s">
        <v>1232</v>
      </c>
      <c r="HAB2187" s="594" t="s">
        <v>1232</v>
      </c>
      <c r="HAC2187" s="594" t="s">
        <v>1232</v>
      </c>
      <c r="HAD2187" s="594" t="s">
        <v>1232</v>
      </c>
      <c r="HAE2187" s="594" t="s">
        <v>1232</v>
      </c>
      <c r="HAF2187" s="594" t="s">
        <v>1232</v>
      </c>
      <c r="HAG2187" s="594" t="s">
        <v>1232</v>
      </c>
      <c r="HAH2187" s="594" t="s">
        <v>1232</v>
      </c>
      <c r="HAI2187" s="594" t="s">
        <v>1232</v>
      </c>
      <c r="HAJ2187" s="594" t="s">
        <v>1232</v>
      </c>
      <c r="HAK2187" s="594" t="s">
        <v>1232</v>
      </c>
      <c r="HAL2187" s="594" t="s">
        <v>1232</v>
      </c>
      <c r="HAM2187" s="594" t="s">
        <v>1232</v>
      </c>
      <c r="HAN2187" s="594" t="s">
        <v>1232</v>
      </c>
      <c r="HAO2187" s="594" t="s">
        <v>1232</v>
      </c>
      <c r="HAP2187" s="594" t="s">
        <v>1232</v>
      </c>
      <c r="HAQ2187" s="594" t="s">
        <v>1232</v>
      </c>
      <c r="HAR2187" s="594" t="s">
        <v>1232</v>
      </c>
      <c r="HAS2187" s="594" t="s">
        <v>1232</v>
      </c>
      <c r="HAT2187" s="594" t="s">
        <v>1232</v>
      </c>
      <c r="HAU2187" s="594" t="s">
        <v>1232</v>
      </c>
      <c r="HAV2187" s="594" t="s">
        <v>1232</v>
      </c>
      <c r="HAW2187" s="594" t="s">
        <v>1232</v>
      </c>
      <c r="HAX2187" s="594" t="s">
        <v>1232</v>
      </c>
      <c r="HAY2187" s="594" t="s">
        <v>1232</v>
      </c>
      <c r="HAZ2187" s="594" t="s">
        <v>1232</v>
      </c>
      <c r="HBA2187" s="594" t="s">
        <v>1232</v>
      </c>
      <c r="HBB2187" s="594" t="s">
        <v>1232</v>
      </c>
      <c r="HBC2187" s="594" t="s">
        <v>1232</v>
      </c>
      <c r="HBD2187" s="594" t="s">
        <v>1232</v>
      </c>
      <c r="HBE2187" s="594" t="s">
        <v>1232</v>
      </c>
      <c r="HBF2187" s="594" t="s">
        <v>1232</v>
      </c>
      <c r="HBG2187" s="594" t="s">
        <v>1232</v>
      </c>
      <c r="HBH2187" s="594" t="s">
        <v>1232</v>
      </c>
      <c r="HBI2187" s="594" t="s">
        <v>1232</v>
      </c>
      <c r="HBJ2187" s="594" t="s">
        <v>1232</v>
      </c>
      <c r="HBK2187" s="594" t="s">
        <v>1232</v>
      </c>
      <c r="HBL2187" s="594" t="s">
        <v>1232</v>
      </c>
      <c r="HBM2187" s="594" t="s">
        <v>1232</v>
      </c>
      <c r="HBN2187" s="594" t="s">
        <v>1232</v>
      </c>
      <c r="HBO2187" s="594" t="s">
        <v>1232</v>
      </c>
      <c r="HBP2187" s="594" t="s">
        <v>1232</v>
      </c>
      <c r="HBQ2187" s="594" t="s">
        <v>1232</v>
      </c>
      <c r="HBR2187" s="594" t="s">
        <v>1232</v>
      </c>
      <c r="HBS2187" s="594" t="s">
        <v>1232</v>
      </c>
      <c r="HBT2187" s="594" t="s">
        <v>1232</v>
      </c>
      <c r="HBU2187" s="594" t="s">
        <v>1232</v>
      </c>
      <c r="HBV2187" s="594" t="s">
        <v>1232</v>
      </c>
      <c r="HBW2187" s="594" t="s">
        <v>1232</v>
      </c>
      <c r="HBX2187" s="594" t="s">
        <v>1232</v>
      </c>
      <c r="HBY2187" s="594" t="s">
        <v>1232</v>
      </c>
      <c r="HBZ2187" s="594" t="s">
        <v>1232</v>
      </c>
      <c r="HCA2187" s="594" t="s">
        <v>1232</v>
      </c>
      <c r="HCB2187" s="594" t="s">
        <v>1232</v>
      </c>
      <c r="HCC2187" s="594" t="s">
        <v>1232</v>
      </c>
      <c r="HCD2187" s="594" t="s">
        <v>1232</v>
      </c>
      <c r="HCE2187" s="594" t="s">
        <v>1232</v>
      </c>
      <c r="HCF2187" s="594" t="s">
        <v>1232</v>
      </c>
      <c r="HCG2187" s="594" t="s">
        <v>1232</v>
      </c>
      <c r="HCH2187" s="594" t="s">
        <v>1232</v>
      </c>
      <c r="HCI2187" s="594" t="s">
        <v>1232</v>
      </c>
      <c r="HCJ2187" s="594" t="s">
        <v>1232</v>
      </c>
      <c r="HCK2187" s="594" t="s">
        <v>1232</v>
      </c>
      <c r="HCL2187" s="594" t="s">
        <v>1232</v>
      </c>
      <c r="HCM2187" s="594" t="s">
        <v>1232</v>
      </c>
      <c r="HCN2187" s="594" t="s">
        <v>1232</v>
      </c>
      <c r="HCO2187" s="594" t="s">
        <v>1232</v>
      </c>
      <c r="HCP2187" s="594" t="s">
        <v>1232</v>
      </c>
      <c r="HCQ2187" s="594" t="s">
        <v>1232</v>
      </c>
      <c r="HCR2187" s="594" t="s">
        <v>1232</v>
      </c>
      <c r="HCS2187" s="594" t="s">
        <v>1232</v>
      </c>
      <c r="HCT2187" s="594" t="s">
        <v>1232</v>
      </c>
      <c r="HCU2187" s="594" t="s">
        <v>1232</v>
      </c>
      <c r="HCV2187" s="594" t="s">
        <v>1232</v>
      </c>
      <c r="HCW2187" s="594" t="s">
        <v>1232</v>
      </c>
      <c r="HCX2187" s="594" t="s">
        <v>1232</v>
      </c>
      <c r="HCY2187" s="594" t="s">
        <v>1232</v>
      </c>
      <c r="HCZ2187" s="594" t="s">
        <v>1232</v>
      </c>
      <c r="HDA2187" s="594" t="s">
        <v>1232</v>
      </c>
      <c r="HDB2187" s="594" t="s">
        <v>1232</v>
      </c>
      <c r="HDC2187" s="594" t="s">
        <v>1232</v>
      </c>
      <c r="HDD2187" s="594" t="s">
        <v>1232</v>
      </c>
      <c r="HDE2187" s="594" t="s">
        <v>1232</v>
      </c>
      <c r="HDF2187" s="594" t="s">
        <v>1232</v>
      </c>
      <c r="HDG2187" s="594" t="s">
        <v>1232</v>
      </c>
      <c r="HDH2187" s="594" t="s">
        <v>1232</v>
      </c>
      <c r="HDI2187" s="594" t="s">
        <v>1232</v>
      </c>
      <c r="HDJ2187" s="594" t="s">
        <v>1232</v>
      </c>
      <c r="HDK2187" s="594" t="s">
        <v>1232</v>
      </c>
      <c r="HDL2187" s="594" t="s">
        <v>1232</v>
      </c>
      <c r="HDM2187" s="594" t="s">
        <v>1232</v>
      </c>
      <c r="HDN2187" s="594" t="s">
        <v>1232</v>
      </c>
      <c r="HDO2187" s="594" t="s">
        <v>1232</v>
      </c>
      <c r="HDP2187" s="594" t="s">
        <v>1232</v>
      </c>
      <c r="HDQ2187" s="594" t="s">
        <v>1232</v>
      </c>
      <c r="HDR2187" s="594" t="s">
        <v>1232</v>
      </c>
      <c r="HDS2187" s="594" t="s">
        <v>1232</v>
      </c>
      <c r="HDT2187" s="594" t="s">
        <v>1232</v>
      </c>
      <c r="HDU2187" s="594" t="s">
        <v>1232</v>
      </c>
      <c r="HDV2187" s="594" t="s">
        <v>1232</v>
      </c>
      <c r="HDW2187" s="594" t="s">
        <v>1232</v>
      </c>
      <c r="HDX2187" s="594" t="s">
        <v>1232</v>
      </c>
      <c r="HDY2187" s="594" t="s">
        <v>1232</v>
      </c>
      <c r="HDZ2187" s="594" t="s">
        <v>1232</v>
      </c>
      <c r="HEA2187" s="594" t="s">
        <v>1232</v>
      </c>
      <c r="HEB2187" s="594" t="s">
        <v>1232</v>
      </c>
      <c r="HEC2187" s="594" t="s">
        <v>1232</v>
      </c>
      <c r="HED2187" s="594" t="s">
        <v>1232</v>
      </c>
      <c r="HEE2187" s="594" t="s">
        <v>1232</v>
      </c>
      <c r="HEF2187" s="594" t="s">
        <v>1232</v>
      </c>
      <c r="HEG2187" s="594" t="s">
        <v>1232</v>
      </c>
      <c r="HEH2187" s="594" t="s">
        <v>1232</v>
      </c>
      <c r="HEI2187" s="594" t="s">
        <v>1232</v>
      </c>
      <c r="HEJ2187" s="594" t="s">
        <v>1232</v>
      </c>
      <c r="HEK2187" s="594" t="s">
        <v>1232</v>
      </c>
      <c r="HEL2187" s="594" t="s">
        <v>1232</v>
      </c>
      <c r="HEM2187" s="594" t="s">
        <v>1232</v>
      </c>
      <c r="HEN2187" s="594" t="s">
        <v>1232</v>
      </c>
      <c r="HEO2187" s="594" t="s">
        <v>1232</v>
      </c>
      <c r="HEP2187" s="594" t="s">
        <v>1232</v>
      </c>
      <c r="HEQ2187" s="594" t="s">
        <v>1232</v>
      </c>
      <c r="HER2187" s="594" t="s">
        <v>1232</v>
      </c>
      <c r="HES2187" s="594" t="s">
        <v>1232</v>
      </c>
      <c r="HET2187" s="594" t="s">
        <v>1232</v>
      </c>
      <c r="HEU2187" s="594" t="s">
        <v>1232</v>
      </c>
      <c r="HEV2187" s="594" t="s">
        <v>1232</v>
      </c>
      <c r="HEW2187" s="594" t="s">
        <v>1232</v>
      </c>
      <c r="HEX2187" s="594" t="s">
        <v>1232</v>
      </c>
      <c r="HEY2187" s="594" t="s">
        <v>1232</v>
      </c>
      <c r="HEZ2187" s="594" t="s">
        <v>1232</v>
      </c>
      <c r="HFA2187" s="594" t="s">
        <v>1232</v>
      </c>
      <c r="HFB2187" s="594" t="s">
        <v>1232</v>
      </c>
      <c r="HFC2187" s="594" t="s">
        <v>1232</v>
      </c>
      <c r="HFD2187" s="594" t="s">
        <v>1232</v>
      </c>
      <c r="HFE2187" s="594" t="s">
        <v>1232</v>
      </c>
      <c r="HFF2187" s="594" t="s">
        <v>1232</v>
      </c>
      <c r="HFG2187" s="594" t="s">
        <v>1232</v>
      </c>
      <c r="HFH2187" s="594" t="s">
        <v>1232</v>
      </c>
      <c r="HFI2187" s="594" t="s">
        <v>1232</v>
      </c>
      <c r="HFJ2187" s="594" t="s">
        <v>1232</v>
      </c>
      <c r="HFK2187" s="594" t="s">
        <v>1232</v>
      </c>
      <c r="HFL2187" s="594" t="s">
        <v>1232</v>
      </c>
      <c r="HFM2187" s="594" t="s">
        <v>1232</v>
      </c>
      <c r="HFN2187" s="594" t="s">
        <v>1232</v>
      </c>
      <c r="HFO2187" s="594" t="s">
        <v>1232</v>
      </c>
      <c r="HFP2187" s="594" t="s">
        <v>1232</v>
      </c>
      <c r="HFQ2187" s="594" t="s">
        <v>1232</v>
      </c>
      <c r="HFR2187" s="594" t="s">
        <v>1232</v>
      </c>
      <c r="HFS2187" s="594" t="s">
        <v>1232</v>
      </c>
      <c r="HFT2187" s="594" t="s">
        <v>1232</v>
      </c>
      <c r="HFU2187" s="594" t="s">
        <v>1232</v>
      </c>
      <c r="HFV2187" s="594" t="s">
        <v>1232</v>
      </c>
      <c r="HFW2187" s="594" t="s">
        <v>1232</v>
      </c>
      <c r="HFX2187" s="594" t="s">
        <v>1232</v>
      </c>
      <c r="HFY2187" s="594" t="s">
        <v>1232</v>
      </c>
      <c r="HFZ2187" s="594" t="s">
        <v>1232</v>
      </c>
      <c r="HGA2187" s="594" t="s">
        <v>1232</v>
      </c>
      <c r="HGB2187" s="594" t="s">
        <v>1232</v>
      </c>
      <c r="HGC2187" s="594" t="s">
        <v>1232</v>
      </c>
      <c r="HGD2187" s="594" t="s">
        <v>1232</v>
      </c>
      <c r="HGE2187" s="594" t="s">
        <v>1232</v>
      </c>
      <c r="HGF2187" s="594" t="s">
        <v>1232</v>
      </c>
      <c r="HGG2187" s="594" t="s">
        <v>1232</v>
      </c>
      <c r="HGH2187" s="594" t="s">
        <v>1232</v>
      </c>
      <c r="HGI2187" s="594" t="s">
        <v>1232</v>
      </c>
      <c r="HGJ2187" s="594" t="s">
        <v>1232</v>
      </c>
      <c r="HGK2187" s="594" t="s">
        <v>1232</v>
      </c>
      <c r="HGL2187" s="594" t="s">
        <v>1232</v>
      </c>
      <c r="HGM2187" s="594" t="s">
        <v>1232</v>
      </c>
      <c r="HGN2187" s="594" t="s">
        <v>1232</v>
      </c>
      <c r="HGO2187" s="594" t="s">
        <v>1232</v>
      </c>
      <c r="HGP2187" s="594" t="s">
        <v>1232</v>
      </c>
      <c r="HGQ2187" s="594" t="s">
        <v>1232</v>
      </c>
      <c r="HGR2187" s="594" t="s">
        <v>1232</v>
      </c>
      <c r="HGS2187" s="594" t="s">
        <v>1232</v>
      </c>
      <c r="HGT2187" s="594" t="s">
        <v>1232</v>
      </c>
      <c r="HGU2187" s="594" t="s">
        <v>1232</v>
      </c>
      <c r="HGV2187" s="594" t="s">
        <v>1232</v>
      </c>
      <c r="HGW2187" s="594" t="s">
        <v>1232</v>
      </c>
      <c r="HGX2187" s="594" t="s">
        <v>1232</v>
      </c>
      <c r="HGY2187" s="594" t="s">
        <v>1232</v>
      </c>
      <c r="HGZ2187" s="594" t="s">
        <v>1232</v>
      </c>
      <c r="HHA2187" s="594" t="s">
        <v>1232</v>
      </c>
      <c r="HHB2187" s="594" t="s">
        <v>1232</v>
      </c>
      <c r="HHC2187" s="594" t="s">
        <v>1232</v>
      </c>
      <c r="HHD2187" s="594" t="s">
        <v>1232</v>
      </c>
      <c r="HHE2187" s="594" t="s">
        <v>1232</v>
      </c>
      <c r="HHF2187" s="594" t="s">
        <v>1232</v>
      </c>
      <c r="HHG2187" s="594" t="s">
        <v>1232</v>
      </c>
      <c r="HHH2187" s="594" t="s">
        <v>1232</v>
      </c>
      <c r="HHI2187" s="594" t="s">
        <v>1232</v>
      </c>
      <c r="HHJ2187" s="594" t="s">
        <v>1232</v>
      </c>
      <c r="HHK2187" s="594" t="s">
        <v>1232</v>
      </c>
      <c r="HHL2187" s="594" t="s">
        <v>1232</v>
      </c>
      <c r="HHM2187" s="594" t="s">
        <v>1232</v>
      </c>
      <c r="HHN2187" s="594" t="s">
        <v>1232</v>
      </c>
      <c r="HHO2187" s="594" t="s">
        <v>1232</v>
      </c>
      <c r="HHP2187" s="594" t="s">
        <v>1232</v>
      </c>
      <c r="HHQ2187" s="594" t="s">
        <v>1232</v>
      </c>
      <c r="HHR2187" s="594" t="s">
        <v>1232</v>
      </c>
      <c r="HHS2187" s="594" t="s">
        <v>1232</v>
      </c>
      <c r="HHT2187" s="594" t="s">
        <v>1232</v>
      </c>
      <c r="HHU2187" s="594" t="s">
        <v>1232</v>
      </c>
      <c r="HHV2187" s="594" t="s">
        <v>1232</v>
      </c>
      <c r="HHW2187" s="594" t="s">
        <v>1232</v>
      </c>
      <c r="HHX2187" s="594" t="s">
        <v>1232</v>
      </c>
      <c r="HHY2187" s="594" t="s">
        <v>1232</v>
      </c>
      <c r="HHZ2187" s="594" t="s">
        <v>1232</v>
      </c>
      <c r="HIA2187" s="594" t="s">
        <v>1232</v>
      </c>
      <c r="HIB2187" s="594" t="s">
        <v>1232</v>
      </c>
      <c r="HIC2187" s="594" t="s">
        <v>1232</v>
      </c>
      <c r="HID2187" s="594" t="s">
        <v>1232</v>
      </c>
      <c r="HIE2187" s="594" t="s">
        <v>1232</v>
      </c>
      <c r="HIF2187" s="594" t="s">
        <v>1232</v>
      </c>
      <c r="HIG2187" s="594" t="s">
        <v>1232</v>
      </c>
      <c r="HIH2187" s="594" t="s">
        <v>1232</v>
      </c>
      <c r="HII2187" s="594" t="s">
        <v>1232</v>
      </c>
      <c r="HIJ2187" s="594" t="s">
        <v>1232</v>
      </c>
      <c r="HIK2187" s="594" t="s">
        <v>1232</v>
      </c>
      <c r="HIL2187" s="594" t="s">
        <v>1232</v>
      </c>
      <c r="HIM2187" s="594" t="s">
        <v>1232</v>
      </c>
      <c r="HIN2187" s="594" t="s">
        <v>1232</v>
      </c>
      <c r="HIO2187" s="594" t="s">
        <v>1232</v>
      </c>
      <c r="HIP2187" s="594" t="s">
        <v>1232</v>
      </c>
      <c r="HIQ2187" s="594" t="s">
        <v>1232</v>
      </c>
      <c r="HIR2187" s="594" t="s">
        <v>1232</v>
      </c>
      <c r="HIS2187" s="594" t="s">
        <v>1232</v>
      </c>
      <c r="HIT2187" s="594" t="s">
        <v>1232</v>
      </c>
      <c r="HIU2187" s="594" t="s">
        <v>1232</v>
      </c>
      <c r="HIV2187" s="594" t="s">
        <v>1232</v>
      </c>
      <c r="HIW2187" s="594" t="s">
        <v>1232</v>
      </c>
      <c r="HIX2187" s="594" t="s">
        <v>1232</v>
      </c>
      <c r="HIY2187" s="594" t="s">
        <v>1232</v>
      </c>
      <c r="HIZ2187" s="594" t="s">
        <v>1232</v>
      </c>
      <c r="HJA2187" s="594" t="s">
        <v>1232</v>
      </c>
      <c r="HJB2187" s="594" t="s">
        <v>1232</v>
      </c>
      <c r="HJC2187" s="594" t="s">
        <v>1232</v>
      </c>
      <c r="HJD2187" s="594" t="s">
        <v>1232</v>
      </c>
      <c r="HJE2187" s="594" t="s">
        <v>1232</v>
      </c>
      <c r="HJF2187" s="594" t="s">
        <v>1232</v>
      </c>
      <c r="HJG2187" s="594" t="s">
        <v>1232</v>
      </c>
      <c r="HJH2187" s="594" t="s">
        <v>1232</v>
      </c>
      <c r="HJI2187" s="594" t="s">
        <v>1232</v>
      </c>
      <c r="HJJ2187" s="594" t="s">
        <v>1232</v>
      </c>
      <c r="HJK2187" s="594" t="s">
        <v>1232</v>
      </c>
      <c r="HJL2187" s="594" t="s">
        <v>1232</v>
      </c>
      <c r="HJM2187" s="594" t="s">
        <v>1232</v>
      </c>
      <c r="HJN2187" s="594" t="s">
        <v>1232</v>
      </c>
      <c r="HJO2187" s="594" t="s">
        <v>1232</v>
      </c>
      <c r="HJP2187" s="594" t="s">
        <v>1232</v>
      </c>
      <c r="HJQ2187" s="594" t="s">
        <v>1232</v>
      </c>
      <c r="HJR2187" s="594" t="s">
        <v>1232</v>
      </c>
      <c r="HJS2187" s="594" t="s">
        <v>1232</v>
      </c>
      <c r="HJT2187" s="594" t="s">
        <v>1232</v>
      </c>
      <c r="HJU2187" s="594" t="s">
        <v>1232</v>
      </c>
      <c r="HJV2187" s="594" t="s">
        <v>1232</v>
      </c>
      <c r="HJW2187" s="594" t="s">
        <v>1232</v>
      </c>
      <c r="HJX2187" s="594" t="s">
        <v>1232</v>
      </c>
      <c r="HJY2187" s="594" t="s">
        <v>1232</v>
      </c>
      <c r="HJZ2187" s="594" t="s">
        <v>1232</v>
      </c>
      <c r="HKA2187" s="594" t="s">
        <v>1232</v>
      </c>
      <c r="HKB2187" s="594" t="s">
        <v>1232</v>
      </c>
      <c r="HKC2187" s="594" t="s">
        <v>1232</v>
      </c>
      <c r="HKD2187" s="594" t="s">
        <v>1232</v>
      </c>
      <c r="HKE2187" s="594" t="s">
        <v>1232</v>
      </c>
      <c r="HKF2187" s="594" t="s">
        <v>1232</v>
      </c>
      <c r="HKG2187" s="594" t="s">
        <v>1232</v>
      </c>
      <c r="HKH2187" s="594" t="s">
        <v>1232</v>
      </c>
      <c r="HKI2187" s="594" t="s">
        <v>1232</v>
      </c>
      <c r="HKJ2187" s="594" t="s">
        <v>1232</v>
      </c>
      <c r="HKK2187" s="594" t="s">
        <v>1232</v>
      </c>
      <c r="HKL2187" s="594" t="s">
        <v>1232</v>
      </c>
      <c r="HKM2187" s="594" t="s">
        <v>1232</v>
      </c>
      <c r="HKN2187" s="594" t="s">
        <v>1232</v>
      </c>
      <c r="HKO2187" s="594" t="s">
        <v>1232</v>
      </c>
      <c r="HKP2187" s="594" t="s">
        <v>1232</v>
      </c>
      <c r="HKQ2187" s="594" t="s">
        <v>1232</v>
      </c>
      <c r="HKR2187" s="594" t="s">
        <v>1232</v>
      </c>
      <c r="HKS2187" s="594" t="s">
        <v>1232</v>
      </c>
      <c r="HKT2187" s="594" t="s">
        <v>1232</v>
      </c>
      <c r="HKU2187" s="594" t="s">
        <v>1232</v>
      </c>
      <c r="HKV2187" s="594" t="s">
        <v>1232</v>
      </c>
      <c r="HKW2187" s="594" t="s">
        <v>1232</v>
      </c>
      <c r="HKX2187" s="594" t="s">
        <v>1232</v>
      </c>
      <c r="HKY2187" s="594" t="s">
        <v>1232</v>
      </c>
      <c r="HKZ2187" s="594" t="s">
        <v>1232</v>
      </c>
      <c r="HLA2187" s="594" t="s">
        <v>1232</v>
      </c>
      <c r="HLB2187" s="594" t="s">
        <v>1232</v>
      </c>
      <c r="HLC2187" s="594" t="s">
        <v>1232</v>
      </c>
      <c r="HLD2187" s="594" t="s">
        <v>1232</v>
      </c>
      <c r="HLE2187" s="594" t="s">
        <v>1232</v>
      </c>
      <c r="HLF2187" s="594" t="s">
        <v>1232</v>
      </c>
      <c r="HLG2187" s="594" t="s">
        <v>1232</v>
      </c>
      <c r="HLH2187" s="594" t="s">
        <v>1232</v>
      </c>
      <c r="HLI2187" s="594" t="s">
        <v>1232</v>
      </c>
      <c r="HLJ2187" s="594" t="s">
        <v>1232</v>
      </c>
      <c r="HLK2187" s="594" t="s">
        <v>1232</v>
      </c>
      <c r="HLL2187" s="594" t="s">
        <v>1232</v>
      </c>
      <c r="HLM2187" s="594" t="s">
        <v>1232</v>
      </c>
      <c r="HLN2187" s="594" t="s">
        <v>1232</v>
      </c>
      <c r="HLO2187" s="594" t="s">
        <v>1232</v>
      </c>
      <c r="HLP2187" s="594" t="s">
        <v>1232</v>
      </c>
      <c r="HLQ2187" s="594" t="s">
        <v>1232</v>
      </c>
      <c r="HLR2187" s="594" t="s">
        <v>1232</v>
      </c>
      <c r="HLS2187" s="594" t="s">
        <v>1232</v>
      </c>
      <c r="HLT2187" s="594" t="s">
        <v>1232</v>
      </c>
      <c r="HLU2187" s="594" t="s">
        <v>1232</v>
      </c>
      <c r="HLV2187" s="594" t="s">
        <v>1232</v>
      </c>
      <c r="HLW2187" s="594" t="s">
        <v>1232</v>
      </c>
      <c r="HLX2187" s="594" t="s">
        <v>1232</v>
      </c>
      <c r="HLY2187" s="594" t="s">
        <v>1232</v>
      </c>
      <c r="HLZ2187" s="594" t="s">
        <v>1232</v>
      </c>
      <c r="HMA2187" s="594" t="s">
        <v>1232</v>
      </c>
      <c r="HMB2187" s="594" t="s">
        <v>1232</v>
      </c>
      <c r="HMC2187" s="594" t="s">
        <v>1232</v>
      </c>
      <c r="HMD2187" s="594" t="s">
        <v>1232</v>
      </c>
      <c r="HME2187" s="594" t="s">
        <v>1232</v>
      </c>
      <c r="HMF2187" s="594" t="s">
        <v>1232</v>
      </c>
      <c r="HMG2187" s="594" t="s">
        <v>1232</v>
      </c>
      <c r="HMH2187" s="594" t="s">
        <v>1232</v>
      </c>
      <c r="HMI2187" s="594" t="s">
        <v>1232</v>
      </c>
      <c r="HMJ2187" s="594" t="s">
        <v>1232</v>
      </c>
      <c r="HMK2187" s="594" t="s">
        <v>1232</v>
      </c>
      <c r="HML2187" s="594" t="s">
        <v>1232</v>
      </c>
      <c r="HMM2187" s="594" t="s">
        <v>1232</v>
      </c>
      <c r="HMN2187" s="594" t="s">
        <v>1232</v>
      </c>
      <c r="HMO2187" s="594" t="s">
        <v>1232</v>
      </c>
      <c r="HMP2187" s="594" t="s">
        <v>1232</v>
      </c>
      <c r="HMQ2187" s="594" t="s">
        <v>1232</v>
      </c>
      <c r="HMR2187" s="594" t="s">
        <v>1232</v>
      </c>
      <c r="HMS2187" s="594" t="s">
        <v>1232</v>
      </c>
      <c r="HMT2187" s="594" t="s">
        <v>1232</v>
      </c>
      <c r="HMU2187" s="594" t="s">
        <v>1232</v>
      </c>
      <c r="HMV2187" s="594" t="s">
        <v>1232</v>
      </c>
      <c r="HMW2187" s="594" t="s">
        <v>1232</v>
      </c>
      <c r="HMX2187" s="594" t="s">
        <v>1232</v>
      </c>
      <c r="HMY2187" s="594" t="s">
        <v>1232</v>
      </c>
      <c r="HMZ2187" s="594" t="s">
        <v>1232</v>
      </c>
      <c r="HNA2187" s="594" t="s">
        <v>1232</v>
      </c>
      <c r="HNB2187" s="594" t="s">
        <v>1232</v>
      </c>
      <c r="HNC2187" s="594" t="s">
        <v>1232</v>
      </c>
      <c r="HND2187" s="594" t="s">
        <v>1232</v>
      </c>
      <c r="HNE2187" s="594" t="s">
        <v>1232</v>
      </c>
      <c r="HNF2187" s="594" t="s">
        <v>1232</v>
      </c>
      <c r="HNG2187" s="594" t="s">
        <v>1232</v>
      </c>
      <c r="HNH2187" s="594" t="s">
        <v>1232</v>
      </c>
      <c r="HNI2187" s="594" t="s">
        <v>1232</v>
      </c>
      <c r="HNJ2187" s="594" t="s">
        <v>1232</v>
      </c>
      <c r="HNK2187" s="594" t="s">
        <v>1232</v>
      </c>
      <c r="HNL2187" s="594" t="s">
        <v>1232</v>
      </c>
      <c r="HNM2187" s="594" t="s">
        <v>1232</v>
      </c>
      <c r="HNN2187" s="594" t="s">
        <v>1232</v>
      </c>
      <c r="HNO2187" s="594" t="s">
        <v>1232</v>
      </c>
      <c r="HNP2187" s="594" t="s">
        <v>1232</v>
      </c>
      <c r="HNQ2187" s="594" t="s">
        <v>1232</v>
      </c>
      <c r="HNR2187" s="594" t="s">
        <v>1232</v>
      </c>
      <c r="HNS2187" s="594" t="s">
        <v>1232</v>
      </c>
      <c r="HNT2187" s="594" t="s">
        <v>1232</v>
      </c>
      <c r="HNU2187" s="594" t="s">
        <v>1232</v>
      </c>
      <c r="HNV2187" s="594" t="s">
        <v>1232</v>
      </c>
      <c r="HNW2187" s="594" t="s">
        <v>1232</v>
      </c>
      <c r="HNX2187" s="594" t="s">
        <v>1232</v>
      </c>
      <c r="HNY2187" s="594" t="s">
        <v>1232</v>
      </c>
      <c r="HNZ2187" s="594" t="s">
        <v>1232</v>
      </c>
      <c r="HOA2187" s="594" t="s">
        <v>1232</v>
      </c>
      <c r="HOB2187" s="594" t="s">
        <v>1232</v>
      </c>
      <c r="HOC2187" s="594" t="s">
        <v>1232</v>
      </c>
      <c r="HOD2187" s="594" t="s">
        <v>1232</v>
      </c>
      <c r="HOE2187" s="594" t="s">
        <v>1232</v>
      </c>
      <c r="HOF2187" s="594" t="s">
        <v>1232</v>
      </c>
      <c r="HOG2187" s="594" t="s">
        <v>1232</v>
      </c>
      <c r="HOH2187" s="594" t="s">
        <v>1232</v>
      </c>
      <c r="HOI2187" s="594" t="s">
        <v>1232</v>
      </c>
      <c r="HOJ2187" s="594" t="s">
        <v>1232</v>
      </c>
      <c r="HOK2187" s="594" t="s">
        <v>1232</v>
      </c>
      <c r="HOL2187" s="594" t="s">
        <v>1232</v>
      </c>
      <c r="HOM2187" s="594" t="s">
        <v>1232</v>
      </c>
      <c r="HON2187" s="594" t="s">
        <v>1232</v>
      </c>
      <c r="HOO2187" s="594" t="s">
        <v>1232</v>
      </c>
      <c r="HOP2187" s="594" t="s">
        <v>1232</v>
      </c>
      <c r="HOQ2187" s="594" t="s">
        <v>1232</v>
      </c>
      <c r="HOR2187" s="594" t="s">
        <v>1232</v>
      </c>
      <c r="HOS2187" s="594" t="s">
        <v>1232</v>
      </c>
      <c r="HOT2187" s="594" t="s">
        <v>1232</v>
      </c>
      <c r="HOU2187" s="594" t="s">
        <v>1232</v>
      </c>
      <c r="HOV2187" s="594" t="s">
        <v>1232</v>
      </c>
      <c r="HOW2187" s="594" t="s">
        <v>1232</v>
      </c>
      <c r="HOX2187" s="594" t="s">
        <v>1232</v>
      </c>
      <c r="HOY2187" s="594" t="s">
        <v>1232</v>
      </c>
      <c r="HOZ2187" s="594" t="s">
        <v>1232</v>
      </c>
      <c r="HPA2187" s="594" t="s">
        <v>1232</v>
      </c>
      <c r="HPB2187" s="594" t="s">
        <v>1232</v>
      </c>
      <c r="HPC2187" s="594" t="s">
        <v>1232</v>
      </c>
      <c r="HPD2187" s="594" t="s">
        <v>1232</v>
      </c>
      <c r="HPE2187" s="594" t="s">
        <v>1232</v>
      </c>
      <c r="HPF2187" s="594" t="s">
        <v>1232</v>
      </c>
      <c r="HPG2187" s="594" t="s">
        <v>1232</v>
      </c>
      <c r="HPH2187" s="594" t="s">
        <v>1232</v>
      </c>
      <c r="HPI2187" s="594" t="s">
        <v>1232</v>
      </c>
      <c r="HPJ2187" s="594" t="s">
        <v>1232</v>
      </c>
      <c r="HPK2187" s="594" t="s">
        <v>1232</v>
      </c>
      <c r="HPL2187" s="594" t="s">
        <v>1232</v>
      </c>
      <c r="HPM2187" s="594" t="s">
        <v>1232</v>
      </c>
      <c r="HPN2187" s="594" t="s">
        <v>1232</v>
      </c>
      <c r="HPO2187" s="594" t="s">
        <v>1232</v>
      </c>
      <c r="HPP2187" s="594" t="s">
        <v>1232</v>
      </c>
      <c r="HPQ2187" s="594" t="s">
        <v>1232</v>
      </c>
      <c r="HPR2187" s="594" t="s">
        <v>1232</v>
      </c>
      <c r="HPS2187" s="594" t="s">
        <v>1232</v>
      </c>
      <c r="HPT2187" s="594" t="s">
        <v>1232</v>
      </c>
      <c r="HPU2187" s="594" t="s">
        <v>1232</v>
      </c>
      <c r="HPV2187" s="594" t="s">
        <v>1232</v>
      </c>
      <c r="HPW2187" s="594" t="s">
        <v>1232</v>
      </c>
      <c r="HPX2187" s="594" t="s">
        <v>1232</v>
      </c>
      <c r="HPY2187" s="594" t="s">
        <v>1232</v>
      </c>
      <c r="HPZ2187" s="594" t="s">
        <v>1232</v>
      </c>
      <c r="HQA2187" s="594" t="s">
        <v>1232</v>
      </c>
      <c r="HQB2187" s="594" t="s">
        <v>1232</v>
      </c>
      <c r="HQC2187" s="594" t="s">
        <v>1232</v>
      </c>
      <c r="HQD2187" s="594" t="s">
        <v>1232</v>
      </c>
      <c r="HQE2187" s="594" t="s">
        <v>1232</v>
      </c>
      <c r="HQF2187" s="594" t="s">
        <v>1232</v>
      </c>
      <c r="HQG2187" s="594" t="s">
        <v>1232</v>
      </c>
      <c r="HQH2187" s="594" t="s">
        <v>1232</v>
      </c>
      <c r="HQI2187" s="594" t="s">
        <v>1232</v>
      </c>
      <c r="HQJ2187" s="594" t="s">
        <v>1232</v>
      </c>
      <c r="HQK2187" s="594" t="s">
        <v>1232</v>
      </c>
      <c r="HQL2187" s="594" t="s">
        <v>1232</v>
      </c>
      <c r="HQM2187" s="594" t="s">
        <v>1232</v>
      </c>
      <c r="HQN2187" s="594" t="s">
        <v>1232</v>
      </c>
      <c r="HQO2187" s="594" t="s">
        <v>1232</v>
      </c>
      <c r="HQP2187" s="594" t="s">
        <v>1232</v>
      </c>
      <c r="HQQ2187" s="594" t="s">
        <v>1232</v>
      </c>
      <c r="HQR2187" s="594" t="s">
        <v>1232</v>
      </c>
      <c r="HQS2187" s="594" t="s">
        <v>1232</v>
      </c>
      <c r="HQT2187" s="594" t="s">
        <v>1232</v>
      </c>
      <c r="HQU2187" s="594" t="s">
        <v>1232</v>
      </c>
      <c r="HQV2187" s="594" t="s">
        <v>1232</v>
      </c>
      <c r="HQW2187" s="594" t="s">
        <v>1232</v>
      </c>
      <c r="HQX2187" s="594" t="s">
        <v>1232</v>
      </c>
      <c r="HQY2187" s="594" t="s">
        <v>1232</v>
      </c>
      <c r="HQZ2187" s="594" t="s">
        <v>1232</v>
      </c>
      <c r="HRA2187" s="594" t="s">
        <v>1232</v>
      </c>
      <c r="HRB2187" s="594" t="s">
        <v>1232</v>
      </c>
      <c r="HRC2187" s="594" t="s">
        <v>1232</v>
      </c>
      <c r="HRD2187" s="594" t="s">
        <v>1232</v>
      </c>
      <c r="HRE2187" s="594" t="s">
        <v>1232</v>
      </c>
      <c r="HRF2187" s="594" t="s">
        <v>1232</v>
      </c>
      <c r="HRG2187" s="594" t="s">
        <v>1232</v>
      </c>
      <c r="HRH2187" s="594" t="s">
        <v>1232</v>
      </c>
      <c r="HRI2187" s="594" t="s">
        <v>1232</v>
      </c>
      <c r="HRJ2187" s="594" t="s">
        <v>1232</v>
      </c>
      <c r="HRK2187" s="594" t="s">
        <v>1232</v>
      </c>
      <c r="HRL2187" s="594" t="s">
        <v>1232</v>
      </c>
      <c r="HRM2187" s="594" t="s">
        <v>1232</v>
      </c>
      <c r="HRN2187" s="594" t="s">
        <v>1232</v>
      </c>
      <c r="HRO2187" s="594" t="s">
        <v>1232</v>
      </c>
      <c r="HRP2187" s="594" t="s">
        <v>1232</v>
      </c>
      <c r="HRQ2187" s="594" t="s">
        <v>1232</v>
      </c>
      <c r="HRR2187" s="594" t="s">
        <v>1232</v>
      </c>
      <c r="HRS2187" s="594" t="s">
        <v>1232</v>
      </c>
      <c r="HRT2187" s="594" t="s">
        <v>1232</v>
      </c>
      <c r="HRU2187" s="594" t="s">
        <v>1232</v>
      </c>
      <c r="HRV2187" s="594" t="s">
        <v>1232</v>
      </c>
      <c r="HRW2187" s="594" t="s">
        <v>1232</v>
      </c>
      <c r="HRX2187" s="594" t="s">
        <v>1232</v>
      </c>
      <c r="HRY2187" s="594" t="s">
        <v>1232</v>
      </c>
      <c r="HRZ2187" s="594" t="s">
        <v>1232</v>
      </c>
      <c r="HSA2187" s="594" t="s">
        <v>1232</v>
      </c>
      <c r="HSB2187" s="594" t="s">
        <v>1232</v>
      </c>
      <c r="HSC2187" s="594" t="s">
        <v>1232</v>
      </c>
      <c r="HSD2187" s="594" t="s">
        <v>1232</v>
      </c>
      <c r="HSE2187" s="594" t="s">
        <v>1232</v>
      </c>
      <c r="HSF2187" s="594" t="s">
        <v>1232</v>
      </c>
      <c r="HSG2187" s="594" t="s">
        <v>1232</v>
      </c>
      <c r="HSH2187" s="594" t="s">
        <v>1232</v>
      </c>
      <c r="HSI2187" s="594" t="s">
        <v>1232</v>
      </c>
      <c r="HSJ2187" s="594" t="s">
        <v>1232</v>
      </c>
      <c r="HSK2187" s="594" t="s">
        <v>1232</v>
      </c>
      <c r="HSL2187" s="594" t="s">
        <v>1232</v>
      </c>
      <c r="HSM2187" s="594" t="s">
        <v>1232</v>
      </c>
      <c r="HSN2187" s="594" t="s">
        <v>1232</v>
      </c>
      <c r="HSO2187" s="594" t="s">
        <v>1232</v>
      </c>
      <c r="HSP2187" s="594" t="s">
        <v>1232</v>
      </c>
      <c r="HSQ2187" s="594" t="s">
        <v>1232</v>
      </c>
      <c r="HSR2187" s="594" t="s">
        <v>1232</v>
      </c>
      <c r="HSS2187" s="594" t="s">
        <v>1232</v>
      </c>
      <c r="HST2187" s="594" t="s">
        <v>1232</v>
      </c>
      <c r="HSU2187" s="594" t="s">
        <v>1232</v>
      </c>
      <c r="HSV2187" s="594" t="s">
        <v>1232</v>
      </c>
      <c r="HSW2187" s="594" t="s">
        <v>1232</v>
      </c>
      <c r="HSX2187" s="594" t="s">
        <v>1232</v>
      </c>
      <c r="HSY2187" s="594" t="s">
        <v>1232</v>
      </c>
      <c r="HSZ2187" s="594" t="s">
        <v>1232</v>
      </c>
      <c r="HTA2187" s="594" t="s">
        <v>1232</v>
      </c>
      <c r="HTB2187" s="594" t="s">
        <v>1232</v>
      </c>
      <c r="HTC2187" s="594" t="s">
        <v>1232</v>
      </c>
      <c r="HTD2187" s="594" t="s">
        <v>1232</v>
      </c>
      <c r="HTE2187" s="594" t="s">
        <v>1232</v>
      </c>
      <c r="HTF2187" s="594" t="s">
        <v>1232</v>
      </c>
      <c r="HTG2187" s="594" t="s">
        <v>1232</v>
      </c>
      <c r="HTH2187" s="594" t="s">
        <v>1232</v>
      </c>
      <c r="HTI2187" s="594" t="s">
        <v>1232</v>
      </c>
      <c r="HTJ2187" s="594" t="s">
        <v>1232</v>
      </c>
      <c r="HTK2187" s="594" t="s">
        <v>1232</v>
      </c>
      <c r="HTL2187" s="594" t="s">
        <v>1232</v>
      </c>
      <c r="HTM2187" s="594" t="s">
        <v>1232</v>
      </c>
      <c r="HTN2187" s="594" t="s">
        <v>1232</v>
      </c>
      <c r="HTO2187" s="594" t="s">
        <v>1232</v>
      </c>
      <c r="HTP2187" s="594" t="s">
        <v>1232</v>
      </c>
      <c r="HTQ2187" s="594" t="s">
        <v>1232</v>
      </c>
      <c r="HTR2187" s="594" t="s">
        <v>1232</v>
      </c>
      <c r="HTS2187" s="594" t="s">
        <v>1232</v>
      </c>
      <c r="HTT2187" s="594" t="s">
        <v>1232</v>
      </c>
      <c r="HTU2187" s="594" t="s">
        <v>1232</v>
      </c>
      <c r="HTV2187" s="594" t="s">
        <v>1232</v>
      </c>
      <c r="HTW2187" s="594" t="s">
        <v>1232</v>
      </c>
      <c r="HTX2187" s="594" t="s">
        <v>1232</v>
      </c>
      <c r="HTY2187" s="594" t="s">
        <v>1232</v>
      </c>
      <c r="HTZ2187" s="594" t="s">
        <v>1232</v>
      </c>
      <c r="HUA2187" s="594" t="s">
        <v>1232</v>
      </c>
      <c r="HUB2187" s="594" t="s">
        <v>1232</v>
      </c>
      <c r="HUC2187" s="594" t="s">
        <v>1232</v>
      </c>
      <c r="HUD2187" s="594" t="s">
        <v>1232</v>
      </c>
      <c r="HUE2187" s="594" t="s">
        <v>1232</v>
      </c>
      <c r="HUF2187" s="594" t="s">
        <v>1232</v>
      </c>
      <c r="HUG2187" s="594" t="s">
        <v>1232</v>
      </c>
      <c r="HUH2187" s="594" t="s">
        <v>1232</v>
      </c>
      <c r="HUI2187" s="594" t="s">
        <v>1232</v>
      </c>
      <c r="HUJ2187" s="594" t="s">
        <v>1232</v>
      </c>
      <c r="HUK2187" s="594" t="s">
        <v>1232</v>
      </c>
      <c r="HUL2187" s="594" t="s">
        <v>1232</v>
      </c>
      <c r="HUM2187" s="594" t="s">
        <v>1232</v>
      </c>
      <c r="HUN2187" s="594" t="s">
        <v>1232</v>
      </c>
      <c r="HUO2187" s="594" t="s">
        <v>1232</v>
      </c>
      <c r="HUP2187" s="594" t="s">
        <v>1232</v>
      </c>
      <c r="HUQ2187" s="594" t="s">
        <v>1232</v>
      </c>
      <c r="HUR2187" s="594" t="s">
        <v>1232</v>
      </c>
      <c r="HUS2187" s="594" t="s">
        <v>1232</v>
      </c>
      <c r="HUT2187" s="594" t="s">
        <v>1232</v>
      </c>
      <c r="HUU2187" s="594" t="s">
        <v>1232</v>
      </c>
      <c r="HUV2187" s="594" t="s">
        <v>1232</v>
      </c>
      <c r="HUW2187" s="594" t="s">
        <v>1232</v>
      </c>
      <c r="HUX2187" s="594" t="s">
        <v>1232</v>
      </c>
      <c r="HUY2187" s="594" t="s">
        <v>1232</v>
      </c>
      <c r="HUZ2187" s="594" t="s">
        <v>1232</v>
      </c>
      <c r="HVA2187" s="594" t="s">
        <v>1232</v>
      </c>
      <c r="HVB2187" s="594" t="s">
        <v>1232</v>
      </c>
      <c r="HVC2187" s="594" t="s">
        <v>1232</v>
      </c>
      <c r="HVD2187" s="594" t="s">
        <v>1232</v>
      </c>
      <c r="HVE2187" s="594" t="s">
        <v>1232</v>
      </c>
      <c r="HVF2187" s="594" t="s">
        <v>1232</v>
      </c>
      <c r="HVG2187" s="594" t="s">
        <v>1232</v>
      </c>
      <c r="HVH2187" s="594" t="s">
        <v>1232</v>
      </c>
      <c r="HVI2187" s="594" t="s">
        <v>1232</v>
      </c>
      <c r="HVJ2187" s="594" t="s">
        <v>1232</v>
      </c>
      <c r="HVK2187" s="594" t="s">
        <v>1232</v>
      </c>
      <c r="HVL2187" s="594" t="s">
        <v>1232</v>
      </c>
      <c r="HVM2187" s="594" t="s">
        <v>1232</v>
      </c>
      <c r="HVN2187" s="594" t="s">
        <v>1232</v>
      </c>
      <c r="HVO2187" s="594" t="s">
        <v>1232</v>
      </c>
      <c r="HVP2187" s="594" t="s">
        <v>1232</v>
      </c>
      <c r="HVQ2187" s="594" t="s">
        <v>1232</v>
      </c>
      <c r="HVR2187" s="594" t="s">
        <v>1232</v>
      </c>
      <c r="HVS2187" s="594" t="s">
        <v>1232</v>
      </c>
      <c r="HVT2187" s="594" t="s">
        <v>1232</v>
      </c>
      <c r="HVU2187" s="594" t="s">
        <v>1232</v>
      </c>
      <c r="HVV2187" s="594" t="s">
        <v>1232</v>
      </c>
      <c r="HVW2187" s="594" t="s">
        <v>1232</v>
      </c>
      <c r="HVX2187" s="594" t="s">
        <v>1232</v>
      </c>
      <c r="HVY2187" s="594" t="s">
        <v>1232</v>
      </c>
      <c r="HVZ2187" s="594" t="s">
        <v>1232</v>
      </c>
      <c r="HWA2187" s="594" t="s">
        <v>1232</v>
      </c>
      <c r="HWB2187" s="594" t="s">
        <v>1232</v>
      </c>
      <c r="HWC2187" s="594" t="s">
        <v>1232</v>
      </c>
      <c r="HWD2187" s="594" t="s">
        <v>1232</v>
      </c>
      <c r="HWE2187" s="594" t="s">
        <v>1232</v>
      </c>
      <c r="HWF2187" s="594" t="s">
        <v>1232</v>
      </c>
      <c r="HWG2187" s="594" t="s">
        <v>1232</v>
      </c>
      <c r="HWH2187" s="594" t="s">
        <v>1232</v>
      </c>
      <c r="HWI2187" s="594" t="s">
        <v>1232</v>
      </c>
      <c r="HWJ2187" s="594" t="s">
        <v>1232</v>
      </c>
      <c r="HWK2187" s="594" t="s">
        <v>1232</v>
      </c>
      <c r="HWL2187" s="594" t="s">
        <v>1232</v>
      </c>
      <c r="HWM2187" s="594" t="s">
        <v>1232</v>
      </c>
      <c r="HWN2187" s="594" t="s">
        <v>1232</v>
      </c>
      <c r="HWO2187" s="594" t="s">
        <v>1232</v>
      </c>
      <c r="HWP2187" s="594" t="s">
        <v>1232</v>
      </c>
      <c r="HWQ2187" s="594" t="s">
        <v>1232</v>
      </c>
      <c r="HWR2187" s="594" t="s">
        <v>1232</v>
      </c>
      <c r="HWS2187" s="594" t="s">
        <v>1232</v>
      </c>
      <c r="HWT2187" s="594" t="s">
        <v>1232</v>
      </c>
      <c r="HWU2187" s="594" t="s">
        <v>1232</v>
      </c>
      <c r="HWV2187" s="594" t="s">
        <v>1232</v>
      </c>
      <c r="HWW2187" s="594" t="s">
        <v>1232</v>
      </c>
      <c r="HWX2187" s="594" t="s">
        <v>1232</v>
      </c>
      <c r="HWY2187" s="594" t="s">
        <v>1232</v>
      </c>
      <c r="HWZ2187" s="594" t="s">
        <v>1232</v>
      </c>
      <c r="HXA2187" s="594" t="s">
        <v>1232</v>
      </c>
      <c r="HXB2187" s="594" t="s">
        <v>1232</v>
      </c>
      <c r="HXC2187" s="594" t="s">
        <v>1232</v>
      </c>
      <c r="HXD2187" s="594" t="s">
        <v>1232</v>
      </c>
      <c r="HXE2187" s="594" t="s">
        <v>1232</v>
      </c>
      <c r="HXF2187" s="594" t="s">
        <v>1232</v>
      </c>
      <c r="HXG2187" s="594" t="s">
        <v>1232</v>
      </c>
      <c r="HXH2187" s="594" t="s">
        <v>1232</v>
      </c>
      <c r="HXI2187" s="594" t="s">
        <v>1232</v>
      </c>
      <c r="HXJ2187" s="594" t="s">
        <v>1232</v>
      </c>
      <c r="HXK2187" s="594" t="s">
        <v>1232</v>
      </c>
      <c r="HXL2187" s="594" t="s">
        <v>1232</v>
      </c>
      <c r="HXM2187" s="594" t="s">
        <v>1232</v>
      </c>
      <c r="HXN2187" s="594" t="s">
        <v>1232</v>
      </c>
      <c r="HXO2187" s="594" t="s">
        <v>1232</v>
      </c>
      <c r="HXP2187" s="594" t="s">
        <v>1232</v>
      </c>
      <c r="HXQ2187" s="594" t="s">
        <v>1232</v>
      </c>
      <c r="HXR2187" s="594" t="s">
        <v>1232</v>
      </c>
      <c r="HXS2187" s="594" t="s">
        <v>1232</v>
      </c>
      <c r="HXT2187" s="594" t="s">
        <v>1232</v>
      </c>
      <c r="HXU2187" s="594" t="s">
        <v>1232</v>
      </c>
      <c r="HXV2187" s="594" t="s">
        <v>1232</v>
      </c>
      <c r="HXW2187" s="594" t="s">
        <v>1232</v>
      </c>
      <c r="HXX2187" s="594" t="s">
        <v>1232</v>
      </c>
      <c r="HXY2187" s="594" t="s">
        <v>1232</v>
      </c>
      <c r="HXZ2187" s="594" t="s">
        <v>1232</v>
      </c>
      <c r="HYA2187" s="594" t="s">
        <v>1232</v>
      </c>
      <c r="HYB2187" s="594" t="s">
        <v>1232</v>
      </c>
      <c r="HYC2187" s="594" t="s">
        <v>1232</v>
      </c>
      <c r="HYD2187" s="594" t="s">
        <v>1232</v>
      </c>
      <c r="HYE2187" s="594" t="s">
        <v>1232</v>
      </c>
      <c r="HYF2187" s="594" t="s">
        <v>1232</v>
      </c>
      <c r="HYG2187" s="594" t="s">
        <v>1232</v>
      </c>
      <c r="HYH2187" s="594" t="s">
        <v>1232</v>
      </c>
      <c r="HYI2187" s="594" t="s">
        <v>1232</v>
      </c>
      <c r="HYJ2187" s="594" t="s">
        <v>1232</v>
      </c>
      <c r="HYK2187" s="594" t="s">
        <v>1232</v>
      </c>
      <c r="HYL2187" s="594" t="s">
        <v>1232</v>
      </c>
      <c r="HYM2187" s="594" t="s">
        <v>1232</v>
      </c>
      <c r="HYN2187" s="594" t="s">
        <v>1232</v>
      </c>
      <c r="HYO2187" s="594" t="s">
        <v>1232</v>
      </c>
      <c r="HYP2187" s="594" t="s">
        <v>1232</v>
      </c>
      <c r="HYQ2187" s="594" t="s">
        <v>1232</v>
      </c>
      <c r="HYR2187" s="594" t="s">
        <v>1232</v>
      </c>
      <c r="HYS2187" s="594" t="s">
        <v>1232</v>
      </c>
      <c r="HYT2187" s="594" t="s">
        <v>1232</v>
      </c>
      <c r="HYU2187" s="594" t="s">
        <v>1232</v>
      </c>
      <c r="HYV2187" s="594" t="s">
        <v>1232</v>
      </c>
      <c r="HYW2187" s="594" t="s">
        <v>1232</v>
      </c>
      <c r="HYX2187" s="594" t="s">
        <v>1232</v>
      </c>
      <c r="HYY2187" s="594" t="s">
        <v>1232</v>
      </c>
      <c r="HYZ2187" s="594" t="s">
        <v>1232</v>
      </c>
      <c r="HZA2187" s="594" t="s">
        <v>1232</v>
      </c>
      <c r="HZB2187" s="594" t="s">
        <v>1232</v>
      </c>
      <c r="HZC2187" s="594" t="s">
        <v>1232</v>
      </c>
      <c r="HZD2187" s="594" t="s">
        <v>1232</v>
      </c>
      <c r="HZE2187" s="594" t="s">
        <v>1232</v>
      </c>
      <c r="HZF2187" s="594" t="s">
        <v>1232</v>
      </c>
      <c r="HZG2187" s="594" t="s">
        <v>1232</v>
      </c>
      <c r="HZH2187" s="594" t="s">
        <v>1232</v>
      </c>
      <c r="HZI2187" s="594" t="s">
        <v>1232</v>
      </c>
      <c r="HZJ2187" s="594" t="s">
        <v>1232</v>
      </c>
      <c r="HZK2187" s="594" t="s">
        <v>1232</v>
      </c>
      <c r="HZL2187" s="594" t="s">
        <v>1232</v>
      </c>
      <c r="HZM2187" s="594" t="s">
        <v>1232</v>
      </c>
      <c r="HZN2187" s="594" t="s">
        <v>1232</v>
      </c>
      <c r="HZO2187" s="594" t="s">
        <v>1232</v>
      </c>
      <c r="HZP2187" s="594" t="s">
        <v>1232</v>
      </c>
      <c r="HZQ2187" s="594" t="s">
        <v>1232</v>
      </c>
      <c r="HZR2187" s="594" t="s">
        <v>1232</v>
      </c>
      <c r="HZS2187" s="594" t="s">
        <v>1232</v>
      </c>
      <c r="HZT2187" s="594" t="s">
        <v>1232</v>
      </c>
      <c r="HZU2187" s="594" t="s">
        <v>1232</v>
      </c>
      <c r="HZV2187" s="594" t="s">
        <v>1232</v>
      </c>
      <c r="HZW2187" s="594" t="s">
        <v>1232</v>
      </c>
      <c r="HZX2187" s="594" t="s">
        <v>1232</v>
      </c>
      <c r="HZY2187" s="594" t="s">
        <v>1232</v>
      </c>
      <c r="HZZ2187" s="594" t="s">
        <v>1232</v>
      </c>
      <c r="IAA2187" s="594" t="s">
        <v>1232</v>
      </c>
      <c r="IAB2187" s="594" t="s">
        <v>1232</v>
      </c>
      <c r="IAC2187" s="594" t="s">
        <v>1232</v>
      </c>
      <c r="IAD2187" s="594" t="s">
        <v>1232</v>
      </c>
      <c r="IAE2187" s="594" t="s">
        <v>1232</v>
      </c>
      <c r="IAF2187" s="594" t="s">
        <v>1232</v>
      </c>
      <c r="IAG2187" s="594" t="s">
        <v>1232</v>
      </c>
      <c r="IAH2187" s="594" t="s">
        <v>1232</v>
      </c>
      <c r="IAI2187" s="594" t="s">
        <v>1232</v>
      </c>
      <c r="IAJ2187" s="594" t="s">
        <v>1232</v>
      </c>
      <c r="IAK2187" s="594" t="s">
        <v>1232</v>
      </c>
      <c r="IAL2187" s="594" t="s">
        <v>1232</v>
      </c>
      <c r="IAM2187" s="594" t="s">
        <v>1232</v>
      </c>
      <c r="IAN2187" s="594" t="s">
        <v>1232</v>
      </c>
      <c r="IAO2187" s="594" t="s">
        <v>1232</v>
      </c>
      <c r="IAP2187" s="594" t="s">
        <v>1232</v>
      </c>
      <c r="IAQ2187" s="594" t="s">
        <v>1232</v>
      </c>
      <c r="IAR2187" s="594" t="s">
        <v>1232</v>
      </c>
      <c r="IAS2187" s="594" t="s">
        <v>1232</v>
      </c>
      <c r="IAT2187" s="594" t="s">
        <v>1232</v>
      </c>
      <c r="IAU2187" s="594" t="s">
        <v>1232</v>
      </c>
      <c r="IAV2187" s="594" t="s">
        <v>1232</v>
      </c>
      <c r="IAW2187" s="594" t="s">
        <v>1232</v>
      </c>
      <c r="IAX2187" s="594" t="s">
        <v>1232</v>
      </c>
      <c r="IAY2187" s="594" t="s">
        <v>1232</v>
      </c>
      <c r="IAZ2187" s="594" t="s">
        <v>1232</v>
      </c>
      <c r="IBA2187" s="594" t="s">
        <v>1232</v>
      </c>
      <c r="IBB2187" s="594" t="s">
        <v>1232</v>
      </c>
      <c r="IBC2187" s="594" t="s">
        <v>1232</v>
      </c>
      <c r="IBD2187" s="594" t="s">
        <v>1232</v>
      </c>
      <c r="IBE2187" s="594" t="s">
        <v>1232</v>
      </c>
      <c r="IBF2187" s="594" t="s">
        <v>1232</v>
      </c>
      <c r="IBG2187" s="594" t="s">
        <v>1232</v>
      </c>
      <c r="IBH2187" s="594" t="s">
        <v>1232</v>
      </c>
      <c r="IBI2187" s="594" t="s">
        <v>1232</v>
      </c>
      <c r="IBJ2187" s="594" t="s">
        <v>1232</v>
      </c>
      <c r="IBK2187" s="594" t="s">
        <v>1232</v>
      </c>
      <c r="IBL2187" s="594" t="s">
        <v>1232</v>
      </c>
      <c r="IBM2187" s="594" t="s">
        <v>1232</v>
      </c>
      <c r="IBN2187" s="594" t="s">
        <v>1232</v>
      </c>
      <c r="IBO2187" s="594" t="s">
        <v>1232</v>
      </c>
      <c r="IBP2187" s="594" t="s">
        <v>1232</v>
      </c>
      <c r="IBQ2187" s="594" t="s">
        <v>1232</v>
      </c>
      <c r="IBR2187" s="594" t="s">
        <v>1232</v>
      </c>
      <c r="IBS2187" s="594" t="s">
        <v>1232</v>
      </c>
      <c r="IBT2187" s="594" t="s">
        <v>1232</v>
      </c>
      <c r="IBU2187" s="594" t="s">
        <v>1232</v>
      </c>
      <c r="IBV2187" s="594" t="s">
        <v>1232</v>
      </c>
      <c r="IBW2187" s="594" t="s">
        <v>1232</v>
      </c>
      <c r="IBX2187" s="594" t="s">
        <v>1232</v>
      </c>
      <c r="IBY2187" s="594" t="s">
        <v>1232</v>
      </c>
      <c r="IBZ2187" s="594" t="s">
        <v>1232</v>
      </c>
      <c r="ICA2187" s="594" t="s">
        <v>1232</v>
      </c>
      <c r="ICB2187" s="594" t="s">
        <v>1232</v>
      </c>
      <c r="ICC2187" s="594" t="s">
        <v>1232</v>
      </c>
      <c r="ICD2187" s="594" t="s">
        <v>1232</v>
      </c>
      <c r="ICE2187" s="594" t="s">
        <v>1232</v>
      </c>
      <c r="ICF2187" s="594" t="s">
        <v>1232</v>
      </c>
      <c r="ICG2187" s="594" t="s">
        <v>1232</v>
      </c>
      <c r="ICH2187" s="594" t="s">
        <v>1232</v>
      </c>
      <c r="ICI2187" s="594" t="s">
        <v>1232</v>
      </c>
      <c r="ICJ2187" s="594" t="s">
        <v>1232</v>
      </c>
      <c r="ICK2187" s="594" t="s">
        <v>1232</v>
      </c>
      <c r="ICL2187" s="594" t="s">
        <v>1232</v>
      </c>
      <c r="ICM2187" s="594" t="s">
        <v>1232</v>
      </c>
      <c r="ICN2187" s="594" t="s">
        <v>1232</v>
      </c>
      <c r="ICO2187" s="594" t="s">
        <v>1232</v>
      </c>
      <c r="ICP2187" s="594" t="s">
        <v>1232</v>
      </c>
      <c r="ICQ2187" s="594" t="s">
        <v>1232</v>
      </c>
      <c r="ICR2187" s="594" t="s">
        <v>1232</v>
      </c>
      <c r="ICS2187" s="594" t="s">
        <v>1232</v>
      </c>
      <c r="ICT2187" s="594" t="s">
        <v>1232</v>
      </c>
      <c r="ICU2187" s="594" t="s">
        <v>1232</v>
      </c>
      <c r="ICV2187" s="594" t="s">
        <v>1232</v>
      </c>
      <c r="ICW2187" s="594" t="s">
        <v>1232</v>
      </c>
      <c r="ICX2187" s="594" t="s">
        <v>1232</v>
      </c>
      <c r="ICY2187" s="594" t="s">
        <v>1232</v>
      </c>
      <c r="ICZ2187" s="594" t="s">
        <v>1232</v>
      </c>
      <c r="IDA2187" s="594" t="s">
        <v>1232</v>
      </c>
      <c r="IDB2187" s="594" t="s">
        <v>1232</v>
      </c>
      <c r="IDC2187" s="594" t="s">
        <v>1232</v>
      </c>
      <c r="IDD2187" s="594" t="s">
        <v>1232</v>
      </c>
      <c r="IDE2187" s="594" t="s">
        <v>1232</v>
      </c>
      <c r="IDF2187" s="594" t="s">
        <v>1232</v>
      </c>
      <c r="IDG2187" s="594" t="s">
        <v>1232</v>
      </c>
      <c r="IDH2187" s="594" t="s">
        <v>1232</v>
      </c>
      <c r="IDI2187" s="594" t="s">
        <v>1232</v>
      </c>
      <c r="IDJ2187" s="594" t="s">
        <v>1232</v>
      </c>
      <c r="IDK2187" s="594" t="s">
        <v>1232</v>
      </c>
      <c r="IDL2187" s="594" t="s">
        <v>1232</v>
      </c>
      <c r="IDM2187" s="594" t="s">
        <v>1232</v>
      </c>
      <c r="IDN2187" s="594" t="s">
        <v>1232</v>
      </c>
      <c r="IDO2187" s="594" t="s">
        <v>1232</v>
      </c>
      <c r="IDP2187" s="594" t="s">
        <v>1232</v>
      </c>
      <c r="IDQ2187" s="594" t="s">
        <v>1232</v>
      </c>
      <c r="IDR2187" s="594" t="s">
        <v>1232</v>
      </c>
      <c r="IDS2187" s="594" t="s">
        <v>1232</v>
      </c>
      <c r="IDT2187" s="594" t="s">
        <v>1232</v>
      </c>
      <c r="IDU2187" s="594" t="s">
        <v>1232</v>
      </c>
      <c r="IDV2187" s="594" t="s">
        <v>1232</v>
      </c>
      <c r="IDW2187" s="594" t="s">
        <v>1232</v>
      </c>
      <c r="IDX2187" s="594" t="s">
        <v>1232</v>
      </c>
      <c r="IDY2187" s="594" t="s">
        <v>1232</v>
      </c>
      <c r="IDZ2187" s="594" t="s">
        <v>1232</v>
      </c>
      <c r="IEA2187" s="594" t="s">
        <v>1232</v>
      </c>
      <c r="IEB2187" s="594" t="s">
        <v>1232</v>
      </c>
      <c r="IEC2187" s="594" t="s">
        <v>1232</v>
      </c>
      <c r="IED2187" s="594" t="s">
        <v>1232</v>
      </c>
      <c r="IEE2187" s="594" t="s">
        <v>1232</v>
      </c>
      <c r="IEF2187" s="594" t="s">
        <v>1232</v>
      </c>
      <c r="IEG2187" s="594" t="s">
        <v>1232</v>
      </c>
      <c r="IEH2187" s="594" t="s">
        <v>1232</v>
      </c>
      <c r="IEI2187" s="594" t="s">
        <v>1232</v>
      </c>
      <c r="IEJ2187" s="594" t="s">
        <v>1232</v>
      </c>
      <c r="IEK2187" s="594" t="s">
        <v>1232</v>
      </c>
      <c r="IEL2187" s="594" t="s">
        <v>1232</v>
      </c>
      <c r="IEM2187" s="594" t="s">
        <v>1232</v>
      </c>
      <c r="IEN2187" s="594" t="s">
        <v>1232</v>
      </c>
      <c r="IEO2187" s="594" t="s">
        <v>1232</v>
      </c>
      <c r="IEP2187" s="594" t="s">
        <v>1232</v>
      </c>
      <c r="IEQ2187" s="594" t="s">
        <v>1232</v>
      </c>
      <c r="IER2187" s="594" t="s">
        <v>1232</v>
      </c>
      <c r="IES2187" s="594" t="s">
        <v>1232</v>
      </c>
      <c r="IET2187" s="594" t="s">
        <v>1232</v>
      </c>
      <c r="IEU2187" s="594" t="s">
        <v>1232</v>
      </c>
      <c r="IEV2187" s="594" t="s">
        <v>1232</v>
      </c>
      <c r="IEW2187" s="594" t="s">
        <v>1232</v>
      </c>
      <c r="IEX2187" s="594" t="s">
        <v>1232</v>
      </c>
      <c r="IEY2187" s="594" t="s">
        <v>1232</v>
      </c>
      <c r="IEZ2187" s="594" t="s">
        <v>1232</v>
      </c>
      <c r="IFA2187" s="594" t="s">
        <v>1232</v>
      </c>
      <c r="IFB2187" s="594" t="s">
        <v>1232</v>
      </c>
      <c r="IFC2187" s="594" t="s">
        <v>1232</v>
      </c>
      <c r="IFD2187" s="594" t="s">
        <v>1232</v>
      </c>
      <c r="IFE2187" s="594" t="s">
        <v>1232</v>
      </c>
      <c r="IFF2187" s="594" t="s">
        <v>1232</v>
      </c>
      <c r="IFG2187" s="594" t="s">
        <v>1232</v>
      </c>
      <c r="IFH2187" s="594" t="s">
        <v>1232</v>
      </c>
      <c r="IFI2187" s="594" t="s">
        <v>1232</v>
      </c>
      <c r="IFJ2187" s="594" t="s">
        <v>1232</v>
      </c>
      <c r="IFK2187" s="594" t="s">
        <v>1232</v>
      </c>
      <c r="IFL2187" s="594" t="s">
        <v>1232</v>
      </c>
      <c r="IFM2187" s="594" t="s">
        <v>1232</v>
      </c>
      <c r="IFN2187" s="594" t="s">
        <v>1232</v>
      </c>
      <c r="IFO2187" s="594" t="s">
        <v>1232</v>
      </c>
      <c r="IFP2187" s="594" t="s">
        <v>1232</v>
      </c>
      <c r="IFQ2187" s="594" t="s">
        <v>1232</v>
      </c>
      <c r="IFR2187" s="594" t="s">
        <v>1232</v>
      </c>
      <c r="IFS2187" s="594" t="s">
        <v>1232</v>
      </c>
      <c r="IFT2187" s="594" t="s">
        <v>1232</v>
      </c>
      <c r="IFU2187" s="594" t="s">
        <v>1232</v>
      </c>
      <c r="IFV2187" s="594" t="s">
        <v>1232</v>
      </c>
      <c r="IFW2187" s="594" t="s">
        <v>1232</v>
      </c>
      <c r="IFX2187" s="594" t="s">
        <v>1232</v>
      </c>
      <c r="IFY2187" s="594" t="s">
        <v>1232</v>
      </c>
      <c r="IFZ2187" s="594" t="s">
        <v>1232</v>
      </c>
      <c r="IGA2187" s="594" t="s">
        <v>1232</v>
      </c>
      <c r="IGB2187" s="594" t="s">
        <v>1232</v>
      </c>
      <c r="IGC2187" s="594" t="s">
        <v>1232</v>
      </c>
      <c r="IGD2187" s="594" t="s">
        <v>1232</v>
      </c>
      <c r="IGE2187" s="594" t="s">
        <v>1232</v>
      </c>
      <c r="IGF2187" s="594" t="s">
        <v>1232</v>
      </c>
      <c r="IGG2187" s="594" t="s">
        <v>1232</v>
      </c>
      <c r="IGH2187" s="594" t="s">
        <v>1232</v>
      </c>
      <c r="IGI2187" s="594" t="s">
        <v>1232</v>
      </c>
      <c r="IGJ2187" s="594" t="s">
        <v>1232</v>
      </c>
      <c r="IGK2187" s="594" t="s">
        <v>1232</v>
      </c>
      <c r="IGL2187" s="594" t="s">
        <v>1232</v>
      </c>
      <c r="IGM2187" s="594" t="s">
        <v>1232</v>
      </c>
      <c r="IGN2187" s="594" t="s">
        <v>1232</v>
      </c>
      <c r="IGO2187" s="594" t="s">
        <v>1232</v>
      </c>
      <c r="IGP2187" s="594" t="s">
        <v>1232</v>
      </c>
      <c r="IGQ2187" s="594" t="s">
        <v>1232</v>
      </c>
      <c r="IGR2187" s="594" t="s">
        <v>1232</v>
      </c>
      <c r="IGS2187" s="594" t="s">
        <v>1232</v>
      </c>
      <c r="IGT2187" s="594" t="s">
        <v>1232</v>
      </c>
      <c r="IGU2187" s="594" t="s">
        <v>1232</v>
      </c>
      <c r="IGV2187" s="594" t="s">
        <v>1232</v>
      </c>
      <c r="IGW2187" s="594" t="s">
        <v>1232</v>
      </c>
      <c r="IGX2187" s="594" t="s">
        <v>1232</v>
      </c>
      <c r="IGY2187" s="594" t="s">
        <v>1232</v>
      </c>
      <c r="IGZ2187" s="594" t="s">
        <v>1232</v>
      </c>
      <c r="IHA2187" s="594" t="s">
        <v>1232</v>
      </c>
      <c r="IHB2187" s="594" t="s">
        <v>1232</v>
      </c>
      <c r="IHC2187" s="594" t="s">
        <v>1232</v>
      </c>
      <c r="IHD2187" s="594" t="s">
        <v>1232</v>
      </c>
      <c r="IHE2187" s="594" t="s">
        <v>1232</v>
      </c>
      <c r="IHF2187" s="594" t="s">
        <v>1232</v>
      </c>
      <c r="IHG2187" s="594" t="s">
        <v>1232</v>
      </c>
      <c r="IHH2187" s="594" t="s">
        <v>1232</v>
      </c>
      <c r="IHI2187" s="594" t="s">
        <v>1232</v>
      </c>
      <c r="IHJ2187" s="594" t="s">
        <v>1232</v>
      </c>
      <c r="IHK2187" s="594" t="s">
        <v>1232</v>
      </c>
      <c r="IHL2187" s="594" t="s">
        <v>1232</v>
      </c>
      <c r="IHM2187" s="594" t="s">
        <v>1232</v>
      </c>
      <c r="IHN2187" s="594" t="s">
        <v>1232</v>
      </c>
      <c r="IHO2187" s="594" t="s">
        <v>1232</v>
      </c>
      <c r="IHP2187" s="594" t="s">
        <v>1232</v>
      </c>
      <c r="IHQ2187" s="594" t="s">
        <v>1232</v>
      </c>
      <c r="IHR2187" s="594" t="s">
        <v>1232</v>
      </c>
      <c r="IHS2187" s="594" t="s">
        <v>1232</v>
      </c>
      <c r="IHT2187" s="594" t="s">
        <v>1232</v>
      </c>
      <c r="IHU2187" s="594" t="s">
        <v>1232</v>
      </c>
      <c r="IHV2187" s="594" t="s">
        <v>1232</v>
      </c>
      <c r="IHW2187" s="594" t="s">
        <v>1232</v>
      </c>
      <c r="IHX2187" s="594" t="s">
        <v>1232</v>
      </c>
      <c r="IHY2187" s="594" t="s">
        <v>1232</v>
      </c>
      <c r="IHZ2187" s="594" t="s">
        <v>1232</v>
      </c>
      <c r="IIA2187" s="594" t="s">
        <v>1232</v>
      </c>
      <c r="IIB2187" s="594" t="s">
        <v>1232</v>
      </c>
      <c r="IIC2187" s="594" t="s">
        <v>1232</v>
      </c>
      <c r="IID2187" s="594" t="s">
        <v>1232</v>
      </c>
      <c r="IIE2187" s="594" t="s">
        <v>1232</v>
      </c>
      <c r="IIF2187" s="594" t="s">
        <v>1232</v>
      </c>
      <c r="IIG2187" s="594" t="s">
        <v>1232</v>
      </c>
      <c r="IIH2187" s="594" t="s">
        <v>1232</v>
      </c>
      <c r="III2187" s="594" t="s">
        <v>1232</v>
      </c>
      <c r="IIJ2187" s="594" t="s">
        <v>1232</v>
      </c>
      <c r="IIK2187" s="594" t="s">
        <v>1232</v>
      </c>
      <c r="IIL2187" s="594" t="s">
        <v>1232</v>
      </c>
      <c r="IIM2187" s="594" t="s">
        <v>1232</v>
      </c>
      <c r="IIN2187" s="594" t="s">
        <v>1232</v>
      </c>
      <c r="IIO2187" s="594" t="s">
        <v>1232</v>
      </c>
      <c r="IIP2187" s="594" t="s">
        <v>1232</v>
      </c>
      <c r="IIQ2187" s="594" t="s">
        <v>1232</v>
      </c>
      <c r="IIR2187" s="594" t="s">
        <v>1232</v>
      </c>
      <c r="IIS2187" s="594" t="s">
        <v>1232</v>
      </c>
      <c r="IIT2187" s="594" t="s">
        <v>1232</v>
      </c>
      <c r="IIU2187" s="594" t="s">
        <v>1232</v>
      </c>
      <c r="IIV2187" s="594" t="s">
        <v>1232</v>
      </c>
      <c r="IIW2187" s="594" t="s">
        <v>1232</v>
      </c>
      <c r="IIX2187" s="594" t="s">
        <v>1232</v>
      </c>
      <c r="IIY2187" s="594" t="s">
        <v>1232</v>
      </c>
      <c r="IIZ2187" s="594" t="s">
        <v>1232</v>
      </c>
      <c r="IJA2187" s="594" t="s">
        <v>1232</v>
      </c>
      <c r="IJB2187" s="594" t="s">
        <v>1232</v>
      </c>
      <c r="IJC2187" s="594" t="s">
        <v>1232</v>
      </c>
      <c r="IJD2187" s="594" t="s">
        <v>1232</v>
      </c>
      <c r="IJE2187" s="594" t="s">
        <v>1232</v>
      </c>
      <c r="IJF2187" s="594" t="s">
        <v>1232</v>
      </c>
      <c r="IJG2187" s="594" t="s">
        <v>1232</v>
      </c>
      <c r="IJH2187" s="594" t="s">
        <v>1232</v>
      </c>
      <c r="IJI2187" s="594" t="s">
        <v>1232</v>
      </c>
      <c r="IJJ2187" s="594" t="s">
        <v>1232</v>
      </c>
      <c r="IJK2187" s="594" t="s">
        <v>1232</v>
      </c>
      <c r="IJL2187" s="594" t="s">
        <v>1232</v>
      </c>
      <c r="IJM2187" s="594" t="s">
        <v>1232</v>
      </c>
      <c r="IJN2187" s="594" t="s">
        <v>1232</v>
      </c>
      <c r="IJO2187" s="594" t="s">
        <v>1232</v>
      </c>
      <c r="IJP2187" s="594" t="s">
        <v>1232</v>
      </c>
      <c r="IJQ2187" s="594" t="s">
        <v>1232</v>
      </c>
      <c r="IJR2187" s="594" t="s">
        <v>1232</v>
      </c>
      <c r="IJS2187" s="594" t="s">
        <v>1232</v>
      </c>
      <c r="IJT2187" s="594" t="s">
        <v>1232</v>
      </c>
      <c r="IJU2187" s="594" t="s">
        <v>1232</v>
      </c>
      <c r="IJV2187" s="594" t="s">
        <v>1232</v>
      </c>
      <c r="IJW2187" s="594" t="s">
        <v>1232</v>
      </c>
      <c r="IJX2187" s="594" t="s">
        <v>1232</v>
      </c>
      <c r="IJY2187" s="594" t="s">
        <v>1232</v>
      </c>
      <c r="IJZ2187" s="594" t="s">
        <v>1232</v>
      </c>
      <c r="IKA2187" s="594" t="s">
        <v>1232</v>
      </c>
      <c r="IKB2187" s="594" t="s">
        <v>1232</v>
      </c>
      <c r="IKC2187" s="594" t="s">
        <v>1232</v>
      </c>
      <c r="IKD2187" s="594" t="s">
        <v>1232</v>
      </c>
      <c r="IKE2187" s="594" t="s">
        <v>1232</v>
      </c>
      <c r="IKF2187" s="594" t="s">
        <v>1232</v>
      </c>
      <c r="IKG2187" s="594" t="s">
        <v>1232</v>
      </c>
      <c r="IKH2187" s="594" t="s">
        <v>1232</v>
      </c>
      <c r="IKI2187" s="594" t="s">
        <v>1232</v>
      </c>
      <c r="IKJ2187" s="594" t="s">
        <v>1232</v>
      </c>
      <c r="IKK2187" s="594" t="s">
        <v>1232</v>
      </c>
      <c r="IKL2187" s="594" t="s">
        <v>1232</v>
      </c>
      <c r="IKM2187" s="594" t="s">
        <v>1232</v>
      </c>
      <c r="IKN2187" s="594" t="s">
        <v>1232</v>
      </c>
      <c r="IKO2187" s="594" t="s">
        <v>1232</v>
      </c>
      <c r="IKP2187" s="594" t="s">
        <v>1232</v>
      </c>
      <c r="IKQ2187" s="594" t="s">
        <v>1232</v>
      </c>
      <c r="IKR2187" s="594" t="s">
        <v>1232</v>
      </c>
      <c r="IKS2187" s="594" t="s">
        <v>1232</v>
      </c>
      <c r="IKT2187" s="594" t="s">
        <v>1232</v>
      </c>
      <c r="IKU2187" s="594" t="s">
        <v>1232</v>
      </c>
      <c r="IKV2187" s="594" t="s">
        <v>1232</v>
      </c>
      <c r="IKW2187" s="594" t="s">
        <v>1232</v>
      </c>
      <c r="IKX2187" s="594" t="s">
        <v>1232</v>
      </c>
      <c r="IKY2187" s="594" t="s">
        <v>1232</v>
      </c>
      <c r="IKZ2187" s="594" t="s">
        <v>1232</v>
      </c>
      <c r="ILA2187" s="594" t="s">
        <v>1232</v>
      </c>
      <c r="ILB2187" s="594" t="s">
        <v>1232</v>
      </c>
      <c r="ILC2187" s="594" t="s">
        <v>1232</v>
      </c>
      <c r="ILD2187" s="594" t="s">
        <v>1232</v>
      </c>
      <c r="ILE2187" s="594" t="s">
        <v>1232</v>
      </c>
      <c r="ILF2187" s="594" t="s">
        <v>1232</v>
      </c>
      <c r="ILG2187" s="594" t="s">
        <v>1232</v>
      </c>
      <c r="ILH2187" s="594" t="s">
        <v>1232</v>
      </c>
      <c r="ILI2187" s="594" t="s">
        <v>1232</v>
      </c>
      <c r="ILJ2187" s="594" t="s">
        <v>1232</v>
      </c>
      <c r="ILK2187" s="594" t="s">
        <v>1232</v>
      </c>
      <c r="ILL2187" s="594" t="s">
        <v>1232</v>
      </c>
      <c r="ILM2187" s="594" t="s">
        <v>1232</v>
      </c>
      <c r="ILN2187" s="594" t="s">
        <v>1232</v>
      </c>
      <c r="ILO2187" s="594" t="s">
        <v>1232</v>
      </c>
      <c r="ILP2187" s="594" t="s">
        <v>1232</v>
      </c>
      <c r="ILQ2187" s="594" t="s">
        <v>1232</v>
      </c>
      <c r="ILR2187" s="594" t="s">
        <v>1232</v>
      </c>
      <c r="ILS2187" s="594" t="s">
        <v>1232</v>
      </c>
      <c r="ILT2187" s="594" t="s">
        <v>1232</v>
      </c>
      <c r="ILU2187" s="594" t="s">
        <v>1232</v>
      </c>
      <c r="ILV2187" s="594" t="s">
        <v>1232</v>
      </c>
      <c r="ILW2187" s="594" t="s">
        <v>1232</v>
      </c>
      <c r="ILX2187" s="594" t="s">
        <v>1232</v>
      </c>
      <c r="ILY2187" s="594" t="s">
        <v>1232</v>
      </c>
      <c r="ILZ2187" s="594" t="s">
        <v>1232</v>
      </c>
      <c r="IMA2187" s="594" t="s">
        <v>1232</v>
      </c>
      <c r="IMB2187" s="594" t="s">
        <v>1232</v>
      </c>
      <c r="IMC2187" s="594" t="s">
        <v>1232</v>
      </c>
      <c r="IMD2187" s="594" t="s">
        <v>1232</v>
      </c>
      <c r="IME2187" s="594" t="s">
        <v>1232</v>
      </c>
      <c r="IMF2187" s="594" t="s">
        <v>1232</v>
      </c>
      <c r="IMG2187" s="594" t="s">
        <v>1232</v>
      </c>
      <c r="IMH2187" s="594" t="s">
        <v>1232</v>
      </c>
      <c r="IMI2187" s="594" t="s">
        <v>1232</v>
      </c>
      <c r="IMJ2187" s="594" t="s">
        <v>1232</v>
      </c>
      <c r="IMK2187" s="594" t="s">
        <v>1232</v>
      </c>
      <c r="IML2187" s="594" t="s">
        <v>1232</v>
      </c>
      <c r="IMM2187" s="594" t="s">
        <v>1232</v>
      </c>
      <c r="IMN2187" s="594" t="s">
        <v>1232</v>
      </c>
      <c r="IMO2187" s="594" t="s">
        <v>1232</v>
      </c>
      <c r="IMP2187" s="594" t="s">
        <v>1232</v>
      </c>
      <c r="IMQ2187" s="594" t="s">
        <v>1232</v>
      </c>
      <c r="IMR2187" s="594" t="s">
        <v>1232</v>
      </c>
      <c r="IMS2187" s="594" t="s">
        <v>1232</v>
      </c>
      <c r="IMT2187" s="594" t="s">
        <v>1232</v>
      </c>
      <c r="IMU2187" s="594" t="s">
        <v>1232</v>
      </c>
      <c r="IMV2187" s="594" t="s">
        <v>1232</v>
      </c>
      <c r="IMW2187" s="594" t="s">
        <v>1232</v>
      </c>
      <c r="IMX2187" s="594" t="s">
        <v>1232</v>
      </c>
      <c r="IMY2187" s="594" t="s">
        <v>1232</v>
      </c>
      <c r="IMZ2187" s="594" t="s">
        <v>1232</v>
      </c>
      <c r="INA2187" s="594" t="s">
        <v>1232</v>
      </c>
      <c r="INB2187" s="594" t="s">
        <v>1232</v>
      </c>
      <c r="INC2187" s="594" t="s">
        <v>1232</v>
      </c>
      <c r="IND2187" s="594" t="s">
        <v>1232</v>
      </c>
      <c r="INE2187" s="594" t="s">
        <v>1232</v>
      </c>
      <c r="INF2187" s="594" t="s">
        <v>1232</v>
      </c>
      <c r="ING2187" s="594" t="s">
        <v>1232</v>
      </c>
      <c r="INH2187" s="594" t="s">
        <v>1232</v>
      </c>
      <c r="INI2187" s="594" t="s">
        <v>1232</v>
      </c>
      <c r="INJ2187" s="594" t="s">
        <v>1232</v>
      </c>
      <c r="INK2187" s="594" t="s">
        <v>1232</v>
      </c>
      <c r="INL2187" s="594" t="s">
        <v>1232</v>
      </c>
      <c r="INM2187" s="594" t="s">
        <v>1232</v>
      </c>
      <c r="INN2187" s="594" t="s">
        <v>1232</v>
      </c>
      <c r="INO2187" s="594" t="s">
        <v>1232</v>
      </c>
      <c r="INP2187" s="594" t="s">
        <v>1232</v>
      </c>
      <c r="INQ2187" s="594" t="s">
        <v>1232</v>
      </c>
      <c r="INR2187" s="594" t="s">
        <v>1232</v>
      </c>
      <c r="INS2187" s="594" t="s">
        <v>1232</v>
      </c>
      <c r="INT2187" s="594" t="s">
        <v>1232</v>
      </c>
      <c r="INU2187" s="594" t="s">
        <v>1232</v>
      </c>
      <c r="INV2187" s="594" t="s">
        <v>1232</v>
      </c>
      <c r="INW2187" s="594" t="s">
        <v>1232</v>
      </c>
      <c r="INX2187" s="594" t="s">
        <v>1232</v>
      </c>
      <c r="INY2187" s="594" t="s">
        <v>1232</v>
      </c>
      <c r="INZ2187" s="594" t="s">
        <v>1232</v>
      </c>
      <c r="IOA2187" s="594" t="s">
        <v>1232</v>
      </c>
      <c r="IOB2187" s="594" t="s">
        <v>1232</v>
      </c>
      <c r="IOC2187" s="594" t="s">
        <v>1232</v>
      </c>
      <c r="IOD2187" s="594" t="s">
        <v>1232</v>
      </c>
      <c r="IOE2187" s="594" t="s">
        <v>1232</v>
      </c>
      <c r="IOF2187" s="594" t="s">
        <v>1232</v>
      </c>
      <c r="IOG2187" s="594" t="s">
        <v>1232</v>
      </c>
      <c r="IOH2187" s="594" t="s">
        <v>1232</v>
      </c>
      <c r="IOI2187" s="594" t="s">
        <v>1232</v>
      </c>
      <c r="IOJ2187" s="594" t="s">
        <v>1232</v>
      </c>
      <c r="IOK2187" s="594" t="s">
        <v>1232</v>
      </c>
      <c r="IOL2187" s="594" t="s">
        <v>1232</v>
      </c>
      <c r="IOM2187" s="594" t="s">
        <v>1232</v>
      </c>
      <c r="ION2187" s="594" t="s">
        <v>1232</v>
      </c>
      <c r="IOO2187" s="594" t="s">
        <v>1232</v>
      </c>
      <c r="IOP2187" s="594" t="s">
        <v>1232</v>
      </c>
      <c r="IOQ2187" s="594" t="s">
        <v>1232</v>
      </c>
      <c r="IOR2187" s="594" t="s">
        <v>1232</v>
      </c>
      <c r="IOS2187" s="594" t="s">
        <v>1232</v>
      </c>
      <c r="IOT2187" s="594" t="s">
        <v>1232</v>
      </c>
      <c r="IOU2187" s="594" t="s">
        <v>1232</v>
      </c>
      <c r="IOV2187" s="594" t="s">
        <v>1232</v>
      </c>
      <c r="IOW2187" s="594" t="s">
        <v>1232</v>
      </c>
      <c r="IOX2187" s="594" t="s">
        <v>1232</v>
      </c>
      <c r="IOY2187" s="594" t="s">
        <v>1232</v>
      </c>
      <c r="IOZ2187" s="594" t="s">
        <v>1232</v>
      </c>
      <c r="IPA2187" s="594" t="s">
        <v>1232</v>
      </c>
      <c r="IPB2187" s="594" t="s">
        <v>1232</v>
      </c>
      <c r="IPC2187" s="594" t="s">
        <v>1232</v>
      </c>
      <c r="IPD2187" s="594" t="s">
        <v>1232</v>
      </c>
      <c r="IPE2187" s="594" t="s">
        <v>1232</v>
      </c>
      <c r="IPF2187" s="594" t="s">
        <v>1232</v>
      </c>
      <c r="IPG2187" s="594" t="s">
        <v>1232</v>
      </c>
      <c r="IPH2187" s="594" t="s">
        <v>1232</v>
      </c>
      <c r="IPI2187" s="594" t="s">
        <v>1232</v>
      </c>
      <c r="IPJ2187" s="594" t="s">
        <v>1232</v>
      </c>
      <c r="IPK2187" s="594" t="s">
        <v>1232</v>
      </c>
      <c r="IPL2187" s="594" t="s">
        <v>1232</v>
      </c>
      <c r="IPM2187" s="594" t="s">
        <v>1232</v>
      </c>
      <c r="IPN2187" s="594" t="s">
        <v>1232</v>
      </c>
      <c r="IPO2187" s="594" t="s">
        <v>1232</v>
      </c>
      <c r="IPP2187" s="594" t="s">
        <v>1232</v>
      </c>
      <c r="IPQ2187" s="594" t="s">
        <v>1232</v>
      </c>
      <c r="IPR2187" s="594" t="s">
        <v>1232</v>
      </c>
      <c r="IPS2187" s="594" t="s">
        <v>1232</v>
      </c>
      <c r="IPT2187" s="594" t="s">
        <v>1232</v>
      </c>
      <c r="IPU2187" s="594" t="s">
        <v>1232</v>
      </c>
      <c r="IPV2187" s="594" t="s">
        <v>1232</v>
      </c>
      <c r="IPW2187" s="594" t="s">
        <v>1232</v>
      </c>
      <c r="IPX2187" s="594" t="s">
        <v>1232</v>
      </c>
      <c r="IPY2187" s="594" t="s">
        <v>1232</v>
      </c>
      <c r="IPZ2187" s="594" t="s">
        <v>1232</v>
      </c>
      <c r="IQA2187" s="594" t="s">
        <v>1232</v>
      </c>
      <c r="IQB2187" s="594" t="s">
        <v>1232</v>
      </c>
      <c r="IQC2187" s="594" t="s">
        <v>1232</v>
      </c>
      <c r="IQD2187" s="594" t="s">
        <v>1232</v>
      </c>
      <c r="IQE2187" s="594" t="s">
        <v>1232</v>
      </c>
      <c r="IQF2187" s="594" t="s">
        <v>1232</v>
      </c>
      <c r="IQG2187" s="594" t="s">
        <v>1232</v>
      </c>
      <c r="IQH2187" s="594" t="s">
        <v>1232</v>
      </c>
      <c r="IQI2187" s="594" t="s">
        <v>1232</v>
      </c>
      <c r="IQJ2187" s="594" t="s">
        <v>1232</v>
      </c>
      <c r="IQK2187" s="594" t="s">
        <v>1232</v>
      </c>
      <c r="IQL2187" s="594" t="s">
        <v>1232</v>
      </c>
      <c r="IQM2187" s="594" t="s">
        <v>1232</v>
      </c>
      <c r="IQN2187" s="594" t="s">
        <v>1232</v>
      </c>
      <c r="IQO2187" s="594" t="s">
        <v>1232</v>
      </c>
      <c r="IQP2187" s="594" t="s">
        <v>1232</v>
      </c>
      <c r="IQQ2187" s="594" t="s">
        <v>1232</v>
      </c>
      <c r="IQR2187" s="594" t="s">
        <v>1232</v>
      </c>
      <c r="IQS2187" s="594" t="s">
        <v>1232</v>
      </c>
      <c r="IQT2187" s="594" t="s">
        <v>1232</v>
      </c>
      <c r="IQU2187" s="594" t="s">
        <v>1232</v>
      </c>
      <c r="IQV2187" s="594" t="s">
        <v>1232</v>
      </c>
      <c r="IQW2187" s="594" t="s">
        <v>1232</v>
      </c>
      <c r="IQX2187" s="594" t="s">
        <v>1232</v>
      </c>
      <c r="IQY2187" s="594" t="s">
        <v>1232</v>
      </c>
      <c r="IQZ2187" s="594" t="s">
        <v>1232</v>
      </c>
      <c r="IRA2187" s="594" t="s">
        <v>1232</v>
      </c>
      <c r="IRB2187" s="594" t="s">
        <v>1232</v>
      </c>
      <c r="IRC2187" s="594" t="s">
        <v>1232</v>
      </c>
      <c r="IRD2187" s="594" t="s">
        <v>1232</v>
      </c>
      <c r="IRE2187" s="594" t="s">
        <v>1232</v>
      </c>
      <c r="IRF2187" s="594" t="s">
        <v>1232</v>
      </c>
      <c r="IRG2187" s="594" t="s">
        <v>1232</v>
      </c>
      <c r="IRH2187" s="594" t="s">
        <v>1232</v>
      </c>
      <c r="IRI2187" s="594" t="s">
        <v>1232</v>
      </c>
      <c r="IRJ2187" s="594" t="s">
        <v>1232</v>
      </c>
      <c r="IRK2187" s="594" t="s">
        <v>1232</v>
      </c>
      <c r="IRL2187" s="594" t="s">
        <v>1232</v>
      </c>
      <c r="IRM2187" s="594" t="s">
        <v>1232</v>
      </c>
      <c r="IRN2187" s="594" t="s">
        <v>1232</v>
      </c>
      <c r="IRO2187" s="594" t="s">
        <v>1232</v>
      </c>
      <c r="IRP2187" s="594" t="s">
        <v>1232</v>
      </c>
      <c r="IRQ2187" s="594" t="s">
        <v>1232</v>
      </c>
      <c r="IRR2187" s="594" t="s">
        <v>1232</v>
      </c>
      <c r="IRS2187" s="594" t="s">
        <v>1232</v>
      </c>
      <c r="IRT2187" s="594" t="s">
        <v>1232</v>
      </c>
      <c r="IRU2187" s="594" t="s">
        <v>1232</v>
      </c>
      <c r="IRV2187" s="594" t="s">
        <v>1232</v>
      </c>
      <c r="IRW2187" s="594" t="s">
        <v>1232</v>
      </c>
      <c r="IRX2187" s="594" t="s">
        <v>1232</v>
      </c>
      <c r="IRY2187" s="594" t="s">
        <v>1232</v>
      </c>
      <c r="IRZ2187" s="594" t="s">
        <v>1232</v>
      </c>
      <c r="ISA2187" s="594" t="s">
        <v>1232</v>
      </c>
      <c r="ISB2187" s="594" t="s">
        <v>1232</v>
      </c>
      <c r="ISC2187" s="594" t="s">
        <v>1232</v>
      </c>
      <c r="ISD2187" s="594" t="s">
        <v>1232</v>
      </c>
      <c r="ISE2187" s="594" t="s">
        <v>1232</v>
      </c>
      <c r="ISF2187" s="594" t="s">
        <v>1232</v>
      </c>
      <c r="ISG2187" s="594" t="s">
        <v>1232</v>
      </c>
      <c r="ISH2187" s="594" t="s">
        <v>1232</v>
      </c>
      <c r="ISI2187" s="594" t="s">
        <v>1232</v>
      </c>
      <c r="ISJ2187" s="594" t="s">
        <v>1232</v>
      </c>
      <c r="ISK2187" s="594" t="s">
        <v>1232</v>
      </c>
      <c r="ISL2187" s="594" t="s">
        <v>1232</v>
      </c>
      <c r="ISM2187" s="594" t="s">
        <v>1232</v>
      </c>
      <c r="ISN2187" s="594" t="s">
        <v>1232</v>
      </c>
      <c r="ISO2187" s="594" t="s">
        <v>1232</v>
      </c>
      <c r="ISP2187" s="594" t="s">
        <v>1232</v>
      </c>
      <c r="ISQ2187" s="594" t="s">
        <v>1232</v>
      </c>
      <c r="ISR2187" s="594" t="s">
        <v>1232</v>
      </c>
      <c r="ISS2187" s="594" t="s">
        <v>1232</v>
      </c>
      <c r="IST2187" s="594" t="s">
        <v>1232</v>
      </c>
      <c r="ISU2187" s="594" t="s">
        <v>1232</v>
      </c>
      <c r="ISV2187" s="594" t="s">
        <v>1232</v>
      </c>
      <c r="ISW2187" s="594" t="s">
        <v>1232</v>
      </c>
      <c r="ISX2187" s="594" t="s">
        <v>1232</v>
      </c>
      <c r="ISY2187" s="594" t="s">
        <v>1232</v>
      </c>
      <c r="ISZ2187" s="594" t="s">
        <v>1232</v>
      </c>
      <c r="ITA2187" s="594" t="s">
        <v>1232</v>
      </c>
      <c r="ITB2187" s="594" t="s">
        <v>1232</v>
      </c>
      <c r="ITC2187" s="594" t="s">
        <v>1232</v>
      </c>
      <c r="ITD2187" s="594" t="s">
        <v>1232</v>
      </c>
      <c r="ITE2187" s="594" t="s">
        <v>1232</v>
      </c>
      <c r="ITF2187" s="594" t="s">
        <v>1232</v>
      </c>
      <c r="ITG2187" s="594" t="s">
        <v>1232</v>
      </c>
      <c r="ITH2187" s="594" t="s">
        <v>1232</v>
      </c>
      <c r="ITI2187" s="594" t="s">
        <v>1232</v>
      </c>
      <c r="ITJ2187" s="594" t="s">
        <v>1232</v>
      </c>
      <c r="ITK2187" s="594" t="s">
        <v>1232</v>
      </c>
      <c r="ITL2187" s="594" t="s">
        <v>1232</v>
      </c>
      <c r="ITM2187" s="594" t="s">
        <v>1232</v>
      </c>
      <c r="ITN2187" s="594" t="s">
        <v>1232</v>
      </c>
      <c r="ITO2187" s="594" t="s">
        <v>1232</v>
      </c>
      <c r="ITP2187" s="594" t="s">
        <v>1232</v>
      </c>
      <c r="ITQ2187" s="594" t="s">
        <v>1232</v>
      </c>
      <c r="ITR2187" s="594" t="s">
        <v>1232</v>
      </c>
      <c r="ITS2187" s="594" t="s">
        <v>1232</v>
      </c>
      <c r="ITT2187" s="594" t="s">
        <v>1232</v>
      </c>
      <c r="ITU2187" s="594" t="s">
        <v>1232</v>
      </c>
      <c r="ITV2187" s="594" t="s">
        <v>1232</v>
      </c>
      <c r="ITW2187" s="594" t="s">
        <v>1232</v>
      </c>
      <c r="ITX2187" s="594" t="s">
        <v>1232</v>
      </c>
      <c r="ITY2187" s="594" t="s">
        <v>1232</v>
      </c>
      <c r="ITZ2187" s="594" t="s">
        <v>1232</v>
      </c>
      <c r="IUA2187" s="594" t="s">
        <v>1232</v>
      </c>
      <c r="IUB2187" s="594" t="s">
        <v>1232</v>
      </c>
      <c r="IUC2187" s="594" t="s">
        <v>1232</v>
      </c>
      <c r="IUD2187" s="594" t="s">
        <v>1232</v>
      </c>
      <c r="IUE2187" s="594" t="s">
        <v>1232</v>
      </c>
      <c r="IUF2187" s="594" t="s">
        <v>1232</v>
      </c>
      <c r="IUG2187" s="594" t="s">
        <v>1232</v>
      </c>
      <c r="IUH2187" s="594" t="s">
        <v>1232</v>
      </c>
      <c r="IUI2187" s="594" t="s">
        <v>1232</v>
      </c>
      <c r="IUJ2187" s="594" t="s">
        <v>1232</v>
      </c>
      <c r="IUK2187" s="594" t="s">
        <v>1232</v>
      </c>
      <c r="IUL2187" s="594" t="s">
        <v>1232</v>
      </c>
      <c r="IUM2187" s="594" t="s">
        <v>1232</v>
      </c>
      <c r="IUN2187" s="594" t="s">
        <v>1232</v>
      </c>
      <c r="IUO2187" s="594" t="s">
        <v>1232</v>
      </c>
      <c r="IUP2187" s="594" t="s">
        <v>1232</v>
      </c>
      <c r="IUQ2187" s="594" t="s">
        <v>1232</v>
      </c>
      <c r="IUR2187" s="594" t="s">
        <v>1232</v>
      </c>
      <c r="IUS2187" s="594" t="s">
        <v>1232</v>
      </c>
      <c r="IUT2187" s="594" t="s">
        <v>1232</v>
      </c>
      <c r="IUU2187" s="594" t="s">
        <v>1232</v>
      </c>
      <c r="IUV2187" s="594" t="s">
        <v>1232</v>
      </c>
      <c r="IUW2187" s="594" t="s">
        <v>1232</v>
      </c>
      <c r="IUX2187" s="594" t="s">
        <v>1232</v>
      </c>
      <c r="IUY2187" s="594" t="s">
        <v>1232</v>
      </c>
      <c r="IUZ2187" s="594" t="s">
        <v>1232</v>
      </c>
      <c r="IVA2187" s="594" t="s">
        <v>1232</v>
      </c>
      <c r="IVB2187" s="594" t="s">
        <v>1232</v>
      </c>
      <c r="IVC2187" s="594" t="s">
        <v>1232</v>
      </c>
      <c r="IVD2187" s="594" t="s">
        <v>1232</v>
      </c>
      <c r="IVE2187" s="594" t="s">
        <v>1232</v>
      </c>
      <c r="IVF2187" s="594" t="s">
        <v>1232</v>
      </c>
      <c r="IVG2187" s="594" t="s">
        <v>1232</v>
      </c>
      <c r="IVH2187" s="594" t="s">
        <v>1232</v>
      </c>
      <c r="IVI2187" s="594" t="s">
        <v>1232</v>
      </c>
      <c r="IVJ2187" s="594" t="s">
        <v>1232</v>
      </c>
      <c r="IVK2187" s="594" t="s">
        <v>1232</v>
      </c>
      <c r="IVL2187" s="594" t="s">
        <v>1232</v>
      </c>
      <c r="IVM2187" s="594" t="s">
        <v>1232</v>
      </c>
      <c r="IVN2187" s="594" t="s">
        <v>1232</v>
      </c>
      <c r="IVO2187" s="594" t="s">
        <v>1232</v>
      </c>
      <c r="IVP2187" s="594" t="s">
        <v>1232</v>
      </c>
      <c r="IVQ2187" s="594" t="s">
        <v>1232</v>
      </c>
      <c r="IVR2187" s="594" t="s">
        <v>1232</v>
      </c>
      <c r="IVS2187" s="594" t="s">
        <v>1232</v>
      </c>
      <c r="IVT2187" s="594" t="s">
        <v>1232</v>
      </c>
      <c r="IVU2187" s="594" t="s">
        <v>1232</v>
      </c>
      <c r="IVV2187" s="594" t="s">
        <v>1232</v>
      </c>
      <c r="IVW2187" s="594" t="s">
        <v>1232</v>
      </c>
      <c r="IVX2187" s="594" t="s">
        <v>1232</v>
      </c>
      <c r="IVY2187" s="594" t="s">
        <v>1232</v>
      </c>
      <c r="IVZ2187" s="594" t="s">
        <v>1232</v>
      </c>
      <c r="IWA2187" s="594" t="s">
        <v>1232</v>
      </c>
      <c r="IWB2187" s="594" t="s">
        <v>1232</v>
      </c>
      <c r="IWC2187" s="594" t="s">
        <v>1232</v>
      </c>
      <c r="IWD2187" s="594" t="s">
        <v>1232</v>
      </c>
      <c r="IWE2187" s="594" t="s">
        <v>1232</v>
      </c>
      <c r="IWF2187" s="594" t="s">
        <v>1232</v>
      </c>
      <c r="IWG2187" s="594" t="s">
        <v>1232</v>
      </c>
      <c r="IWH2187" s="594" t="s">
        <v>1232</v>
      </c>
      <c r="IWI2187" s="594" t="s">
        <v>1232</v>
      </c>
      <c r="IWJ2187" s="594" t="s">
        <v>1232</v>
      </c>
      <c r="IWK2187" s="594" t="s">
        <v>1232</v>
      </c>
      <c r="IWL2187" s="594" t="s">
        <v>1232</v>
      </c>
      <c r="IWM2187" s="594" t="s">
        <v>1232</v>
      </c>
      <c r="IWN2187" s="594" t="s">
        <v>1232</v>
      </c>
      <c r="IWO2187" s="594" t="s">
        <v>1232</v>
      </c>
      <c r="IWP2187" s="594" t="s">
        <v>1232</v>
      </c>
      <c r="IWQ2187" s="594" t="s">
        <v>1232</v>
      </c>
      <c r="IWR2187" s="594" t="s">
        <v>1232</v>
      </c>
      <c r="IWS2187" s="594" t="s">
        <v>1232</v>
      </c>
      <c r="IWT2187" s="594" t="s">
        <v>1232</v>
      </c>
      <c r="IWU2187" s="594" t="s">
        <v>1232</v>
      </c>
      <c r="IWV2187" s="594" t="s">
        <v>1232</v>
      </c>
      <c r="IWW2187" s="594" t="s">
        <v>1232</v>
      </c>
      <c r="IWX2187" s="594" t="s">
        <v>1232</v>
      </c>
      <c r="IWY2187" s="594" t="s">
        <v>1232</v>
      </c>
      <c r="IWZ2187" s="594" t="s">
        <v>1232</v>
      </c>
      <c r="IXA2187" s="594" t="s">
        <v>1232</v>
      </c>
      <c r="IXB2187" s="594" t="s">
        <v>1232</v>
      </c>
      <c r="IXC2187" s="594" t="s">
        <v>1232</v>
      </c>
      <c r="IXD2187" s="594" t="s">
        <v>1232</v>
      </c>
      <c r="IXE2187" s="594" t="s">
        <v>1232</v>
      </c>
      <c r="IXF2187" s="594" t="s">
        <v>1232</v>
      </c>
      <c r="IXG2187" s="594" t="s">
        <v>1232</v>
      </c>
      <c r="IXH2187" s="594" t="s">
        <v>1232</v>
      </c>
      <c r="IXI2187" s="594" t="s">
        <v>1232</v>
      </c>
      <c r="IXJ2187" s="594" t="s">
        <v>1232</v>
      </c>
      <c r="IXK2187" s="594" t="s">
        <v>1232</v>
      </c>
      <c r="IXL2187" s="594" t="s">
        <v>1232</v>
      </c>
      <c r="IXM2187" s="594" t="s">
        <v>1232</v>
      </c>
      <c r="IXN2187" s="594" t="s">
        <v>1232</v>
      </c>
      <c r="IXO2187" s="594" t="s">
        <v>1232</v>
      </c>
      <c r="IXP2187" s="594" t="s">
        <v>1232</v>
      </c>
      <c r="IXQ2187" s="594" t="s">
        <v>1232</v>
      </c>
      <c r="IXR2187" s="594" t="s">
        <v>1232</v>
      </c>
      <c r="IXS2187" s="594" t="s">
        <v>1232</v>
      </c>
      <c r="IXT2187" s="594" t="s">
        <v>1232</v>
      </c>
      <c r="IXU2187" s="594" t="s">
        <v>1232</v>
      </c>
      <c r="IXV2187" s="594" t="s">
        <v>1232</v>
      </c>
      <c r="IXW2187" s="594" t="s">
        <v>1232</v>
      </c>
      <c r="IXX2187" s="594" t="s">
        <v>1232</v>
      </c>
      <c r="IXY2187" s="594" t="s">
        <v>1232</v>
      </c>
      <c r="IXZ2187" s="594" t="s">
        <v>1232</v>
      </c>
      <c r="IYA2187" s="594" t="s">
        <v>1232</v>
      </c>
      <c r="IYB2187" s="594" t="s">
        <v>1232</v>
      </c>
      <c r="IYC2187" s="594" t="s">
        <v>1232</v>
      </c>
      <c r="IYD2187" s="594" t="s">
        <v>1232</v>
      </c>
      <c r="IYE2187" s="594" t="s">
        <v>1232</v>
      </c>
      <c r="IYF2187" s="594" t="s">
        <v>1232</v>
      </c>
      <c r="IYG2187" s="594" t="s">
        <v>1232</v>
      </c>
      <c r="IYH2187" s="594" t="s">
        <v>1232</v>
      </c>
      <c r="IYI2187" s="594" t="s">
        <v>1232</v>
      </c>
      <c r="IYJ2187" s="594" t="s">
        <v>1232</v>
      </c>
      <c r="IYK2187" s="594" t="s">
        <v>1232</v>
      </c>
      <c r="IYL2187" s="594" t="s">
        <v>1232</v>
      </c>
      <c r="IYM2187" s="594" t="s">
        <v>1232</v>
      </c>
      <c r="IYN2187" s="594" t="s">
        <v>1232</v>
      </c>
      <c r="IYO2187" s="594" t="s">
        <v>1232</v>
      </c>
      <c r="IYP2187" s="594" t="s">
        <v>1232</v>
      </c>
      <c r="IYQ2187" s="594" t="s">
        <v>1232</v>
      </c>
      <c r="IYR2187" s="594" t="s">
        <v>1232</v>
      </c>
      <c r="IYS2187" s="594" t="s">
        <v>1232</v>
      </c>
      <c r="IYT2187" s="594" t="s">
        <v>1232</v>
      </c>
      <c r="IYU2187" s="594" t="s">
        <v>1232</v>
      </c>
      <c r="IYV2187" s="594" t="s">
        <v>1232</v>
      </c>
      <c r="IYW2187" s="594" t="s">
        <v>1232</v>
      </c>
      <c r="IYX2187" s="594" t="s">
        <v>1232</v>
      </c>
      <c r="IYY2187" s="594" t="s">
        <v>1232</v>
      </c>
      <c r="IYZ2187" s="594" t="s">
        <v>1232</v>
      </c>
      <c r="IZA2187" s="594" t="s">
        <v>1232</v>
      </c>
      <c r="IZB2187" s="594" t="s">
        <v>1232</v>
      </c>
      <c r="IZC2187" s="594" t="s">
        <v>1232</v>
      </c>
      <c r="IZD2187" s="594" t="s">
        <v>1232</v>
      </c>
      <c r="IZE2187" s="594" t="s">
        <v>1232</v>
      </c>
      <c r="IZF2187" s="594" t="s">
        <v>1232</v>
      </c>
      <c r="IZG2187" s="594" t="s">
        <v>1232</v>
      </c>
      <c r="IZH2187" s="594" t="s">
        <v>1232</v>
      </c>
      <c r="IZI2187" s="594" t="s">
        <v>1232</v>
      </c>
      <c r="IZJ2187" s="594" t="s">
        <v>1232</v>
      </c>
      <c r="IZK2187" s="594" t="s">
        <v>1232</v>
      </c>
      <c r="IZL2187" s="594" t="s">
        <v>1232</v>
      </c>
      <c r="IZM2187" s="594" t="s">
        <v>1232</v>
      </c>
      <c r="IZN2187" s="594" t="s">
        <v>1232</v>
      </c>
      <c r="IZO2187" s="594" t="s">
        <v>1232</v>
      </c>
      <c r="IZP2187" s="594" t="s">
        <v>1232</v>
      </c>
      <c r="IZQ2187" s="594" t="s">
        <v>1232</v>
      </c>
      <c r="IZR2187" s="594" t="s">
        <v>1232</v>
      </c>
      <c r="IZS2187" s="594" t="s">
        <v>1232</v>
      </c>
      <c r="IZT2187" s="594" t="s">
        <v>1232</v>
      </c>
      <c r="IZU2187" s="594" t="s">
        <v>1232</v>
      </c>
      <c r="IZV2187" s="594" t="s">
        <v>1232</v>
      </c>
      <c r="IZW2187" s="594" t="s">
        <v>1232</v>
      </c>
      <c r="IZX2187" s="594" t="s">
        <v>1232</v>
      </c>
      <c r="IZY2187" s="594" t="s">
        <v>1232</v>
      </c>
      <c r="IZZ2187" s="594" t="s">
        <v>1232</v>
      </c>
      <c r="JAA2187" s="594" t="s">
        <v>1232</v>
      </c>
      <c r="JAB2187" s="594" t="s">
        <v>1232</v>
      </c>
      <c r="JAC2187" s="594" t="s">
        <v>1232</v>
      </c>
      <c r="JAD2187" s="594" t="s">
        <v>1232</v>
      </c>
      <c r="JAE2187" s="594" t="s">
        <v>1232</v>
      </c>
      <c r="JAF2187" s="594" t="s">
        <v>1232</v>
      </c>
      <c r="JAG2187" s="594" t="s">
        <v>1232</v>
      </c>
      <c r="JAH2187" s="594" t="s">
        <v>1232</v>
      </c>
      <c r="JAI2187" s="594" t="s">
        <v>1232</v>
      </c>
      <c r="JAJ2187" s="594" t="s">
        <v>1232</v>
      </c>
      <c r="JAK2187" s="594" t="s">
        <v>1232</v>
      </c>
      <c r="JAL2187" s="594" t="s">
        <v>1232</v>
      </c>
      <c r="JAM2187" s="594" t="s">
        <v>1232</v>
      </c>
      <c r="JAN2187" s="594" t="s">
        <v>1232</v>
      </c>
      <c r="JAO2187" s="594" t="s">
        <v>1232</v>
      </c>
      <c r="JAP2187" s="594" t="s">
        <v>1232</v>
      </c>
      <c r="JAQ2187" s="594" t="s">
        <v>1232</v>
      </c>
      <c r="JAR2187" s="594" t="s">
        <v>1232</v>
      </c>
      <c r="JAS2187" s="594" t="s">
        <v>1232</v>
      </c>
      <c r="JAT2187" s="594" t="s">
        <v>1232</v>
      </c>
      <c r="JAU2187" s="594" t="s">
        <v>1232</v>
      </c>
      <c r="JAV2187" s="594" t="s">
        <v>1232</v>
      </c>
      <c r="JAW2187" s="594" t="s">
        <v>1232</v>
      </c>
      <c r="JAX2187" s="594" t="s">
        <v>1232</v>
      </c>
      <c r="JAY2187" s="594" t="s">
        <v>1232</v>
      </c>
      <c r="JAZ2187" s="594" t="s">
        <v>1232</v>
      </c>
      <c r="JBA2187" s="594" t="s">
        <v>1232</v>
      </c>
      <c r="JBB2187" s="594" t="s">
        <v>1232</v>
      </c>
      <c r="JBC2187" s="594" t="s">
        <v>1232</v>
      </c>
      <c r="JBD2187" s="594" t="s">
        <v>1232</v>
      </c>
      <c r="JBE2187" s="594" t="s">
        <v>1232</v>
      </c>
      <c r="JBF2187" s="594" t="s">
        <v>1232</v>
      </c>
      <c r="JBG2187" s="594" t="s">
        <v>1232</v>
      </c>
      <c r="JBH2187" s="594" t="s">
        <v>1232</v>
      </c>
      <c r="JBI2187" s="594" t="s">
        <v>1232</v>
      </c>
      <c r="JBJ2187" s="594" t="s">
        <v>1232</v>
      </c>
      <c r="JBK2187" s="594" t="s">
        <v>1232</v>
      </c>
      <c r="JBL2187" s="594" t="s">
        <v>1232</v>
      </c>
      <c r="JBM2187" s="594" t="s">
        <v>1232</v>
      </c>
      <c r="JBN2187" s="594" t="s">
        <v>1232</v>
      </c>
      <c r="JBO2187" s="594" t="s">
        <v>1232</v>
      </c>
      <c r="JBP2187" s="594" t="s">
        <v>1232</v>
      </c>
      <c r="JBQ2187" s="594" t="s">
        <v>1232</v>
      </c>
      <c r="JBR2187" s="594" t="s">
        <v>1232</v>
      </c>
      <c r="JBS2187" s="594" t="s">
        <v>1232</v>
      </c>
      <c r="JBT2187" s="594" t="s">
        <v>1232</v>
      </c>
      <c r="JBU2187" s="594" t="s">
        <v>1232</v>
      </c>
      <c r="JBV2187" s="594" t="s">
        <v>1232</v>
      </c>
      <c r="JBW2187" s="594" t="s">
        <v>1232</v>
      </c>
      <c r="JBX2187" s="594" t="s">
        <v>1232</v>
      </c>
      <c r="JBY2187" s="594" t="s">
        <v>1232</v>
      </c>
      <c r="JBZ2187" s="594" t="s">
        <v>1232</v>
      </c>
      <c r="JCA2187" s="594" t="s">
        <v>1232</v>
      </c>
      <c r="JCB2187" s="594" t="s">
        <v>1232</v>
      </c>
      <c r="JCC2187" s="594" t="s">
        <v>1232</v>
      </c>
      <c r="JCD2187" s="594" t="s">
        <v>1232</v>
      </c>
      <c r="JCE2187" s="594" t="s">
        <v>1232</v>
      </c>
      <c r="JCF2187" s="594" t="s">
        <v>1232</v>
      </c>
      <c r="JCG2187" s="594" t="s">
        <v>1232</v>
      </c>
      <c r="JCH2187" s="594" t="s">
        <v>1232</v>
      </c>
      <c r="JCI2187" s="594" t="s">
        <v>1232</v>
      </c>
      <c r="JCJ2187" s="594" t="s">
        <v>1232</v>
      </c>
      <c r="JCK2187" s="594" t="s">
        <v>1232</v>
      </c>
      <c r="JCL2187" s="594" t="s">
        <v>1232</v>
      </c>
      <c r="JCM2187" s="594" t="s">
        <v>1232</v>
      </c>
      <c r="JCN2187" s="594" t="s">
        <v>1232</v>
      </c>
      <c r="JCO2187" s="594" t="s">
        <v>1232</v>
      </c>
      <c r="JCP2187" s="594" t="s">
        <v>1232</v>
      </c>
      <c r="JCQ2187" s="594" t="s">
        <v>1232</v>
      </c>
      <c r="JCR2187" s="594" t="s">
        <v>1232</v>
      </c>
      <c r="JCS2187" s="594" t="s">
        <v>1232</v>
      </c>
      <c r="JCT2187" s="594" t="s">
        <v>1232</v>
      </c>
      <c r="JCU2187" s="594" t="s">
        <v>1232</v>
      </c>
      <c r="JCV2187" s="594" t="s">
        <v>1232</v>
      </c>
      <c r="JCW2187" s="594" t="s">
        <v>1232</v>
      </c>
      <c r="JCX2187" s="594" t="s">
        <v>1232</v>
      </c>
      <c r="JCY2187" s="594" t="s">
        <v>1232</v>
      </c>
      <c r="JCZ2187" s="594" t="s">
        <v>1232</v>
      </c>
      <c r="JDA2187" s="594" t="s">
        <v>1232</v>
      </c>
      <c r="JDB2187" s="594" t="s">
        <v>1232</v>
      </c>
      <c r="JDC2187" s="594" t="s">
        <v>1232</v>
      </c>
      <c r="JDD2187" s="594" t="s">
        <v>1232</v>
      </c>
      <c r="JDE2187" s="594" t="s">
        <v>1232</v>
      </c>
      <c r="JDF2187" s="594" t="s">
        <v>1232</v>
      </c>
      <c r="JDG2187" s="594" t="s">
        <v>1232</v>
      </c>
      <c r="JDH2187" s="594" t="s">
        <v>1232</v>
      </c>
      <c r="JDI2187" s="594" t="s">
        <v>1232</v>
      </c>
      <c r="JDJ2187" s="594" t="s">
        <v>1232</v>
      </c>
      <c r="JDK2187" s="594" t="s">
        <v>1232</v>
      </c>
      <c r="JDL2187" s="594" t="s">
        <v>1232</v>
      </c>
      <c r="JDM2187" s="594" t="s">
        <v>1232</v>
      </c>
      <c r="JDN2187" s="594" t="s">
        <v>1232</v>
      </c>
      <c r="JDO2187" s="594" t="s">
        <v>1232</v>
      </c>
      <c r="JDP2187" s="594" t="s">
        <v>1232</v>
      </c>
      <c r="JDQ2187" s="594" t="s">
        <v>1232</v>
      </c>
      <c r="JDR2187" s="594" t="s">
        <v>1232</v>
      </c>
      <c r="JDS2187" s="594" t="s">
        <v>1232</v>
      </c>
      <c r="JDT2187" s="594" t="s">
        <v>1232</v>
      </c>
      <c r="JDU2187" s="594" t="s">
        <v>1232</v>
      </c>
      <c r="JDV2187" s="594" t="s">
        <v>1232</v>
      </c>
      <c r="JDW2187" s="594" t="s">
        <v>1232</v>
      </c>
      <c r="JDX2187" s="594" t="s">
        <v>1232</v>
      </c>
      <c r="JDY2187" s="594" t="s">
        <v>1232</v>
      </c>
      <c r="JDZ2187" s="594" t="s">
        <v>1232</v>
      </c>
      <c r="JEA2187" s="594" t="s">
        <v>1232</v>
      </c>
      <c r="JEB2187" s="594" t="s">
        <v>1232</v>
      </c>
      <c r="JEC2187" s="594" t="s">
        <v>1232</v>
      </c>
      <c r="JED2187" s="594" t="s">
        <v>1232</v>
      </c>
      <c r="JEE2187" s="594" t="s">
        <v>1232</v>
      </c>
      <c r="JEF2187" s="594" t="s">
        <v>1232</v>
      </c>
      <c r="JEG2187" s="594" t="s">
        <v>1232</v>
      </c>
      <c r="JEH2187" s="594" t="s">
        <v>1232</v>
      </c>
      <c r="JEI2187" s="594" t="s">
        <v>1232</v>
      </c>
      <c r="JEJ2187" s="594" t="s">
        <v>1232</v>
      </c>
      <c r="JEK2187" s="594" t="s">
        <v>1232</v>
      </c>
      <c r="JEL2187" s="594" t="s">
        <v>1232</v>
      </c>
      <c r="JEM2187" s="594" t="s">
        <v>1232</v>
      </c>
      <c r="JEN2187" s="594" t="s">
        <v>1232</v>
      </c>
      <c r="JEO2187" s="594" t="s">
        <v>1232</v>
      </c>
      <c r="JEP2187" s="594" t="s">
        <v>1232</v>
      </c>
      <c r="JEQ2187" s="594" t="s">
        <v>1232</v>
      </c>
      <c r="JER2187" s="594" t="s">
        <v>1232</v>
      </c>
      <c r="JES2187" s="594" t="s">
        <v>1232</v>
      </c>
      <c r="JET2187" s="594" t="s">
        <v>1232</v>
      </c>
      <c r="JEU2187" s="594" t="s">
        <v>1232</v>
      </c>
      <c r="JEV2187" s="594" t="s">
        <v>1232</v>
      </c>
      <c r="JEW2187" s="594" t="s">
        <v>1232</v>
      </c>
      <c r="JEX2187" s="594" t="s">
        <v>1232</v>
      </c>
      <c r="JEY2187" s="594" t="s">
        <v>1232</v>
      </c>
      <c r="JEZ2187" s="594" t="s">
        <v>1232</v>
      </c>
      <c r="JFA2187" s="594" t="s">
        <v>1232</v>
      </c>
      <c r="JFB2187" s="594" t="s">
        <v>1232</v>
      </c>
      <c r="JFC2187" s="594" t="s">
        <v>1232</v>
      </c>
      <c r="JFD2187" s="594" t="s">
        <v>1232</v>
      </c>
      <c r="JFE2187" s="594" t="s">
        <v>1232</v>
      </c>
      <c r="JFF2187" s="594" t="s">
        <v>1232</v>
      </c>
      <c r="JFG2187" s="594" t="s">
        <v>1232</v>
      </c>
      <c r="JFH2187" s="594" t="s">
        <v>1232</v>
      </c>
      <c r="JFI2187" s="594" t="s">
        <v>1232</v>
      </c>
      <c r="JFJ2187" s="594" t="s">
        <v>1232</v>
      </c>
      <c r="JFK2187" s="594" t="s">
        <v>1232</v>
      </c>
      <c r="JFL2187" s="594" t="s">
        <v>1232</v>
      </c>
      <c r="JFM2187" s="594" t="s">
        <v>1232</v>
      </c>
      <c r="JFN2187" s="594" t="s">
        <v>1232</v>
      </c>
      <c r="JFO2187" s="594" t="s">
        <v>1232</v>
      </c>
      <c r="JFP2187" s="594" t="s">
        <v>1232</v>
      </c>
      <c r="JFQ2187" s="594" t="s">
        <v>1232</v>
      </c>
      <c r="JFR2187" s="594" t="s">
        <v>1232</v>
      </c>
      <c r="JFS2187" s="594" t="s">
        <v>1232</v>
      </c>
      <c r="JFT2187" s="594" t="s">
        <v>1232</v>
      </c>
      <c r="JFU2187" s="594" t="s">
        <v>1232</v>
      </c>
      <c r="JFV2187" s="594" t="s">
        <v>1232</v>
      </c>
      <c r="JFW2187" s="594" t="s">
        <v>1232</v>
      </c>
      <c r="JFX2187" s="594" t="s">
        <v>1232</v>
      </c>
      <c r="JFY2187" s="594" t="s">
        <v>1232</v>
      </c>
      <c r="JFZ2187" s="594" t="s">
        <v>1232</v>
      </c>
      <c r="JGA2187" s="594" t="s">
        <v>1232</v>
      </c>
      <c r="JGB2187" s="594" t="s">
        <v>1232</v>
      </c>
      <c r="JGC2187" s="594" t="s">
        <v>1232</v>
      </c>
      <c r="JGD2187" s="594" t="s">
        <v>1232</v>
      </c>
      <c r="JGE2187" s="594" t="s">
        <v>1232</v>
      </c>
      <c r="JGF2187" s="594" t="s">
        <v>1232</v>
      </c>
      <c r="JGG2187" s="594" t="s">
        <v>1232</v>
      </c>
      <c r="JGH2187" s="594" t="s">
        <v>1232</v>
      </c>
      <c r="JGI2187" s="594" t="s">
        <v>1232</v>
      </c>
      <c r="JGJ2187" s="594" t="s">
        <v>1232</v>
      </c>
      <c r="JGK2187" s="594" t="s">
        <v>1232</v>
      </c>
      <c r="JGL2187" s="594" t="s">
        <v>1232</v>
      </c>
      <c r="JGM2187" s="594" t="s">
        <v>1232</v>
      </c>
      <c r="JGN2187" s="594" t="s">
        <v>1232</v>
      </c>
      <c r="JGO2187" s="594" t="s">
        <v>1232</v>
      </c>
      <c r="JGP2187" s="594" t="s">
        <v>1232</v>
      </c>
      <c r="JGQ2187" s="594" t="s">
        <v>1232</v>
      </c>
      <c r="JGR2187" s="594" t="s">
        <v>1232</v>
      </c>
      <c r="JGS2187" s="594" t="s">
        <v>1232</v>
      </c>
      <c r="JGT2187" s="594" t="s">
        <v>1232</v>
      </c>
      <c r="JGU2187" s="594" t="s">
        <v>1232</v>
      </c>
      <c r="JGV2187" s="594" t="s">
        <v>1232</v>
      </c>
      <c r="JGW2187" s="594" t="s">
        <v>1232</v>
      </c>
      <c r="JGX2187" s="594" t="s">
        <v>1232</v>
      </c>
      <c r="JGY2187" s="594" t="s">
        <v>1232</v>
      </c>
      <c r="JGZ2187" s="594" t="s">
        <v>1232</v>
      </c>
      <c r="JHA2187" s="594" t="s">
        <v>1232</v>
      </c>
      <c r="JHB2187" s="594" t="s">
        <v>1232</v>
      </c>
      <c r="JHC2187" s="594" t="s">
        <v>1232</v>
      </c>
      <c r="JHD2187" s="594" t="s">
        <v>1232</v>
      </c>
      <c r="JHE2187" s="594" t="s">
        <v>1232</v>
      </c>
      <c r="JHF2187" s="594" t="s">
        <v>1232</v>
      </c>
      <c r="JHG2187" s="594" t="s">
        <v>1232</v>
      </c>
      <c r="JHH2187" s="594" t="s">
        <v>1232</v>
      </c>
      <c r="JHI2187" s="594" t="s">
        <v>1232</v>
      </c>
      <c r="JHJ2187" s="594" t="s">
        <v>1232</v>
      </c>
      <c r="JHK2187" s="594" t="s">
        <v>1232</v>
      </c>
      <c r="JHL2187" s="594" t="s">
        <v>1232</v>
      </c>
      <c r="JHM2187" s="594" t="s">
        <v>1232</v>
      </c>
      <c r="JHN2187" s="594" t="s">
        <v>1232</v>
      </c>
      <c r="JHO2187" s="594" t="s">
        <v>1232</v>
      </c>
      <c r="JHP2187" s="594" t="s">
        <v>1232</v>
      </c>
      <c r="JHQ2187" s="594" t="s">
        <v>1232</v>
      </c>
      <c r="JHR2187" s="594" t="s">
        <v>1232</v>
      </c>
      <c r="JHS2187" s="594" t="s">
        <v>1232</v>
      </c>
      <c r="JHT2187" s="594" t="s">
        <v>1232</v>
      </c>
      <c r="JHU2187" s="594" t="s">
        <v>1232</v>
      </c>
      <c r="JHV2187" s="594" t="s">
        <v>1232</v>
      </c>
      <c r="JHW2187" s="594" t="s">
        <v>1232</v>
      </c>
      <c r="JHX2187" s="594" t="s">
        <v>1232</v>
      </c>
      <c r="JHY2187" s="594" t="s">
        <v>1232</v>
      </c>
      <c r="JHZ2187" s="594" t="s">
        <v>1232</v>
      </c>
      <c r="JIA2187" s="594" t="s">
        <v>1232</v>
      </c>
      <c r="JIB2187" s="594" t="s">
        <v>1232</v>
      </c>
      <c r="JIC2187" s="594" t="s">
        <v>1232</v>
      </c>
      <c r="JID2187" s="594" t="s">
        <v>1232</v>
      </c>
      <c r="JIE2187" s="594" t="s">
        <v>1232</v>
      </c>
      <c r="JIF2187" s="594" t="s">
        <v>1232</v>
      </c>
      <c r="JIG2187" s="594" t="s">
        <v>1232</v>
      </c>
      <c r="JIH2187" s="594" t="s">
        <v>1232</v>
      </c>
      <c r="JII2187" s="594" t="s">
        <v>1232</v>
      </c>
      <c r="JIJ2187" s="594" t="s">
        <v>1232</v>
      </c>
      <c r="JIK2187" s="594" t="s">
        <v>1232</v>
      </c>
      <c r="JIL2187" s="594" t="s">
        <v>1232</v>
      </c>
      <c r="JIM2187" s="594" t="s">
        <v>1232</v>
      </c>
      <c r="JIN2187" s="594" t="s">
        <v>1232</v>
      </c>
      <c r="JIO2187" s="594" t="s">
        <v>1232</v>
      </c>
      <c r="JIP2187" s="594" t="s">
        <v>1232</v>
      </c>
      <c r="JIQ2187" s="594" t="s">
        <v>1232</v>
      </c>
      <c r="JIR2187" s="594" t="s">
        <v>1232</v>
      </c>
      <c r="JIS2187" s="594" t="s">
        <v>1232</v>
      </c>
      <c r="JIT2187" s="594" t="s">
        <v>1232</v>
      </c>
      <c r="JIU2187" s="594" t="s">
        <v>1232</v>
      </c>
      <c r="JIV2187" s="594" t="s">
        <v>1232</v>
      </c>
      <c r="JIW2187" s="594" t="s">
        <v>1232</v>
      </c>
      <c r="JIX2187" s="594" t="s">
        <v>1232</v>
      </c>
      <c r="JIY2187" s="594" t="s">
        <v>1232</v>
      </c>
      <c r="JIZ2187" s="594" t="s">
        <v>1232</v>
      </c>
      <c r="JJA2187" s="594" t="s">
        <v>1232</v>
      </c>
      <c r="JJB2187" s="594" t="s">
        <v>1232</v>
      </c>
      <c r="JJC2187" s="594" t="s">
        <v>1232</v>
      </c>
      <c r="JJD2187" s="594" t="s">
        <v>1232</v>
      </c>
      <c r="JJE2187" s="594" t="s">
        <v>1232</v>
      </c>
      <c r="JJF2187" s="594" t="s">
        <v>1232</v>
      </c>
      <c r="JJG2187" s="594" t="s">
        <v>1232</v>
      </c>
      <c r="JJH2187" s="594" t="s">
        <v>1232</v>
      </c>
      <c r="JJI2187" s="594" t="s">
        <v>1232</v>
      </c>
      <c r="JJJ2187" s="594" t="s">
        <v>1232</v>
      </c>
      <c r="JJK2187" s="594" t="s">
        <v>1232</v>
      </c>
      <c r="JJL2187" s="594" t="s">
        <v>1232</v>
      </c>
      <c r="JJM2187" s="594" t="s">
        <v>1232</v>
      </c>
      <c r="JJN2187" s="594" t="s">
        <v>1232</v>
      </c>
      <c r="JJO2187" s="594" t="s">
        <v>1232</v>
      </c>
      <c r="JJP2187" s="594" t="s">
        <v>1232</v>
      </c>
      <c r="JJQ2187" s="594" t="s">
        <v>1232</v>
      </c>
      <c r="JJR2187" s="594" t="s">
        <v>1232</v>
      </c>
      <c r="JJS2187" s="594" t="s">
        <v>1232</v>
      </c>
      <c r="JJT2187" s="594" t="s">
        <v>1232</v>
      </c>
      <c r="JJU2187" s="594" t="s">
        <v>1232</v>
      </c>
      <c r="JJV2187" s="594" t="s">
        <v>1232</v>
      </c>
      <c r="JJW2187" s="594" t="s">
        <v>1232</v>
      </c>
      <c r="JJX2187" s="594" t="s">
        <v>1232</v>
      </c>
      <c r="JJY2187" s="594" t="s">
        <v>1232</v>
      </c>
      <c r="JJZ2187" s="594" t="s">
        <v>1232</v>
      </c>
      <c r="JKA2187" s="594" t="s">
        <v>1232</v>
      </c>
      <c r="JKB2187" s="594" t="s">
        <v>1232</v>
      </c>
      <c r="JKC2187" s="594" t="s">
        <v>1232</v>
      </c>
      <c r="JKD2187" s="594" t="s">
        <v>1232</v>
      </c>
      <c r="JKE2187" s="594" t="s">
        <v>1232</v>
      </c>
      <c r="JKF2187" s="594" t="s">
        <v>1232</v>
      </c>
      <c r="JKG2187" s="594" t="s">
        <v>1232</v>
      </c>
      <c r="JKH2187" s="594" t="s">
        <v>1232</v>
      </c>
      <c r="JKI2187" s="594" t="s">
        <v>1232</v>
      </c>
      <c r="JKJ2187" s="594" t="s">
        <v>1232</v>
      </c>
      <c r="JKK2187" s="594" t="s">
        <v>1232</v>
      </c>
      <c r="JKL2187" s="594" t="s">
        <v>1232</v>
      </c>
      <c r="JKM2187" s="594" t="s">
        <v>1232</v>
      </c>
      <c r="JKN2187" s="594" t="s">
        <v>1232</v>
      </c>
      <c r="JKO2187" s="594" t="s">
        <v>1232</v>
      </c>
      <c r="JKP2187" s="594" t="s">
        <v>1232</v>
      </c>
      <c r="JKQ2187" s="594" t="s">
        <v>1232</v>
      </c>
      <c r="JKR2187" s="594" t="s">
        <v>1232</v>
      </c>
      <c r="JKS2187" s="594" t="s">
        <v>1232</v>
      </c>
      <c r="JKT2187" s="594" t="s">
        <v>1232</v>
      </c>
      <c r="JKU2187" s="594" t="s">
        <v>1232</v>
      </c>
      <c r="JKV2187" s="594" t="s">
        <v>1232</v>
      </c>
      <c r="JKW2187" s="594" t="s">
        <v>1232</v>
      </c>
      <c r="JKX2187" s="594" t="s">
        <v>1232</v>
      </c>
      <c r="JKY2187" s="594" t="s">
        <v>1232</v>
      </c>
      <c r="JKZ2187" s="594" t="s">
        <v>1232</v>
      </c>
      <c r="JLA2187" s="594" t="s">
        <v>1232</v>
      </c>
      <c r="JLB2187" s="594" t="s">
        <v>1232</v>
      </c>
      <c r="JLC2187" s="594" t="s">
        <v>1232</v>
      </c>
      <c r="JLD2187" s="594" t="s">
        <v>1232</v>
      </c>
      <c r="JLE2187" s="594" t="s">
        <v>1232</v>
      </c>
      <c r="JLF2187" s="594" t="s">
        <v>1232</v>
      </c>
      <c r="JLG2187" s="594" t="s">
        <v>1232</v>
      </c>
      <c r="JLH2187" s="594" t="s">
        <v>1232</v>
      </c>
      <c r="JLI2187" s="594" t="s">
        <v>1232</v>
      </c>
      <c r="JLJ2187" s="594" t="s">
        <v>1232</v>
      </c>
      <c r="JLK2187" s="594" t="s">
        <v>1232</v>
      </c>
      <c r="JLL2187" s="594" t="s">
        <v>1232</v>
      </c>
      <c r="JLM2187" s="594" t="s">
        <v>1232</v>
      </c>
      <c r="JLN2187" s="594" t="s">
        <v>1232</v>
      </c>
      <c r="JLO2187" s="594" t="s">
        <v>1232</v>
      </c>
      <c r="JLP2187" s="594" t="s">
        <v>1232</v>
      </c>
      <c r="JLQ2187" s="594" t="s">
        <v>1232</v>
      </c>
      <c r="JLR2187" s="594" t="s">
        <v>1232</v>
      </c>
      <c r="JLS2187" s="594" t="s">
        <v>1232</v>
      </c>
      <c r="JLT2187" s="594" t="s">
        <v>1232</v>
      </c>
      <c r="JLU2187" s="594" t="s">
        <v>1232</v>
      </c>
      <c r="JLV2187" s="594" t="s">
        <v>1232</v>
      </c>
      <c r="JLW2187" s="594" t="s">
        <v>1232</v>
      </c>
      <c r="JLX2187" s="594" t="s">
        <v>1232</v>
      </c>
      <c r="JLY2187" s="594" t="s">
        <v>1232</v>
      </c>
      <c r="JLZ2187" s="594" t="s">
        <v>1232</v>
      </c>
      <c r="JMA2187" s="594" t="s">
        <v>1232</v>
      </c>
      <c r="JMB2187" s="594" t="s">
        <v>1232</v>
      </c>
      <c r="JMC2187" s="594" t="s">
        <v>1232</v>
      </c>
      <c r="JMD2187" s="594" t="s">
        <v>1232</v>
      </c>
      <c r="JME2187" s="594" t="s">
        <v>1232</v>
      </c>
      <c r="JMF2187" s="594" t="s">
        <v>1232</v>
      </c>
      <c r="JMG2187" s="594" t="s">
        <v>1232</v>
      </c>
      <c r="JMH2187" s="594" t="s">
        <v>1232</v>
      </c>
      <c r="JMI2187" s="594" t="s">
        <v>1232</v>
      </c>
      <c r="JMJ2187" s="594" t="s">
        <v>1232</v>
      </c>
      <c r="JMK2187" s="594" t="s">
        <v>1232</v>
      </c>
      <c r="JML2187" s="594" t="s">
        <v>1232</v>
      </c>
      <c r="JMM2187" s="594" t="s">
        <v>1232</v>
      </c>
      <c r="JMN2187" s="594" t="s">
        <v>1232</v>
      </c>
      <c r="JMO2187" s="594" t="s">
        <v>1232</v>
      </c>
      <c r="JMP2187" s="594" t="s">
        <v>1232</v>
      </c>
      <c r="JMQ2187" s="594" t="s">
        <v>1232</v>
      </c>
      <c r="JMR2187" s="594" t="s">
        <v>1232</v>
      </c>
      <c r="JMS2187" s="594" t="s">
        <v>1232</v>
      </c>
      <c r="JMT2187" s="594" t="s">
        <v>1232</v>
      </c>
      <c r="JMU2187" s="594" t="s">
        <v>1232</v>
      </c>
      <c r="JMV2187" s="594" t="s">
        <v>1232</v>
      </c>
      <c r="JMW2187" s="594" t="s">
        <v>1232</v>
      </c>
      <c r="JMX2187" s="594" t="s">
        <v>1232</v>
      </c>
      <c r="JMY2187" s="594" t="s">
        <v>1232</v>
      </c>
      <c r="JMZ2187" s="594" t="s">
        <v>1232</v>
      </c>
      <c r="JNA2187" s="594" t="s">
        <v>1232</v>
      </c>
      <c r="JNB2187" s="594" t="s">
        <v>1232</v>
      </c>
      <c r="JNC2187" s="594" t="s">
        <v>1232</v>
      </c>
      <c r="JND2187" s="594" t="s">
        <v>1232</v>
      </c>
      <c r="JNE2187" s="594" t="s">
        <v>1232</v>
      </c>
      <c r="JNF2187" s="594" t="s">
        <v>1232</v>
      </c>
      <c r="JNG2187" s="594" t="s">
        <v>1232</v>
      </c>
      <c r="JNH2187" s="594" t="s">
        <v>1232</v>
      </c>
      <c r="JNI2187" s="594" t="s">
        <v>1232</v>
      </c>
      <c r="JNJ2187" s="594" t="s">
        <v>1232</v>
      </c>
      <c r="JNK2187" s="594" t="s">
        <v>1232</v>
      </c>
      <c r="JNL2187" s="594" t="s">
        <v>1232</v>
      </c>
      <c r="JNM2187" s="594" t="s">
        <v>1232</v>
      </c>
      <c r="JNN2187" s="594" t="s">
        <v>1232</v>
      </c>
      <c r="JNO2187" s="594" t="s">
        <v>1232</v>
      </c>
      <c r="JNP2187" s="594" t="s">
        <v>1232</v>
      </c>
      <c r="JNQ2187" s="594" t="s">
        <v>1232</v>
      </c>
      <c r="JNR2187" s="594" t="s">
        <v>1232</v>
      </c>
      <c r="JNS2187" s="594" t="s">
        <v>1232</v>
      </c>
      <c r="JNT2187" s="594" t="s">
        <v>1232</v>
      </c>
      <c r="JNU2187" s="594" t="s">
        <v>1232</v>
      </c>
      <c r="JNV2187" s="594" t="s">
        <v>1232</v>
      </c>
      <c r="JNW2187" s="594" t="s">
        <v>1232</v>
      </c>
      <c r="JNX2187" s="594" t="s">
        <v>1232</v>
      </c>
      <c r="JNY2187" s="594" t="s">
        <v>1232</v>
      </c>
      <c r="JNZ2187" s="594" t="s">
        <v>1232</v>
      </c>
      <c r="JOA2187" s="594" t="s">
        <v>1232</v>
      </c>
      <c r="JOB2187" s="594" t="s">
        <v>1232</v>
      </c>
      <c r="JOC2187" s="594" t="s">
        <v>1232</v>
      </c>
      <c r="JOD2187" s="594" t="s">
        <v>1232</v>
      </c>
      <c r="JOE2187" s="594" t="s">
        <v>1232</v>
      </c>
      <c r="JOF2187" s="594" t="s">
        <v>1232</v>
      </c>
      <c r="JOG2187" s="594" t="s">
        <v>1232</v>
      </c>
      <c r="JOH2187" s="594" t="s">
        <v>1232</v>
      </c>
      <c r="JOI2187" s="594" t="s">
        <v>1232</v>
      </c>
      <c r="JOJ2187" s="594" t="s">
        <v>1232</v>
      </c>
      <c r="JOK2187" s="594" t="s">
        <v>1232</v>
      </c>
      <c r="JOL2187" s="594" t="s">
        <v>1232</v>
      </c>
      <c r="JOM2187" s="594" t="s">
        <v>1232</v>
      </c>
      <c r="JON2187" s="594" t="s">
        <v>1232</v>
      </c>
      <c r="JOO2187" s="594" t="s">
        <v>1232</v>
      </c>
      <c r="JOP2187" s="594" t="s">
        <v>1232</v>
      </c>
      <c r="JOQ2187" s="594" t="s">
        <v>1232</v>
      </c>
      <c r="JOR2187" s="594" t="s">
        <v>1232</v>
      </c>
      <c r="JOS2187" s="594" t="s">
        <v>1232</v>
      </c>
      <c r="JOT2187" s="594" t="s">
        <v>1232</v>
      </c>
      <c r="JOU2187" s="594" t="s">
        <v>1232</v>
      </c>
      <c r="JOV2187" s="594" t="s">
        <v>1232</v>
      </c>
      <c r="JOW2187" s="594" t="s">
        <v>1232</v>
      </c>
      <c r="JOX2187" s="594" t="s">
        <v>1232</v>
      </c>
      <c r="JOY2187" s="594" t="s">
        <v>1232</v>
      </c>
      <c r="JOZ2187" s="594" t="s">
        <v>1232</v>
      </c>
      <c r="JPA2187" s="594" t="s">
        <v>1232</v>
      </c>
      <c r="JPB2187" s="594" t="s">
        <v>1232</v>
      </c>
      <c r="JPC2187" s="594" t="s">
        <v>1232</v>
      </c>
      <c r="JPD2187" s="594" t="s">
        <v>1232</v>
      </c>
      <c r="JPE2187" s="594" t="s">
        <v>1232</v>
      </c>
      <c r="JPF2187" s="594" t="s">
        <v>1232</v>
      </c>
      <c r="JPG2187" s="594" t="s">
        <v>1232</v>
      </c>
      <c r="JPH2187" s="594" t="s">
        <v>1232</v>
      </c>
      <c r="JPI2187" s="594" t="s">
        <v>1232</v>
      </c>
      <c r="JPJ2187" s="594" t="s">
        <v>1232</v>
      </c>
      <c r="JPK2187" s="594" t="s">
        <v>1232</v>
      </c>
      <c r="JPL2187" s="594" t="s">
        <v>1232</v>
      </c>
      <c r="JPM2187" s="594" t="s">
        <v>1232</v>
      </c>
      <c r="JPN2187" s="594" t="s">
        <v>1232</v>
      </c>
      <c r="JPO2187" s="594" t="s">
        <v>1232</v>
      </c>
      <c r="JPP2187" s="594" t="s">
        <v>1232</v>
      </c>
      <c r="JPQ2187" s="594" t="s">
        <v>1232</v>
      </c>
      <c r="JPR2187" s="594" t="s">
        <v>1232</v>
      </c>
      <c r="JPS2187" s="594" t="s">
        <v>1232</v>
      </c>
      <c r="JPT2187" s="594" t="s">
        <v>1232</v>
      </c>
      <c r="JPU2187" s="594" t="s">
        <v>1232</v>
      </c>
      <c r="JPV2187" s="594" t="s">
        <v>1232</v>
      </c>
      <c r="JPW2187" s="594" t="s">
        <v>1232</v>
      </c>
      <c r="JPX2187" s="594" t="s">
        <v>1232</v>
      </c>
      <c r="JPY2187" s="594" t="s">
        <v>1232</v>
      </c>
      <c r="JPZ2187" s="594" t="s">
        <v>1232</v>
      </c>
      <c r="JQA2187" s="594" t="s">
        <v>1232</v>
      </c>
      <c r="JQB2187" s="594" t="s">
        <v>1232</v>
      </c>
      <c r="JQC2187" s="594" t="s">
        <v>1232</v>
      </c>
      <c r="JQD2187" s="594" t="s">
        <v>1232</v>
      </c>
      <c r="JQE2187" s="594" t="s">
        <v>1232</v>
      </c>
      <c r="JQF2187" s="594" t="s">
        <v>1232</v>
      </c>
      <c r="JQG2187" s="594" t="s">
        <v>1232</v>
      </c>
      <c r="JQH2187" s="594" t="s">
        <v>1232</v>
      </c>
      <c r="JQI2187" s="594" t="s">
        <v>1232</v>
      </c>
      <c r="JQJ2187" s="594" t="s">
        <v>1232</v>
      </c>
      <c r="JQK2187" s="594" t="s">
        <v>1232</v>
      </c>
      <c r="JQL2187" s="594" t="s">
        <v>1232</v>
      </c>
      <c r="JQM2187" s="594" t="s">
        <v>1232</v>
      </c>
      <c r="JQN2187" s="594" t="s">
        <v>1232</v>
      </c>
      <c r="JQO2187" s="594" t="s">
        <v>1232</v>
      </c>
      <c r="JQP2187" s="594" t="s">
        <v>1232</v>
      </c>
      <c r="JQQ2187" s="594" t="s">
        <v>1232</v>
      </c>
      <c r="JQR2187" s="594" t="s">
        <v>1232</v>
      </c>
      <c r="JQS2187" s="594" t="s">
        <v>1232</v>
      </c>
      <c r="JQT2187" s="594" t="s">
        <v>1232</v>
      </c>
      <c r="JQU2187" s="594" t="s">
        <v>1232</v>
      </c>
      <c r="JQV2187" s="594" t="s">
        <v>1232</v>
      </c>
      <c r="JQW2187" s="594" t="s">
        <v>1232</v>
      </c>
      <c r="JQX2187" s="594" t="s">
        <v>1232</v>
      </c>
      <c r="JQY2187" s="594" t="s">
        <v>1232</v>
      </c>
      <c r="JQZ2187" s="594" t="s">
        <v>1232</v>
      </c>
      <c r="JRA2187" s="594" t="s">
        <v>1232</v>
      </c>
      <c r="JRB2187" s="594" t="s">
        <v>1232</v>
      </c>
      <c r="JRC2187" s="594" t="s">
        <v>1232</v>
      </c>
      <c r="JRD2187" s="594" t="s">
        <v>1232</v>
      </c>
      <c r="JRE2187" s="594" t="s">
        <v>1232</v>
      </c>
      <c r="JRF2187" s="594" t="s">
        <v>1232</v>
      </c>
      <c r="JRG2187" s="594" t="s">
        <v>1232</v>
      </c>
      <c r="JRH2187" s="594" t="s">
        <v>1232</v>
      </c>
      <c r="JRI2187" s="594" t="s">
        <v>1232</v>
      </c>
      <c r="JRJ2187" s="594" t="s">
        <v>1232</v>
      </c>
      <c r="JRK2187" s="594" t="s">
        <v>1232</v>
      </c>
      <c r="JRL2187" s="594" t="s">
        <v>1232</v>
      </c>
      <c r="JRM2187" s="594" t="s">
        <v>1232</v>
      </c>
      <c r="JRN2187" s="594" t="s">
        <v>1232</v>
      </c>
      <c r="JRO2187" s="594" t="s">
        <v>1232</v>
      </c>
      <c r="JRP2187" s="594" t="s">
        <v>1232</v>
      </c>
      <c r="JRQ2187" s="594" t="s">
        <v>1232</v>
      </c>
      <c r="JRR2187" s="594" t="s">
        <v>1232</v>
      </c>
      <c r="JRS2187" s="594" t="s">
        <v>1232</v>
      </c>
      <c r="JRT2187" s="594" t="s">
        <v>1232</v>
      </c>
      <c r="JRU2187" s="594" t="s">
        <v>1232</v>
      </c>
      <c r="JRV2187" s="594" t="s">
        <v>1232</v>
      </c>
      <c r="JRW2187" s="594" t="s">
        <v>1232</v>
      </c>
      <c r="JRX2187" s="594" t="s">
        <v>1232</v>
      </c>
      <c r="JRY2187" s="594" t="s">
        <v>1232</v>
      </c>
      <c r="JRZ2187" s="594" t="s">
        <v>1232</v>
      </c>
      <c r="JSA2187" s="594" t="s">
        <v>1232</v>
      </c>
      <c r="JSB2187" s="594" t="s">
        <v>1232</v>
      </c>
      <c r="JSC2187" s="594" t="s">
        <v>1232</v>
      </c>
      <c r="JSD2187" s="594" t="s">
        <v>1232</v>
      </c>
      <c r="JSE2187" s="594" t="s">
        <v>1232</v>
      </c>
      <c r="JSF2187" s="594" t="s">
        <v>1232</v>
      </c>
      <c r="JSG2187" s="594" t="s">
        <v>1232</v>
      </c>
      <c r="JSH2187" s="594" t="s">
        <v>1232</v>
      </c>
      <c r="JSI2187" s="594" t="s">
        <v>1232</v>
      </c>
      <c r="JSJ2187" s="594" t="s">
        <v>1232</v>
      </c>
      <c r="JSK2187" s="594" t="s">
        <v>1232</v>
      </c>
      <c r="JSL2187" s="594" t="s">
        <v>1232</v>
      </c>
      <c r="JSM2187" s="594" t="s">
        <v>1232</v>
      </c>
      <c r="JSN2187" s="594" t="s">
        <v>1232</v>
      </c>
      <c r="JSO2187" s="594" t="s">
        <v>1232</v>
      </c>
      <c r="JSP2187" s="594" t="s">
        <v>1232</v>
      </c>
      <c r="JSQ2187" s="594" t="s">
        <v>1232</v>
      </c>
      <c r="JSR2187" s="594" t="s">
        <v>1232</v>
      </c>
      <c r="JSS2187" s="594" t="s">
        <v>1232</v>
      </c>
      <c r="JST2187" s="594" t="s">
        <v>1232</v>
      </c>
      <c r="JSU2187" s="594" t="s">
        <v>1232</v>
      </c>
      <c r="JSV2187" s="594" t="s">
        <v>1232</v>
      </c>
      <c r="JSW2187" s="594" t="s">
        <v>1232</v>
      </c>
      <c r="JSX2187" s="594" t="s">
        <v>1232</v>
      </c>
      <c r="JSY2187" s="594" t="s">
        <v>1232</v>
      </c>
      <c r="JSZ2187" s="594" t="s">
        <v>1232</v>
      </c>
      <c r="JTA2187" s="594" t="s">
        <v>1232</v>
      </c>
      <c r="JTB2187" s="594" t="s">
        <v>1232</v>
      </c>
      <c r="JTC2187" s="594" t="s">
        <v>1232</v>
      </c>
      <c r="JTD2187" s="594" t="s">
        <v>1232</v>
      </c>
      <c r="JTE2187" s="594" t="s">
        <v>1232</v>
      </c>
      <c r="JTF2187" s="594" t="s">
        <v>1232</v>
      </c>
      <c r="JTG2187" s="594" t="s">
        <v>1232</v>
      </c>
      <c r="JTH2187" s="594" t="s">
        <v>1232</v>
      </c>
      <c r="JTI2187" s="594" t="s">
        <v>1232</v>
      </c>
      <c r="JTJ2187" s="594" t="s">
        <v>1232</v>
      </c>
      <c r="JTK2187" s="594" t="s">
        <v>1232</v>
      </c>
      <c r="JTL2187" s="594" t="s">
        <v>1232</v>
      </c>
      <c r="JTM2187" s="594" t="s">
        <v>1232</v>
      </c>
      <c r="JTN2187" s="594" t="s">
        <v>1232</v>
      </c>
      <c r="JTO2187" s="594" t="s">
        <v>1232</v>
      </c>
      <c r="JTP2187" s="594" t="s">
        <v>1232</v>
      </c>
      <c r="JTQ2187" s="594" t="s">
        <v>1232</v>
      </c>
      <c r="JTR2187" s="594" t="s">
        <v>1232</v>
      </c>
      <c r="JTS2187" s="594" t="s">
        <v>1232</v>
      </c>
      <c r="JTT2187" s="594" t="s">
        <v>1232</v>
      </c>
      <c r="JTU2187" s="594" t="s">
        <v>1232</v>
      </c>
      <c r="JTV2187" s="594" t="s">
        <v>1232</v>
      </c>
      <c r="JTW2187" s="594" t="s">
        <v>1232</v>
      </c>
      <c r="JTX2187" s="594" t="s">
        <v>1232</v>
      </c>
      <c r="JTY2187" s="594" t="s">
        <v>1232</v>
      </c>
      <c r="JTZ2187" s="594" t="s">
        <v>1232</v>
      </c>
      <c r="JUA2187" s="594" t="s">
        <v>1232</v>
      </c>
      <c r="JUB2187" s="594" t="s">
        <v>1232</v>
      </c>
      <c r="JUC2187" s="594" t="s">
        <v>1232</v>
      </c>
      <c r="JUD2187" s="594" t="s">
        <v>1232</v>
      </c>
      <c r="JUE2187" s="594" t="s">
        <v>1232</v>
      </c>
      <c r="JUF2187" s="594" t="s">
        <v>1232</v>
      </c>
      <c r="JUG2187" s="594" t="s">
        <v>1232</v>
      </c>
      <c r="JUH2187" s="594" t="s">
        <v>1232</v>
      </c>
      <c r="JUI2187" s="594" t="s">
        <v>1232</v>
      </c>
      <c r="JUJ2187" s="594" t="s">
        <v>1232</v>
      </c>
      <c r="JUK2187" s="594" t="s">
        <v>1232</v>
      </c>
      <c r="JUL2187" s="594" t="s">
        <v>1232</v>
      </c>
      <c r="JUM2187" s="594" t="s">
        <v>1232</v>
      </c>
      <c r="JUN2187" s="594" t="s">
        <v>1232</v>
      </c>
      <c r="JUO2187" s="594" t="s">
        <v>1232</v>
      </c>
      <c r="JUP2187" s="594" t="s">
        <v>1232</v>
      </c>
      <c r="JUQ2187" s="594" t="s">
        <v>1232</v>
      </c>
      <c r="JUR2187" s="594" t="s">
        <v>1232</v>
      </c>
      <c r="JUS2187" s="594" t="s">
        <v>1232</v>
      </c>
      <c r="JUT2187" s="594" t="s">
        <v>1232</v>
      </c>
      <c r="JUU2187" s="594" t="s">
        <v>1232</v>
      </c>
      <c r="JUV2187" s="594" t="s">
        <v>1232</v>
      </c>
      <c r="JUW2187" s="594" t="s">
        <v>1232</v>
      </c>
      <c r="JUX2187" s="594" t="s">
        <v>1232</v>
      </c>
      <c r="JUY2187" s="594" t="s">
        <v>1232</v>
      </c>
      <c r="JUZ2187" s="594" t="s">
        <v>1232</v>
      </c>
      <c r="JVA2187" s="594" t="s">
        <v>1232</v>
      </c>
      <c r="JVB2187" s="594" t="s">
        <v>1232</v>
      </c>
      <c r="JVC2187" s="594" t="s">
        <v>1232</v>
      </c>
      <c r="JVD2187" s="594" t="s">
        <v>1232</v>
      </c>
      <c r="JVE2187" s="594" t="s">
        <v>1232</v>
      </c>
      <c r="JVF2187" s="594" t="s">
        <v>1232</v>
      </c>
      <c r="JVG2187" s="594" t="s">
        <v>1232</v>
      </c>
      <c r="JVH2187" s="594" t="s">
        <v>1232</v>
      </c>
      <c r="JVI2187" s="594" t="s">
        <v>1232</v>
      </c>
      <c r="JVJ2187" s="594" t="s">
        <v>1232</v>
      </c>
      <c r="JVK2187" s="594" t="s">
        <v>1232</v>
      </c>
      <c r="JVL2187" s="594" t="s">
        <v>1232</v>
      </c>
      <c r="JVM2187" s="594" t="s">
        <v>1232</v>
      </c>
      <c r="JVN2187" s="594" t="s">
        <v>1232</v>
      </c>
      <c r="JVO2187" s="594" t="s">
        <v>1232</v>
      </c>
      <c r="JVP2187" s="594" t="s">
        <v>1232</v>
      </c>
      <c r="JVQ2187" s="594" t="s">
        <v>1232</v>
      </c>
      <c r="JVR2187" s="594" t="s">
        <v>1232</v>
      </c>
      <c r="JVS2187" s="594" t="s">
        <v>1232</v>
      </c>
      <c r="JVT2187" s="594" t="s">
        <v>1232</v>
      </c>
      <c r="JVU2187" s="594" t="s">
        <v>1232</v>
      </c>
      <c r="JVV2187" s="594" t="s">
        <v>1232</v>
      </c>
      <c r="JVW2187" s="594" t="s">
        <v>1232</v>
      </c>
      <c r="JVX2187" s="594" t="s">
        <v>1232</v>
      </c>
      <c r="JVY2187" s="594" t="s">
        <v>1232</v>
      </c>
      <c r="JVZ2187" s="594" t="s">
        <v>1232</v>
      </c>
      <c r="JWA2187" s="594" t="s">
        <v>1232</v>
      </c>
      <c r="JWB2187" s="594" t="s">
        <v>1232</v>
      </c>
      <c r="JWC2187" s="594" t="s">
        <v>1232</v>
      </c>
      <c r="JWD2187" s="594" t="s">
        <v>1232</v>
      </c>
      <c r="JWE2187" s="594" t="s">
        <v>1232</v>
      </c>
      <c r="JWF2187" s="594" t="s">
        <v>1232</v>
      </c>
      <c r="JWG2187" s="594" t="s">
        <v>1232</v>
      </c>
      <c r="JWH2187" s="594" t="s">
        <v>1232</v>
      </c>
      <c r="JWI2187" s="594" t="s">
        <v>1232</v>
      </c>
      <c r="JWJ2187" s="594" t="s">
        <v>1232</v>
      </c>
      <c r="JWK2187" s="594" t="s">
        <v>1232</v>
      </c>
      <c r="JWL2187" s="594" t="s">
        <v>1232</v>
      </c>
      <c r="JWM2187" s="594" t="s">
        <v>1232</v>
      </c>
      <c r="JWN2187" s="594" t="s">
        <v>1232</v>
      </c>
      <c r="JWO2187" s="594" t="s">
        <v>1232</v>
      </c>
      <c r="JWP2187" s="594" t="s">
        <v>1232</v>
      </c>
      <c r="JWQ2187" s="594" t="s">
        <v>1232</v>
      </c>
      <c r="JWR2187" s="594" t="s">
        <v>1232</v>
      </c>
      <c r="JWS2187" s="594" t="s">
        <v>1232</v>
      </c>
      <c r="JWT2187" s="594" t="s">
        <v>1232</v>
      </c>
      <c r="JWU2187" s="594" t="s">
        <v>1232</v>
      </c>
      <c r="JWV2187" s="594" t="s">
        <v>1232</v>
      </c>
      <c r="JWW2187" s="594" t="s">
        <v>1232</v>
      </c>
      <c r="JWX2187" s="594" t="s">
        <v>1232</v>
      </c>
      <c r="JWY2187" s="594" t="s">
        <v>1232</v>
      </c>
      <c r="JWZ2187" s="594" t="s">
        <v>1232</v>
      </c>
      <c r="JXA2187" s="594" t="s">
        <v>1232</v>
      </c>
      <c r="JXB2187" s="594" t="s">
        <v>1232</v>
      </c>
      <c r="JXC2187" s="594" t="s">
        <v>1232</v>
      </c>
      <c r="JXD2187" s="594" t="s">
        <v>1232</v>
      </c>
      <c r="JXE2187" s="594" t="s">
        <v>1232</v>
      </c>
      <c r="JXF2187" s="594" t="s">
        <v>1232</v>
      </c>
      <c r="JXG2187" s="594" t="s">
        <v>1232</v>
      </c>
      <c r="JXH2187" s="594" t="s">
        <v>1232</v>
      </c>
      <c r="JXI2187" s="594" t="s">
        <v>1232</v>
      </c>
      <c r="JXJ2187" s="594" t="s">
        <v>1232</v>
      </c>
      <c r="JXK2187" s="594" t="s">
        <v>1232</v>
      </c>
      <c r="JXL2187" s="594" t="s">
        <v>1232</v>
      </c>
      <c r="JXM2187" s="594" t="s">
        <v>1232</v>
      </c>
      <c r="JXN2187" s="594" t="s">
        <v>1232</v>
      </c>
      <c r="JXO2187" s="594" t="s">
        <v>1232</v>
      </c>
      <c r="JXP2187" s="594" t="s">
        <v>1232</v>
      </c>
      <c r="JXQ2187" s="594" t="s">
        <v>1232</v>
      </c>
      <c r="JXR2187" s="594" t="s">
        <v>1232</v>
      </c>
      <c r="JXS2187" s="594" t="s">
        <v>1232</v>
      </c>
      <c r="JXT2187" s="594" t="s">
        <v>1232</v>
      </c>
      <c r="JXU2187" s="594" t="s">
        <v>1232</v>
      </c>
      <c r="JXV2187" s="594" t="s">
        <v>1232</v>
      </c>
      <c r="JXW2187" s="594" t="s">
        <v>1232</v>
      </c>
      <c r="JXX2187" s="594" t="s">
        <v>1232</v>
      </c>
      <c r="JXY2187" s="594" t="s">
        <v>1232</v>
      </c>
      <c r="JXZ2187" s="594" t="s">
        <v>1232</v>
      </c>
      <c r="JYA2187" s="594" t="s">
        <v>1232</v>
      </c>
      <c r="JYB2187" s="594" t="s">
        <v>1232</v>
      </c>
      <c r="JYC2187" s="594" t="s">
        <v>1232</v>
      </c>
      <c r="JYD2187" s="594" t="s">
        <v>1232</v>
      </c>
      <c r="JYE2187" s="594" t="s">
        <v>1232</v>
      </c>
      <c r="JYF2187" s="594" t="s">
        <v>1232</v>
      </c>
      <c r="JYG2187" s="594" t="s">
        <v>1232</v>
      </c>
      <c r="JYH2187" s="594" t="s">
        <v>1232</v>
      </c>
      <c r="JYI2187" s="594" t="s">
        <v>1232</v>
      </c>
      <c r="JYJ2187" s="594" t="s">
        <v>1232</v>
      </c>
      <c r="JYK2187" s="594" t="s">
        <v>1232</v>
      </c>
      <c r="JYL2187" s="594" t="s">
        <v>1232</v>
      </c>
      <c r="JYM2187" s="594" t="s">
        <v>1232</v>
      </c>
      <c r="JYN2187" s="594" t="s">
        <v>1232</v>
      </c>
      <c r="JYO2187" s="594" t="s">
        <v>1232</v>
      </c>
      <c r="JYP2187" s="594" t="s">
        <v>1232</v>
      </c>
      <c r="JYQ2187" s="594" t="s">
        <v>1232</v>
      </c>
      <c r="JYR2187" s="594" t="s">
        <v>1232</v>
      </c>
      <c r="JYS2187" s="594" t="s">
        <v>1232</v>
      </c>
      <c r="JYT2187" s="594" t="s">
        <v>1232</v>
      </c>
      <c r="JYU2187" s="594" t="s">
        <v>1232</v>
      </c>
      <c r="JYV2187" s="594" t="s">
        <v>1232</v>
      </c>
      <c r="JYW2187" s="594" t="s">
        <v>1232</v>
      </c>
      <c r="JYX2187" s="594" t="s">
        <v>1232</v>
      </c>
      <c r="JYY2187" s="594" t="s">
        <v>1232</v>
      </c>
      <c r="JYZ2187" s="594" t="s">
        <v>1232</v>
      </c>
      <c r="JZA2187" s="594" t="s">
        <v>1232</v>
      </c>
      <c r="JZB2187" s="594" t="s">
        <v>1232</v>
      </c>
      <c r="JZC2187" s="594" t="s">
        <v>1232</v>
      </c>
      <c r="JZD2187" s="594" t="s">
        <v>1232</v>
      </c>
      <c r="JZE2187" s="594" t="s">
        <v>1232</v>
      </c>
      <c r="JZF2187" s="594" t="s">
        <v>1232</v>
      </c>
      <c r="JZG2187" s="594" t="s">
        <v>1232</v>
      </c>
      <c r="JZH2187" s="594" t="s">
        <v>1232</v>
      </c>
      <c r="JZI2187" s="594" t="s">
        <v>1232</v>
      </c>
      <c r="JZJ2187" s="594" t="s">
        <v>1232</v>
      </c>
      <c r="JZK2187" s="594" t="s">
        <v>1232</v>
      </c>
      <c r="JZL2187" s="594" t="s">
        <v>1232</v>
      </c>
      <c r="JZM2187" s="594" t="s">
        <v>1232</v>
      </c>
      <c r="JZN2187" s="594" t="s">
        <v>1232</v>
      </c>
      <c r="JZO2187" s="594" t="s">
        <v>1232</v>
      </c>
      <c r="JZP2187" s="594" t="s">
        <v>1232</v>
      </c>
      <c r="JZQ2187" s="594" t="s">
        <v>1232</v>
      </c>
      <c r="JZR2187" s="594" t="s">
        <v>1232</v>
      </c>
      <c r="JZS2187" s="594" t="s">
        <v>1232</v>
      </c>
      <c r="JZT2187" s="594" t="s">
        <v>1232</v>
      </c>
      <c r="JZU2187" s="594" t="s">
        <v>1232</v>
      </c>
      <c r="JZV2187" s="594" t="s">
        <v>1232</v>
      </c>
      <c r="JZW2187" s="594" t="s">
        <v>1232</v>
      </c>
      <c r="JZX2187" s="594" t="s">
        <v>1232</v>
      </c>
      <c r="JZY2187" s="594" t="s">
        <v>1232</v>
      </c>
      <c r="JZZ2187" s="594" t="s">
        <v>1232</v>
      </c>
      <c r="KAA2187" s="594" t="s">
        <v>1232</v>
      </c>
      <c r="KAB2187" s="594" t="s">
        <v>1232</v>
      </c>
      <c r="KAC2187" s="594" t="s">
        <v>1232</v>
      </c>
      <c r="KAD2187" s="594" t="s">
        <v>1232</v>
      </c>
      <c r="KAE2187" s="594" t="s">
        <v>1232</v>
      </c>
      <c r="KAF2187" s="594" t="s">
        <v>1232</v>
      </c>
      <c r="KAG2187" s="594" t="s">
        <v>1232</v>
      </c>
      <c r="KAH2187" s="594" t="s">
        <v>1232</v>
      </c>
      <c r="KAI2187" s="594" t="s">
        <v>1232</v>
      </c>
      <c r="KAJ2187" s="594" t="s">
        <v>1232</v>
      </c>
      <c r="KAK2187" s="594" t="s">
        <v>1232</v>
      </c>
      <c r="KAL2187" s="594" t="s">
        <v>1232</v>
      </c>
      <c r="KAM2187" s="594" t="s">
        <v>1232</v>
      </c>
      <c r="KAN2187" s="594" t="s">
        <v>1232</v>
      </c>
      <c r="KAO2187" s="594" t="s">
        <v>1232</v>
      </c>
      <c r="KAP2187" s="594" t="s">
        <v>1232</v>
      </c>
      <c r="KAQ2187" s="594" t="s">
        <v>1232</v>
      </c>
      <c r="KAR2187" s="594" t="s">
        <v>1232</v>
      </c>
      <c r="KAS2187" s="594" t="s">
        <v>1232</v>
      </c>
      <c r="KAT2187" s="594" t="s">
        <v>1232</v>
      </c>
      <c r="KAU2187" s="594" t="s">
        <v>1232</v>
      </c>
      <c r="KAV2187" s="594" t="s">
        <v>1232</v>
      </c>
      <c r="KAW2187" s="594" t="s">
        <v>1232</v>
      </c>
      <c r="KAX2187" s="594" t="s">
        <v>1232</v>
      </c>
      <c r="KAY2187" s="594" t="s">
        <v>1232</v>
      </c>
      <c r="KAZ2187" s="594" t="s">
        <v>1232</v>
      </c>
      <c r="KBA2187" s="594" t="s">
        <v>1232</v>
      </c>
      <c r="KBB2187" s="594" t="s">
        <v>1232</v>
      </c>
      <c r="KBC2187" s="594" t="s">
        <v>1232</v>
      </c>
      <c r="KBD2187" s="594" t="s">
        <v>1232</v>
      </c>
      <c r="KBE2187" s="594" t="s">
        <v>1232</v>
      </c>
      <c r="KBF2187" s="594" t="s">
        <v>1232</v>
      </c>
      <c r="KBG2187" s="594" t="s">
        <v>1232</v>
      </c>
      <c r="KBH2187" s="594" t="s">
        <v>1232</v>
      </c>
      <c r="KBI2187" s="594" t="s">
        <v>1232</v>
      </c>
      <c r="KBJ2187" s="594" t="s">
        <v>1232</v>
      </c>
      <c r="KBK2187" s="594" t="s">
        <v>1232</v>
      </c>
      <c r="KBL2187" s="594" t="s">
        <v>1232</v>
      </c>
      <c r="KBM2187" s="594" t="s">
        <v>1232</v>
      </c>
      <c r="KBN2187" s="594" t="s">
        <v>1232</v>
      </c>
      <c r="KBO2187" s="594" t="s">
        <v>1232</v>
      </c>
      <c r="KBP2187" s="594" t="s">
        <v>1232</v>
      </c>
      <c r="KBQ2187" s="594" t="s">
        <v>1232</v>
      </c>
      <c r="KBR2187" s="594" t="s">
        <v>1232</v>
      </c>
      <c r="KBS2187" s="594" t="s">
        <v>1232</v>
      </c>
      <c r="KBT2187" s="594" t="s">
        <v>1232</v>
      </c>
      <c r="KBU2187" s="594" t="s">
        <v>1232</v>
      </c>
      <c r="KBV2187" s="594" t="s">
        <v>1232</v>
      </c>
      <c r="KBW2187" s="594" t="s">
        <v>1232</v>
      </c>
      <c r="KBX2187" s="594" t="s">
        <v>1232</v>
      </c>
      <c r="KBY2187" s="594" t="s">
        <v>1232</v>
      </c>
      <c r="KBZ2187" s="594" t="s">
        <v>1232</v>
      </c>
      <c r="KCA2187" s="594" t="s">
        <v>1232</v>
      </c>
      <c r="KCB2187" s="594" t="s">
        <v>1232</v>
      </c>
      <c r="KCC2187" s="594" t="s">
        <v>1232</v>
      </c>
      <c r="KCD2187" s="594" t="s">
        <v>1232</v>
      </c>
      <c r="KCE2187" s="594" t="s">
        <v>1232</v>
      </c>
      <c r="KCF2187" s="594" t="s">
        <v>1232</v>
      </c>
      <c r="KCG2187" s="594" t="s">
        <v>1232</v>
      </c>
      <c r="KCH2187" s="594" t="s">
        <v>1232</v>
      </c>
      <c r="KCI2187" s="594" t="s">
        <v>1232</v>
      </c>
      <c r="KCJ2187" s="594" t="s">
        <v>1232</v>
      </c>
      <c r="KCK2187" s="594" t="s">
        <v>1232</v>
      </c>
      <c r="KCL2187" s="594" t="s">
        <v>1232</v>
      </c>
      <c r="KCM2187" s="594" t="s">
        <v>1232</v>
      </c>
      <c r="KCN2187" s="594" t="s">
        <v>1232</v>
      </c>
      <c r="KCO2187" s="594" t="s">
        <v>1232</v>
      </c>
      <c r="KCP2187" s="594" t="s">
        <v>1232</v>
      </c>
      <c r="KCQ2187" s="594" t="s">
        <v>1232</v>
      </c>
      <c r="KCR2187" s="594" t="s">
        <v>1232</v>
      </c>
      <c r="KCS2187" s="594" t="s">
        <v>1232</v>
      </c>
      <c r="KCT2187" s="594" t="s">
        <v>1232</v>
      </c>
      <c r="KCU2187" s="594" t="s">
        <v>1232</v>
      </c>
      <c r="KCV2187" s="594" t="s">
        <v>1232</v>
      </c>
      <c r="KCW2187" s="594" t="s">
        <v>1232</v>
      </c>
      <c r="KCX2187" s="594" t="s">
        <v>1232</v>
      </c>
      <c r="KCY2187" s="594" t="s">
        <v>1232</v>
      </c>
      <c r="KCZ2187" s="594" t="s">
        <v>1232</v>
      </c>
      <c r="KDA2187" s="594" t="s">
        <v>1232</v>
      </c>
      <c r="KDB2187" s="594" t="s">
        <v>1232</v>
      </c>
      <c r="KDC2187" s="594" t="s">
        <v>1232</v>
      </c>
      <c r="KDD2187" s="594" t="s">
        <v>1232</v>
      </c>
      <c r="KDE2187" s="594" t="s">
        <v>1232</v>
      </c>
      <c r="KDF2187" s="594" t="s">
        <v>1232</v>
      </c>
      <c r="KDG2187" s="594" t="s">
        <v>1232</v>
      </c>
      <c r="KDH2187" s="594" t="s">
        <v>1232</v>
      </c>
      <c r="KDI2187" s="594" t="s">
        <v>1232</v>
      </c>
      <c r="KDJ2187" s="594" t="s">
        <v>1232</v>
      </c>
      <c r="KDK2187" s="594" t="s">
        <v>1232</v>
      </c>
      <c r="KDL2187" s="594" t="s">
        <v>1232</v>
      </c>
      <c r="KDM2187" s="594" t="s">
        <v>1232</v>
      </c>
      <c r="KDN2187" s="594" t="s">
        <v>1232</v>
      </c>
      <c r="KDO2187" s="594" t="s">
        <v>1232</v>
      </c>
      <c r="KDP2187" s="594" t="s">
        <v>1232</v>
      </c>
      <c r="KDQ2187" s="594" t="s">
        <v>1232</v>
      </c>
      <c r="KDR2187" s="594" t="s">
        <v>1232</v>
      </c>
      <c r="KDS2187" s="594" t="s">
        <v>1232</v>
      </c>
      <c r="KDT2187" s="594" t="s">
        <v>1232</v>
      </c>
      <c r="KDU2187" s="594" t="s">
        <v>1232</v>
      </c>
      <c r="KDV2187" s="594" t="s">
        <v>1232</v>
      </c>
      <c r="KDW2187" s="594" t="s">
        <v>1232</v>
      </c>
      <c r="KDX2187" s="594" t="s">
        <v>1232</v>
      </c>
      <c r="KDY2187" s="594" t="s">
        <v>1232</v>
      </c>
      <c r="KDZ2187" s="594" t="s">
        <v>1232</v>
      </c>
      <c r="KEA2187" s="594" t="s">
        <v>1232</v>
      </c>
      <c r="KEB2187" s="594" t="s">
        <v>1232</v>
      </c>
      <c r="KEC2187" s="594" t="s">
        <v>1232</v>
      </c>
      <c r="KED2187" s="594" t="s">
        <v>1232</v>
      </c>
      <c r="KEE2187" s="594" t="s">
        <v>1232</v>
      </c>
      <c r="KEF2187" s="594" t="s">
        <v>1232</v>
      </c>
      <c r="KEG2187" s="594" t="s">
        <v>1232</v>
      </c>
      <c r="KEH2187" s="594" t="s">
        <v>1232</v>
      </c>
      <c r="KEI2187" s="594" t="s">
        <v>1232</v>
      </c>
      <c r="KEJ2187" s="594" t="s">
        <v>1232</v>
      </c>
      <c r="KEK2187" s="594" t="s">
        <v>1232</v>
      </c>
      <c r="KEL2187" s="594" t="s">
        <v>1232</v>
      </c>
      <c r="KEM2187" s="594" t="s">
        <v>1232</v>
      </c>
      <c r="KEN2187" s="594" t="s">
        <v>1232</v>
      </c>
      <c r="KEO2187" s="594" t="s">
        <v>1232</v>
      </c>
      <c r="KEP2187" s="594" t="s">
        <v>1232</v>
      </c>
      <c r="KEQ2187" s="594" t="s">
        <v>1232</v>
      </c>
      <c r="KER2187" s="594" t="s">
        <v>1232</v>
      </c>
      <c r="KES2187" s="594" t="s">
        <v>1232</v>
      </c>
      <c r="KET2187" s="594" t="s">
        <v>1232</v>
      </c>
      <c r="KEU2187" s="594" t="s">
        <v>1232</v>
      </c>
      <c r="KEV2187" s="594" t="s">
        <v>1232</v>
      </c>
      <c r="KEW2187" s="594" t="s">
        <v>1232</v>
      </c>
      <c r="KEX2187" s="594" t="s">
        <v>1232</v>
      </c>
      <c r="KEY2187" s="594" t="s">
        <v>1232</v>
      </c>
      <c r="KEZ2187" s="594" t="s">
        <v>1232</v>
      </c>
      <c r="KFA2187" s="594" t="s">
        <v>1232</v>
      </c>
      <c r="KFB2187" s="594" t="s">
        <v>1232</v>
      </c>
      <c r="KFC2187" s="594" t="s">
        <v>1232</v>
      </c>
      <c r="KFD2187" s="594" t="s">
        <v>1232</v>
      </c>
      <c r="KFE2187" s="594" t="s">
        <v>1232</v>
      </c>
      <c r="KFF2187" s="594" t="s">
        <v>1232</v>
      </c>
      <c r="KFG2187" s="594" t="s">
        <v>1232</v>
      </c>
      <c r="KFH2187" s="594" t="s">
        <v>1232</v>
      </c>
      <c r="KFI2187" s="594" t="s">
        <v>1232</v>
      </c>
      <c r="KFJ2187" s="594" t="s">
        <v>1232</v>
      </c>
      <c r="KFK2187" s="594" t="s">
        <v>1232</v>
      </c>
      <c r="KFL2187" s="594" t="s">
        <v>1232</v>
      </c>
      <c r="KFM2187" s="594" t="s">
        <v>1232</v>
      </c>
      <c r="KFN2187" s="594" t="s">
        <v>1232</v>
      </c>
      <c r="KFO2187" s="594" t="s">
        <v>1232</v>
      </c>
      <c r="KFP2187" s="594" t="s">
        <v>1232</v>
      </c>
      <c r="KFQ2187" s="594" t="s">
        <v>1232</v>
      </c>
      <c r="KFR2187" s="594" t="s">
        <v>1232</v>
      </c>
      <c r="KFS2187" s="594" t="s">
        <v>1232</v>
      </c>
      <c r="KFT2187" s="594" t="s">
        <v>1232</v>
      </c>
      <c r="KFU2187" s="594" t="s">
        <v>1232</v>
      </c>
      <c r="KFV2187" s="594" t="s">
        <v>1232</v>
      </c>
      <c r="KFW2187" s="594" t="s">
        <v>1232</v>
      </c>
      <c r="KFX2187" s="594" t="s">
        <v>1232</v>
      </c>
      <c r="KFY2187" s="594" t="s">
        <v>1232</v>
      </c>
      <c r="KFZ2187" s="594" t="s">
        <v>1232</v>
      </c>
      <c r="KGA2187" s="594" t="s">
        <v>1232</v>
      </c>
      <c r="KGB2187" s="594" t="s">
        <v>1232</v>
      </c>
      <c r="KGC2187" s="594" t="s">
        <v>1232</v>
      </c>
      <c r="KGD2187" s="594" t="s">
        <v>1232</v>
      </c>
      <c r="KGE2187" s="594" t="s">
        <v>1232</v>
      </c>
      <c r="KGF2187" s="594" t="s">
        <v>1232</v>
      </c>
      <c r="KGG2187" s="594" t="s">
        <v>1232</v>
      </c>
      <c r="KGH2187" s="594" t="s">
        <v>1232</v>
      </c>
      <c r="KGI2187" s="594" t="s">
        <v>1232</v>
      </c>
      <c r="KGJ2187" s="594" t="s">
        <v>1232</v>
      </c>
      <c r="KGK2187" s="594" t="s">
        <v>1232</v>
      </c>
      <c r="KGL2187" s="594" t="s">
        <v>1232</v>
      </c>
      <c r="KGM2187" s="594" t="s">
        <v>1232</v>
      </c>
      <c r="KGN2187" s="594" t="s">
        <v>1232</v>
      </c>
      <c r="KGO2187" s="594" t="s">
        <v>1232</v>
      </c>
      <c r="KGP2187" s="594" t="s">
        <v>1232</v>
      </c>
      <c r="KGQ2187" s="594" t="s">
        <v>1232</v>
      </c>
      <c r="KGR2187" s="594" t="s">
        <v>1232</v>
      </c>
      <c r="KGS2187" s="594" t="s">
        <v>1232</v>
      </c>
      <c r="KGT2187" s="594" t="s">
        <v>1232</v>
      </c>
      <c r="KGU2187" s="594" t="s">
        <v>1232</v>
      </c>
      <c r="KGV2187" s="594" t="s">
        <v>1232</v>
      </c>
      <c r="KGW2187" s="594" t="s">
        <v>1232</v>
      </c>
      <c r="KGX2187" s="594" t="s">
        <v>1232</v>
      </c>
      <c r="KGY2187" s="594" t="s">
        <v>1232</v>
      </c>
      <c r="KGZ2187" s="594" t="s">
        <v>1232</v>
      </c>
      <c r="KHA2187" s="594" t="s">
        <v>1232</v>
      </c>
      <c r="KHB2187" s="594" t="s">
        <v>1232</v>
      </c>
      <c r="KHC2187" s="594" t="s">
        <v>1232</v>
      </c>
      <c r="KHD2187" s="594" t="s">
        <v>1232</v>
      </c>
      <c r="KHE2187" s="594" t="s">
        <v>1232</v>
      </c>
      <c r="KHF2187" s="594" t="s">
        <v>1232</v>
      </c>
      <c r="KHG2187" s="594" t="s">
        <v>1232</v>
      </c>
      <c r="KHH2187" s="594" t="s">
        <v>1232</v>
      </c>
      <c r="KHI2187" s="594" t="s">
        <v>1232</v>
      </c>
      <c r="KHJ2187" s="594" t="s">
        <v>1232</v>
      </c>
      <c r="KHK2187" s="594" t="s">
        <v>1232</v>
      </c>
      <c r="KHL2187" s="594" t="s">
        <v>1232</v>
      </c>
      <c r="KHM2187" s="594" t="s">
        <v>1232</v>
      </c>
      <c r="KHN2187" s="594" t="s">
        <v>1232</v>
      </c>
      <c r="KHO2187" s="594" t="s">
        <v>1232</v>
      </c>
      <c r="KHP2187" s="594" t="s">
        <v>1232</v>
      </c>
      <c r="KHQ2187" s="594" t="s">
        <v>1232</v>
      </c>
      <c r="KHR2187" s="594" t="s">
        <v>1232</v>
      </c>
      <c r="KHS2187" s="594" t="s">
        <v>1232</v>
      </c>
      <c r="KHT2187" s="594" t="s">
        <v>1232</v>
      </c>
      <c r="KHU2187" s="594" t="s">
        <v>1232</v>
      </c>
      <c r="KHV2187" s="594" t="s">
        <v>1232</v>
      </c>
      <c r="KHW2187" s="594" t="s">
        <v>1232</v>
      </c>
      <c r="KHX2187" s="594" t="s">
        <v>1232</v>
      </c>
      <c r="KHY2187" s="594" t="s">
        <v>1232</v>
      </c>
      <c r="KHZ2187" s="594" t="s">
        <v>1232</v>
      </c>
      <c r="KIA2187" s="594" t="s">
        <v>1232</v>
      </c>
      <c r="KIB2187" s="594" t="s">
        <v>1232</v>
      </c>
      <c r="KIC2187" s="594" t="s">
        <v>1232</v>
      </c>
      <c r="KID2187" s="594" t="s">
        <v>1232</v>
      </c>
      <c r="KIE2187" s="594" t="s">
        <v>1232</v>
      </c>
      <c r="KIF2187" s="594" t="s">
        <v>1232</v>
      </c>
      <c r="KIG2187" s="594" t="s">
        <v>1232</v>
      </c>
      <c r="KIH2187" s="594" t="s">
        <v>1232</v>
      </c>
      <c r="KII2187" s="594" t="s">
        <v>1232</v>
      </c>
      <c r="KIJ2187" s="594" t="s">
        <v>1232</v>
      </c>
      <c r="KIK2187" s="594" t="s">
        <v>1232</v>
      </c>
      <c r="KIL2187" s="594" t="s">
        <v>1232</v>
      </c>
      <c r="KIM2187" s="594" t="s">
        <v>1232</v>
      </c>
      <c r="KIN2187" s="594" t="s">
        <v>1232</v>
      </c>
      <c r="KIO2187" s="594" t="s">
        <v>1232</v>
      </c>
      <c r="KIP2187" s="594" t="s">
        <v>1232</v>
      </c>
      <c r="KIQ2187" s="594" t="s">
        <v>1232</v>
      </c>
      <c r="KIR2187" s="594" t="s">
        <v>1232</v>
      </c>
      <c r="KIS2187" s="594" t="s">
        <v>1232</v>
      </c>
      <c r="KIT2187" s="594" t="s">
        <v>1232</v>
      </c>
      <c r="KIU2187" s="594" t="s">
        <v>1232</v>
      </c>
      <c r="KIV2187" s="594" t="s">
        <v>1232</v>
      </c>
      <c r="KIW2187" s="594" t="s">
        <v>1232</v>
      </c>
      <c r="KIX2187" s="594" t="s">
        <v>1232</v>
      </c>
      <c r="KIY2187" s="594" t="s">
        <v>1232</v>
      </c>
      <c r="KIZ2187" s="594" t="s">
        <v>1232</v>
      </c>
      <c r="KJA2187" s="594" t="s">
        <v>1232</v>
      </c>
      <c r="KJB2187" s="594" t="s">
        <v>1232</v>
      </c>
      <c r="KJC2187" s="594" t="s">
        <v>1232</v>
      </c>
      <c r="KJD2187" s="594" t="s">
        <v>1232</v>
      </c>
      <c r="KJE2187" s="594" t="s">
        <v>1232</v>
      </c>
      <c r="KJF2187" s="594" t="s">
        <v>1232</v>
      </c>
      <c r="KJG2187" s="594" t="s">
        <v>1232</v>
      </c>
      <c r="KJH2187" s="594" t="s">
        <v>1232</v>
      </c>
      <c r="KJI2187" s="594" t="s">
        <v>1232</v>
      </c>
      <c r="KJJ2187" s="594" t="s">
        <v>1232</v>
      </c>
      <c r="KJK2187" s="594" t="s">
        <v>1232</v>
      </c>
      <c r="KJL2187" s="594" t="s">
        <v>1232</v>
      </c>
      <c r="KJM2187" s="594" t="s">
        <v>1232</v>
      </c>
      <c r="KJN2187" s="594" t="s">
        <v>1232</v>
      </c>
      <c r="KJO2187" s="594" t="s">
        <v>1232</v>
      </c>
      <c r="KJP2187" s="594" t="s">
        <v>1232</v>
      </c>
      <c r="KJQ2187" s="594" t="s">
        <v>1232</v>
      </c>
      <c r="KJR2187" s="594" t="s">
        <v>1232</v>
      </c>
      <c r="KJS2187" s="594" t="s">
        <v>1232</v>
      </c>
      <c r="KJT2187" s="594" t="s">
        <v>1232</v>
      </c>
      <c r="KJU2187" s="594" t="s">
        <v>1232</v>
      </c>
      <c r="KJV2187" s="594" t="s">
        <v>1232</v>
      </c>
      <c r="KJW2187" s="594" t="s">
        <v>1232</v>
      </c>
      <c r="KJX2187" s="594" t="s">
        <v>1232</v>
      </c>
      <c r="KJY2187" s="594" t="s">
        <v>1232</v>
      </c>
      <c r="KJZ2187" s="594" t="s">
        <v>1232</v>
      </c>
      <c r="KKA2187" s="594" t="s">
        <v>1232</v>
      </c>
      <c r="KKB2187" s="594" t="s">
        <v>1232</v>
      </c>
      <c r="KKC2187" s="594" t="s">
        <v>1232</v>
      </c>
      <c r="KKD2187" s="594" t="s">
        <v>1232</v>
      </c>
      <c r="KKE2187" s="594" t="s">
        <v>1232</v>
      </c>
      <c r="KKF2187" s="594" t="s">
        <v>1232</v>
      </c>
      <c r="KKG2187" s="594" t="s">
        <v>1232</v>
      </c>
      <c r="KKH2187" s="594" t="s">
        <v>1232</v>
      </c>
      <c r="KKI2187" s="594" t="s">
        <v>1232</v>
      </c>
      <c r="KKJ2187" s="594" t="s">
        <v>1232</v>
      </c>
      <c r="KKK2187" s="594" t="s">
        <v>1232</v>
      </c>
      <c r="KKL2187" s="594" t="s">
        <v>1232</v>
      </c>
      <c r="KKM2187" s="594" t="s">
        <v>1232</v>
      </c>
      <c r="KKN2187" s="594" t="s">
        <v>1232</v>
      </c>
      <c r="KKO2187" s="594" t="s">
        <v>1232</v>
      </c>
      <c r="KKP2187" s="594" t="s">
        <v>1232</v>
      </c>
      <c r="KKQ2187" s="594" t="s">
        <v>1232</v>
      </c>
      <c r="KKR2187" s="594" t="s">
        <v>1232</v>
      </c>
      <c r="KKS2187" s="594" t="s">
        <v>1232</v>
      </c>
      <c r="KKT2187" s="594" t="s">
        <v>1232</v>
      </c>
      <c r="KKU2187" s="594" t="s">
        <v>1232</v>
      </c>
      <c r="KKV2187" s="594" t="s">
        <v>1232</v>
      </c>
      <c r="KKW2187" s="594" t="s">
        <v>1232</v>
      </c>
      <c r="KKX2187" s="594" t="s">
        <v>1232</v>
      </c>
      <c r="KKY2187" s="594" t="s">
        <v>1232</v>
      </c>
      <c r="KKZ2187" s="594" t="s">
        <v>1232</v>
      </c>
      <c r="KLA2187" s="594" t="s">
        <v>1232</v>
      </c>
      <c r="KLB2187" s="594" t="s">
        <v>1232</v>
      </c>
      <c r="KLC2187" s="594" t="s">
        <v>1232</v>
      </c>
      <c r="KLD2187" s="594" t="s">
        <v>1232</v>
      </c>
      <c r="KLE2187" s="594" t="s">
        <v>1232</v>
      </c>
      <c r="KLF2187" s="594" t="s">
        <v>1232</v>
      </c>
      <c r="KLG2187" s="594" t="s">
        <v>1232</v>
      </c>
      <c r="KLH2187" s="594" t="s">
        <v>1232</v>
      </c>
      <c r="KLI2187" s="594" t="s">
        <v>1232</v>
      </c>
      <c r="KLJ2187" s="594" t="s">
        <v>1232</v>
      </c>
      <c r="KLK2187" s="594" t="s">
        <v>1232</v>
      </c>
      <c r="KLL2187" s="594" t="s">
        <v>1232</v>
      </c>
      <c r="KLM2187" s="594" t="s">
        <v>1232</v>
      </c>
      <c r="KLN2187" s="594" t="s">
        <v>1232</v>
      </c>
      <c r="KLO2187" s="594" t="s">
        <v>1232</v>
      </c>
      <c r="KLP2187" s="594" t="s">
        <v>1232</v>
      </c>
      <c r="KLQ2187" s="594" t="s">
        <v>1232</v>
      </c>
      <c r="KLR2187" s="594" t="s">
        <v>1232</v>
      </c>
      <c r="KLS2187" s="594" t="s">
        <v>1232</v>
      </c>
      <c r="KLT2187" s="594" t="s">
        <v>1232</v>
      </c>
      <c r="KLU2187" s="594" t="s">
        <v>1232</v>
      </c>
      <c r="KLV2187" s="594" t="s">
        <v>1232</v>
      </c>
      <c r="KLW2187" s="594" t="s">
        <v>1232</v>
      </c>
      <c r="KLX2187" s="594" t="s">
        <v>1232</v>
      </c>
      <c r="KLY2187" s="594" t="s">
        <v>1232</v>
      </c>
      <c r="KLZ2187" s="594" t="s">
        <v>1232</v>
      </c>
      <c r="KMA2187" s="594" t="s">
        <v>1232</v>
      </c>
      <c r="KMB2187" s="594" t="s">
        <v>1232</v>
      </c>
      <c r="KMC2187" s="594" t="s">
        <v>1232</v>
      </c>
      <c r="KMD2187" s="594" t="s">
        <v>1232</v>
      </c>
      <c r="KME2187" s="594" t="s">
        <v>1232</v>
      </c>
      <c r="KMF2187" s="594" t="s">
        <v>1232</v>
      </c>
      <c r="KMG2187" s="594" t="s">
        <v>1232</v>
      </c>
      <c r="KMH2187" s="594" t="s">
        <v>1232</v>
      </c>
      <c r="KMI2187" s="594" t="s">
        <v>1232</v>
      </c>
      <c r="KMJ2187" s="594" t="s">
        <v>1232</v>
      </c>
      <c r="KMK2187" s="594" t="s">
        <v>1232</v>
      </c>
      <c r="KML2187" s="594" t="s">
        <v>1232</v>
      </c>
      <c r="KMM2187" s="594" t="s">
        <v>1232</v>
      </c>
      <c r="KMN2187" s="594" t="s">
        <v>1232</v>
      </c>
      <c r="KMO2187" s="594" t="s">
        <v>1232</v>
      </c>
      <c r="KMP2187" s="594" t="s">
        <v>1232</v>
      </c>
      <c r="KMQ2187" s="594" t="s">
        <v>1232</v>
      </c>
      <c r="KMR2187" s="594" t="s">
        <v>1232</v>
      </c>
      <c r="KMS2187" s="594" t="s">
        <v>1232</v>
      </c>
      <c r="KMT2187" s="594" t="s">
        <v>1232</v>
      </c>
      <c r="KMU2187" s="594" t="s">
        <v>1232</v>
      </c>
      <c r="KMV2187" s="594" t="s">
        <v>1232</v>
      </c>
      <c r="KMW2187" s="594" t="s">
        <v>1232</v>
      </c>
      <c r="KMX2187" s="594" t="s">
        <v>1232</v>
      </c>
      <c r="KMY2187" s="594" t="s">
        <v>1232</v>
      </c>
      <c r="KMZ2187" s="594" t="s">
        <v>1232</v>
      </c>
      <c r="KNA2187" s="594" t="s">
        <v>1232</v>
      </c>
      <c r="KNB2187" s="594" t="s">
        <v>1232</v>
      </c>
      <c r="KNC2187" s="594" t="s">
        <v>1232</v>
      </c>
      <c r="KND2187" s="594" t="s">
        <v>1232</v>
      </c>
      <c r="KNE2187" s="594" t="s">
        <v>1232</v>
      </c>
      <c r="KNF2187" s="594" t="s">
        <v>1232</v>
      </c>
      <c r="KNG2187" s="594" t="s">
        <v>1232</v>
      </c>
      <c r="KNH2187" s="594" t="s">
        <v>1232</v>
      </c>
      <c r="KNI2187" s="594" t="s">
        <v>1232</v>
      </c>
      <c r="KNJ2187" s="594" t="s">
        <v>1232</v>
      </c>
      <c r="KNK2187" s="594" t="s">
        <v>1232</v>
      </c>
      <c r="KNL2187" s="594" t="s">
        <v>1232</v>
      </c>
      <c r="KNM2187" s="594" t="s">
        <v>1232</v>
      </c>
      <c r="KNN2187" s="594" t="s">
        <v>1232</v>
      </c>
      <c r="KNO2187" s="594" t="s">
        <v>1232</v>
      </c>
      <c r="KNP2187" s="594" t="s">
        <v>1232</v>
      </c>
      <c r="KNQ2187" s="594" t="s">
        <v>1232</v>
      </c>
      <c r="KNR2187" s="594" t="s">
        <v>1232</v>
      </c>
      <c r="KNS2187" s="594" t="s">
        <v>1232</v>
      </c>
      <c r="KNT2187" s="594" t="s">
        <v>1232</v>
      </c>
      <c r="KNU2187" s="594" t="s">
        <v>1232</v>
      </c>
      <c r="KNV2187" s="594" t="s">
        <v>1232</v>
      </c>
      <c r="KNW2187" s="594" t="s">
        <v>1232</v>
      </c>
      <c r="KNX2187" s="594" t="s">
        <v>1232</v>
      </c>
      <c r="KNY2187" s="594" t="s">
        <v>1232</v>
      </c>
      <c r="KNZ2187" s="594" t="s">
        <v>1232</v>
      </c>
      <c r="KOA2187" s="594" t="s">
        <v>1232</v>
      </c>
      <c r="KOB2187" s="594" t="s">
        <v>1232</v>
      </c>
      <c r="KOC2187" s="594" t="s">
        <v>1232</v>
      </c>
      <c r="KOD2187" s="594" t="s">
        <v>1232</v>
      </c>
      <c r="KOE2187" s="594" t="s">
        <v>1232</v>
      </c>
      <c r="KOF2187" s="594" t="s">
        <v>1232</v>
      </c>
      <c r="KOG2187" s="594" t="s">
        <v>1232</v>
      </c>
      <c r="KOH2187" s="594" t="s">
        <v>1232</v>
      </c>
      <c r="KOI2187" s="594" t="s">
        <v>1232</v>
      </c>
      <c r="KOJ2187" s="594" t="s">
        <v>1232</v>
      </c>
      <c r="KOK2187" s="594" t="s">
        <v>1232</v>
      </c>
      <c r="KOL2187" s="594" t="s">
        <v>1232</v>
      </c>
      <c r="KOM2187" s="594" t="s">
        <v>1232</v>
      </c>
      <c r="KON2187" s="594" t="s">
        <v>1232</v>
      </c>
      <c r="KOO2187" s="594" t="s">
        <v>1232</v>
      </c>
      <c r="KOP2187" s="594" t="s">
        <v>1232</v>
      </c>
      <c r="KOQ2187" s="594" t="s">
        <v>1232</v>
      </c>
      <c r="KOR2187" s="594" t="s">
        <v>1232</v>
      </c>
      <c r="KOS2187" s="594" t="s">
        <v>1232</v>
      </c>
      <c r="KOT2187" s="594" t="s">
        <v>1232</v>
      </c>
      <c r="KOU2187" s="594" t="s">
        <v>1232</v>
      </c>
      <c r="KOV2187" s="594" t="s">
        <v>1232</v>
      </c>
      <c r="KOW2187" s="594" t="s">
        <v>1232</v>
      </c>
      <c r="KOX2187" s="594" t="s">
        <v>1232</v>
      </c>
      <c r="KOY2187" s="594" t="s">
        <v>1232</v>
      </c>
      <c r="KOZ2187" s="594" t="s">
        <v>1232</v>
      </c>
      <c r="KPA2187" s="594" t="s">
        <v>1232</v>
      </c>
      <c r="KPB2187" s="594" t="s">
        <v>1232</v>
      </c>
      <c r="KPC2187" s="594" t="s">
        <v>1232</v>
      </c>
      <c r="KPD2187" s="594" t="s">
        <v>1232</v>
      </c>
      <c r="KPE2187" s="594" t="s">
        <v>1232</v>
      </c>
      <c r="KPF2187" s="594" t="s">
        <v>1232</v>
      </c>
      <c r="KPG2187" s="594" t="s">
        <v>1232</v>
      </c>
      <c r="KPH2187" s="594" t="s">
        <v>1232</v>
      </c>
      <c r="KPI2187" s="594" t="s">
        <v>1232</v>
      </c>
      <c r="KPJ2187" s="594" t="s">
        <v>1232</v>
      </c>
      <c r="KPK2187" s="594" t="s">
        <v>1232</v>
      </c>
      <c r="KPL2187" s="594" t="s">
        <v>1232</v>
      </c>
      <c r="KPM2187" s="594" t="s">
        <v>1232</v>
      </c>
      <c r="KPN2187" s="594" t="s">
        <v>1232</v>
      </c>
      <c r="KPO2187" s="594" t="s">
        <v>1232</v>
      </c>
      <c r="KPP2187" s="594" t="s">
        <v>1232</v>
      </c>
      <c r="KPQ2187" s="594" t="s">
        <v>1232</v>
      </c>
      <c r="KPR2187" s="594" t="s">
        <v>1232</v>
      </c>
      <c r="KPS2187" s="594" t="s">
        <v>1232</v>
      </c>
      <c r="KPT2187" s="594" t="s">
        <v>1232</v>
      </c>
      <c r="KPU2187" s="594" t="s">
        <v>1232</v>
      </c>
      <c r="KPV2187" s="594" t="s">
        <v>1232</v>
      </c>
      <c r="KPW2187" s="594" t="s">
        <v>1232</v>
      </c>
      <c r="KPX2187" s="594" t="s">
        <v>1232</v>
      </c>
      <c r="KPY2187" s="594" t="s">
        <v>1232</v>
      </c>
      <c r="KPZ2187" s="594" t="s">
        <v>1232</v>
      </c>
      <c r="KQA2187" s="594" t="s">
        <v>1232</v>
      </c>
      <c r="KQB2187" s="594" t="s">
        <v>1232</v>
      </c>
      <c r="KQC2187" s="594" t="s">
        <v>1232</v>
      </c>
      <c r="KQD2187" s="594" t="s">
        <v>1232</v>
      </c>
      <c r="KQE2187" s="594" t="s">
        <v>1232</v>
      </c>
      <c r="KQF2187" s="594" t="s">
        <v>1232</v>
      </c>
      <c r="KQG2187" s="594" t="s">
        <v>1232</v>
      </c>
      <c r="KQH2187" s="594" t="s">
        <v>1232</v>
      </c>
      <c r="KQI2187" s="594" t="s">
        <v>1232</v>
      </c>
      <c r="KQJ2187" s="594" t="s">
        <v>1232</v>
      </c>
      <c r="KQK2187" s="594" t="s">
        <v>1232</v>
      </c>
      <c r="KQL2187" s="594" t="s">
        <v>1232</v>
      </c>
      <c r="KQM2187" s="594" t="s">
        <v>1232</v>
      </c>
      <c r="KQN2187" s="594" t="s">
        <v>1232</v>
      </c>
      <c r="KQO2187" s="594" t="s">
        <v>1232</v>
      </c>
      <c r="KQP2187" s="594" t="s">
        <v>1232</v>
      </c>
      <c r="KQQ2187" s="594" t="s">
        <v>1232</v>
      </c>
      <c r="KQR2187" s="594" t="s">
        <v>1232</v>
      </c>
      <c r="KQS2187" s="594" t="s">
        <v>1232</v>
      </c>
      <c r="KQT2187" s="594" t="s">
        <v>1232</v>
      </c>
      <c r="KQU2187" s="594" t="s">
        <v>1232</v>
      </c>
      <c r="KQV2187" s="594" t="s">
        <v>1232</v>
      </c>
      <c r="KQW2187" s="594" t="s">
        <v>1232</v>
      </c>
      <c r="KQX2187" s="594" t="s">
        <v>1232</v>
      </c>
      <c r="KQY2187" s="594" t="s">
        <v>1232</v>
      </c>
      <c r="KQZ2187" s="594" t="s">
        <v>1232</v>
      </c>
      <c r="KRA2187" s="594" t="s">
        <v>1232</v>
      </c>
      <c r="KRB2187" s="594" t="s">
        <v>1232</v>
      </c>
      <c r="KRC2187" s="594" t="s">
        <v>1232</v>
      </c>
      <c r="KRD2187" s="594" t="s">
        <v>1232</v>
      </c>
      <c r="KRE2187" s="594" t="s">
        <v>1232</v>
      </c>
      <c r="KRF2187" s="594" t="s">
        <v>1232</v>
      </c>
      <c r="KRG2187" s="594" t="s">
        <v>1232</v>
      </c>
      <c r="KRH2187" s="594" t="s">
        <v>1232</v>
      </c>
      <c r="KRI2187" s="594" t="s">
        <v>1232</v>
      </c>
      <c r="KRJ2187" s="594" t="s">
        <v>1232</v>
      </c>
      <c r="KRK2187" s="594" t="s">
        <v>1232</v>
      </c>
      <c r="KRL2187" s="594" t="s">
        <v>1232</v>
      </c>
      <c r="KRM2187" s="594" t="s">
        <v>1232</v>
      </c>
      <c r="KRN2187" s="594" t="s">
        <v>1232</v>
      </c>
      <c r="KRO2187" s="594" t="s">
        <v>1232</v>
      </c>
      <c r="KRP2187" s="594" t="s">
        <v>1232</v>
      </c>
      <c r="KRQ2187" s="594" t="s">
        <v>1232</v>
      </c>
      <c r="KRR2187" s="594" t="s">
        <v>1232</v>
      </c>
      <c r="KRS2187" s="594" t="s">
        <v>1232</v>
      </c>
      <c r="KRT2187" s="594" t="s">
        <v>1232</v>
      </c>
      <c r="KRU2187" s="594" t="s">
        <v>1232</v>
      </c>
      <c r="KRV2187" s="594" t="s">
        <v>1232</v>
      </c>
      <c r="KRW2187" s="594" t="s">
        <v>1232</v>
      </c>
      <c r="KRX2187" s="594" t="s">
        <v>1232</v>
      </c>
      <c r="KRY2187" s="594" t="s">
        <v>1232</v>
      </c>
      <c r="KRZ2187" s="594" t="s">
        <v>1232</v>
      </c>
      <c r="KSA2187" s="594" t="s">
        <v>1232</v>
      </c>
      <c r="KSB2187" s="594" t="s">
        <v>1232</v>
      </c>
      <c r="KSC2187" s="594" t="s">
        <v>1232</v>
      </c>
      <c r="KSD2187" s="594" t="s">
        <v>1232</v>
      </c>
      <c r="KSE2187" s="594" t="s">
        <v>1232</v>
      </c>
      <c r="KSF2187" s="594" t="s">
        <v>1232</v>
      </c>
      <c r="KSG2187" s="594" t="s">
        <v>1232</v>
      </c>
      <c r="KSH2187" s="594" t="s">
        <v>1232</v>
      </c>
      <c r="KSI2187" s="594" t="s">
        <v>1232</v>
      </c>
      <c r="KSJ2187" s="594" t="s">
        <v>1232</v>
      </c>
      <c r="KSK2187" s="594" t="s">
        <v>1232</v>
      </c>
      <c r="KSL2187" s="594" t="s">
        <v>1232</v>
      </c>
      <c r="KSM2187" s="594" t="s">
        <v>1232</v>
      </c>
      <c r="KSN2187" s="594" t="s">
        <v>1232</v>
      </c>
      <c r="KSO2187" s="594" t="s">
        <v>1232</v>
      </c>
      <c r="KSP2187" s="594" t="s">
        <v>1232</v>
      </c>
      <c r="KSQ2187" s="594" t="s">
        <v>1232</v>
      </c>
      <c r="KSR2187" s="594" t="s">
        <v>1232</v>
      </c>
      <c r="KSS2187" s="594" t="s">
        <v>1232</v>
      </c>
      <c r="KST2187" s="594" t="s">
        <v>1232</v>
      </c>
      <c r="KSU2187" s="594" t="s">
        <v>1232</v>
      </c>
      <c r="KSV2187" s="594" t="s">
        <v>1232</v>
      </c>
      <c r="KSW2187" s="594" t="s">
        <v>1232</v>
      </c>
      <c r="KSX2187" s="594" t="s">
        <v>1232</v>
      </c>
      <c r="KSY2187" s="594" t="s">
        <v>1232</v>
      </c>
      <c r="KSZ2187" s="594" t="s">
        <v>1232</v>
      </c>
      <c r="KTA2187" s="594" t="s">
        <v>1232</v>
      </c>
      <c r="KTB2187" s="594" t="s">
        <v>1232</v>
      </c>
      <c r="KTC2187" s="594" t="s">
        <v>1232</v>
      </c>
      <c r="KTD2187" s="594" t="s">
        <v>1232</v>
      </c>
      <c r="KTE2187" s="594" t="s">
        <v>1232</v>
      </c>
      <c r="KTF2187" s="594" t="s">
        <v>1232</v>
      </c>
      <c r="KTG2187" s="594" t="s">
        <v>1232</v>
      </c>
      <c r="KTH2187" s="594" t="s">
        <v>1232</v>
      </c>
      <c r="KTI2187" s="594" t="s">
        <v>1232</v>
      </c>
      <c r="KTJ2187" s="594" t="s">
        <v>1232</v>
      </c>
      <c r="KTK2187" s="594" t="s">
        <v>1232</v>
      </c>
      <c r="KTL2187" s="594" t="s">
        <v>1232</v>
      </c>
      <c r="KTM2187" s="594" t="s">
        <v>1232</v>
      </c>
      <c r="KTN2187" s="594" t="s">
        <v>1232</v>
      </c>
      <c r="KTO2187" s="594" t="s">
        <v>1232</v>
      </c>
      <c r="KTP2187" s="594" t="s">
        <v>1232</v>
      </c>
      <c r="KTQ2187" s="594" t="s">
        <v>1232</v>
      </c>
      <c r="KTR2187" s="594" t="s">
        <v>1232</v>
      </c>
      <c r="KTS2187" s="594" t="s">
        <v>1232</v>
      </c>
      <c r="KTT2187" s="594" t="s">
        <v>1232</v>
      </c>
      <c r="KTU2187" s="594" t="s">
        <v>1232</v>
      </c>
      <c r="KTV2187" s="594" t="s">
        <v>1232</v>
      </c>
      <c r="KTW2187" s="594" t="s">
        <v>1232</v>
      </c>
      <c r="KTX2187" s="594" t="s">
        <v>1232</v>
      </c>
      <c r="KTY2187" s="594" t="s">
        <v>1232</v>
      </c>
      <c r="KTZ2187" s="594" t="s">
        <v>1232</v>
      </c>
      <c r="KUA2187" s="594" t="s">
        <v>1232</v>
      </c>
      <c r="KUB2187" s="594" t="s">
        <v>1232</v>
      </c>
      <c r="KUC2187" s="594" t="s">
        <v>1232</v>
      </c>
      <c r="KUD2187" s="594" t="s">
        <v>1232</v>
      </c>
      <c r="KUE2187" s="594" t="s">
        <v>1232</v>
      </c>
      <c r="KUF2187" s="594" t="s">
        <v>1232</v>
      </c>
      <c r="KUG2187" s="594" t="s">
        <v>1232</v>
      </c>
      <c r="KUH2187" s="594" t="s">
        <v>1232</v>
      </c>
      <c r="KUI2187" s="594" t="s">
        <v>1232</v>
      </c>
      <c r="KUJ2187" s="594" t="s">
        <v>1232</v>
      </c>
      <c r="KUK2187" s="594" t="s">
        <v>1232</v>
      </c>
      <c r="KUL2187" s="594" t="s">
        <v>1232</v>
      </c>
      <c r="KUM2187" s="594" t="s">
        <v>1232</v>
      </c>
      <c r="KUN2187" s="594" t="s">
        <v>1232</v>
      </c>
      <c r="KUO2187" s="594" t="s">
        <v>1232</v>
      </c>
      <c r="KUP2187" s="594" t="s">
        <v>1232</v>
      </c>
      <c r="KUQ2187" s="594" t="s">
        <v>1232</v>
      </c>
      <c r="KUR2187" s="594" t="s">
        <v>1232</v>
      </c>
      <c r="KUS2187" s="594" t="s">
        <v>1232</v>
      </c>
      <c r="KUT2187" s="594" t="s">
        <v>1232</v>
      </c>
      <c r="KUU2187" s="594" t="s">
        <v>1232</v>
      </c>
      <c r="KUV2187" s="594" t="s">
        <v>1232</v>
      </c>
      <c r="KUW2187" s="594" t="s">
        <v>1232</v>
      </c>
      <c r="KUX2187" s="594" t="s">
        <v>1232</v>
      </c>
      <c r="KUY2187" s="594" t="s">
        <v>1232</v>
      </c>
      <c r="KUZ2187" s="594" t="s">
        <v>1232</v>
      </c>
      <c r="KVA2187" s="594" t="s">
        <v>1232</v>
      </c>
      <c r="KVB2187" s="594" t="s">
        <v>1232</v>
      </c>
      <c r="KVC2187" s="594" t="s">
        <v>1232</v>
      </c>
      <c r="KVD2187" s="594" t="s">
        <v>1232</v>
      </c>
      <c r="KVE2187" s="594" t="s">
        <v>1232</v>
      </c>
      <c r="KVF2187" s="594" t="s">
        <v>1232</v>
      </c>
      <c r="KVG2187" s="594" t="s">
        <v>1232</v>
      </c>
      <c r="KVH2187" s="594" t="s">
        <v>1232</v>
      </c>
      <c r="KVI2187" s="594" t="s">
        <v>1232</v>
      </c>
      <c r="KVJ2187" s="594" t="s">
        <v>1232</v>
      </c>
      <c r="KVK2187" s="594" t="s">
        <v>1232</v>
      </c>
      <c r="KVL2187" s="594" t="s">
        <v>1232</v>
      </c>
      <c r="KVM2187" s="594" t="s">
        <v>1232</v>
      </c>
      <c r="KVN2187" s="594" t="s">
        <v>1232</v>
      </c>
      <c r="KVO2187" s="594" t="s">
        <v>1232</v>
      </c>
      <c r="KVP2187" s="594" t="s">
        <v>1232</v>
      </c>
      <c r="KVQ2187" s="594" t="s">
        <v>1232</v>
      </c>
      <c r="KVR2187" s="594" t="s">
        <v>1232</v>
      </c>
      <c r="KVS2187" s="594" t="s">
        <v>1232</v>
      </c>
      <c r="KVT2187" s="594" t="s">
        <v>1232</v>
      </c>
      <c r="KVU2187" s="594" t="s">
        <v>1232</v>
      </c>
      <c r="KVV2187" s="594" t="s">
        <v>1232</v>
      </c>
      <c r="KVW2187" s="594" t="s">
        <v>1232</v>
      </c>
      <c r="KVX2187" s="594" t="s">
        <v>1232</v>
      </c>
      <c r="KVY2187" s="594" t="s">
        <v>1232</v>
      </c>
      <c r="KVZ2187" s="594" t="s">
        <v>1232</v>
      </c>
      <c r="KWA2187" s="594" t="s">
        <v>1232</v>
      </c>
      <c r="KWB2187" s="594" t="s">
        <v>1232</v>
      </c>
      <c r="KWC2187" s="594" t="s">
        <v>1232</v>
      </c>
      <c r="KWD2187" s="594" t="s">
        <v>1232</v>
      </c>
      <c r="KWE2187" s="594" t="s">
        <v>1232</v>
      </c>
      <c r="KWF2187" s="594" t="s">
        <v>1232</v>
      </c>
      <c r="KWG2187" s="594" t="s">
        <v>1232</v>
      </c>
      <c r="KWH2187" s="594" t="s">
        <v>1232</v>
      </c>
      <c r="KWI2187" s="594" t="s">
        <v>1232</v>
      </c>
      <c r="KWJ2187" s="594" t="s">
        <v>1232</v>
      </c>
      <c r="KWK2187" s="594" t="s">
        <v>1232</v>
      </c>
      <c r="KWL2187" s="594" t="s">
        <v>1232</v>
      </c>
      <c r="KWM2187" s="594" t="s">
        <v>1232</v>
      </c>
      <c r="KWN2187" s="594" t="s">
        <v>1232</v>
      </c>
      <c r="KWO2187" s="594" t="s">
        <v>1232</v>
      </c>
      <c r="KWP2187" s="594" t="s">
        <v>1232</v>
      </c>
      <c r="KWQ2187" s="594" t="s">
        <v>1232</v>
      </c>
      <c r="KWR2187" s="594" t="s">
        <v>1232</v>
      </c>
      <c r="KWS2187" s="594" t="s">
        <v>1232</v>
      </c>
      <c r="KWT2187" s="594" t="s">
        <v>1232</v>
      </c>
      <c r="KWU2187" s="594" t="s">
        <v>1232</v>
      </c>
      <c r="KWV2187" s="594" t="s">
        <v>1232</v>
      </c>
      <c r="KWW2187" s="594" t="s">
        <v>1232</v>
      </c>
      <c r="KWX2187" s="594" t="s">
        <v>1232</v>
      </c>
      <c r="KWY2187" s="594" t="s">
        <v>1232</v>
      </c>
      <c r="KWZ2187" s="594" t="s">
        <v>1232</v>
      </c>
      <c r="KXA2187" s="594" t="s">
        <v>1232</v>
      </c>
      <c r="KXB2187" s="594" t="s">
        <v>1232</v>
      </c>
      <c r="KXC2187" s="594" t="s">
        <v>1232</v>
      </c>
      <c r="KXD2187" s="594" t="s">
        <v>1232</v>
      </c>
      <c r="KXE2187" s="594" t="s">
        <v>1232</v>
      </c>
      <c r="KXF2187" s="594" t="s">
        <v>1232</v>
      </c>
      <c r="KXG2187" s="594" t="s">
        <v>1232</v>
      </c>
      <c r="KXH2187" s="594" t="s">
        <v>1232</v>
      </c>
      <c r="KXI2187" s="594" t="s">
        <v>1232</v>
      </c>
      <c r="KXJ2187" s="594" t="s">
        <v>1232</v>
      </c>
      <c r="KXK2187" s="594" t="s">
        <v>1232</v>
      </c>
      <c r="KXL2187" s="594" t="s">
        <v>1232</v>
      </c>
      <c r="KXM2187" s="594" t="s">
        <v>1232</v>
      </c>
      <c r="KXN2187" s="594" t="s">
        <v>1232</v>
      </c>
      <c r="KXO2187" s="594" t="s">
        <v>1232</v>
      </c>
      <c r="KXP2187" s="594" t="s">
        <v>1232</v>
      </c>
      <c r="KXQ2187" s="594" t="s">
        <v>1232</v>
      </c>
      <c r="KXR2187" s="594" t="s">
        <v>1232</v>
      </c>
      <c r="KXS2187" s="594" t="s">
        <v>1232</v>
      </c>
      <c r="KXT2187" s="594" t="s">
        <v>1232</v>
      </c>
      <c r="KXU2187" s="594" t="s">
        <v>1232</v>
      </c>
      <c r="KXV2187" s="594" t="s">
        <v>1232</v>
      </c>
      <c r="KXW2187" s="594" t="s">
        <v>1232</v>
      </c>
      <c r="KXX2187" s="594" t="s">
        <v>1232</v>
      </c>
      <c r="KXY2187" s="594" t="s">
        <v>1232</v>
      </c>
      <c r="KXZ2187" s="594" t="s">
        <v>1232</v>
      </c>
      <c r="KYA2187" s="594" t="s">
        <v>1232</v>
      </c>
      <c r="KYB2187" s="594" t="s">
        <v>1232</v>
      </c>
      <c r="KYC2187" s="594" t="s">
        <v>1232</v>
      </c>
      <c r="KYD2187" s="594" t="s">
        <v>1232</v>
      </c>
      <c r="KYE2187" s="594" t="s">
        <v>1232</v>
      </c>
      <c r="KYF2187" s="594" t="s">
        <v>1232</v>
      </c>
      <c r="KYG2187" s="594" t="s">
        <v>1232</v>
      </c>
      <c r="KYH2187" s="594" t="s">
        <v>1232</v>
      </c>
      <c r="KYI2187" s="594" t="s">
        <v>1232</v>
      </c>
      <c r="KYJ2187" s="594" t="s">
        <v>1232</v>
      </c>
      <c r="KYK2187" s="594" t="s">
        <v>1232</v>
      </c>
      <c r="KYL2187" s="594" t="s">
        <v>1232</v>
      </c>
      <c r="KYM2187" s="594" t="s">
        <v>1232</v>
      </c>
      <c r="KYN2187" s="594" t="s">
        <v>1232</v>
      </c>
      <c r="KYO2187" s="594" t="s">
        <v>1232</v>
      </c>
      <c r="KYP2187" s="594" t="s">
        <v>1232</v>
      </c>
      <c r="KYQ2187" s="594" t="s">
        <v>1232</v>
      </c>
      <c r="KYR2187" s="594" t="s">
        <v>1232</v>
      </c>
      <c r="KYS2187" s="594" t="s">
        <v>1232</v>
      </c>
      <c r="KYT2187" s="594" t="s">
        <v>1232</v>
      </c>
      <c r="KYU2187" s="594" t="s">
        <v>1232</v>
      </c>
      <c r="KYV2187" s="594" t="s">
        <v>1232</v>
      </c>
      <c r="KYW2187" s="594" t="s">
        <v>1232</v>
      </c>
      <c r="KYX2187" s="594" t="s">
        <v>1232</v>
      </c>
      <c r="KYY2187" s="594" t="s">
        <v>1232</v>
      </c>
      <c r="KYZ2187" s="594" t="s">
        <v>1232</v>
      </c>
      <c r="KZA2187" s="594" t="s">
        <v>1232</v>
      </c>
      <c r="KZB2187" s="594" t="s">
        <v>1232</v>
      </c>
      <c r="KZC2187" s="594" t="s">
        <v>1232</v>
      </c>
      <c r="KZD2187" s="594" t="s">
        <v>1232</v>
      </c>
      <c r="KZE2187" s="594" t="s">
        <v>1232</v>
      </c>
      <c r="KZF2187" s="594" t="s">
        <v>1232</v>
      </c>
      <c r="KZG2187" s="594" t="s">
        <v>1232</v>
      </c>
      <c r="KZH2187" s="594" t="s">
        <v>1232</v>
      </c>
      <c r="KZI2187" s="594" t="s">
        <v>1232</v>
      </c>
      <c r="KZJ2187" s="594" t="s">
        <v>1232</v>
      </c>
      <c r="KZK2187" s="594" t="s">
        <v>1232</v>
      </c>
      <c r="KZL2187" s="594" t="s">
        <v>1232</v>
      </c>
      <c r="KZM2187" s="594" t="s">
        <v>1232</v>
      </c>
      <c r="KZN2187" s="594" t="s">
        <v>1232</v>
      </c>
      <c r="KZO2187" s="594" t="s">
        <v>1232</v>
      </c>
      <c r="KZP2187" s="594" t="s">
        <v>1232</v>
      </c>
      <c r="KZQ2187" s="594" t="s">
        <v>1232</v>
      </c>
      <c r="KZR2187" s="594" t="s">
        <v>1232</v>
      </c>
      <c r="KZS2187" s="594" t="s">
        <v>1232</v>
      </c>
      <c r="KZT2187" s="594" t="s">
        <v>1232</v>
      </c>
      <c r="KZU2187" s="594" t="s">
        <v>1232</v>
      </c>
      <c r="KZV2187" s="594" t="s">
        <v>1232</v>
      </c>
      <c r="KZW2187" s="594" t="s">
        <v>1232</v>
      </c>
      <c r="KZX2187" s="594" t="s">
        <v>1232</v>
      </c>
      <c r="KZY2187" s="594" t="s">
        <v>1232</v>
      </c>
      <c r="KZZ2187" s="594" t="s">
        <v>1232</v>
      </c>
      <c r="LAA2187" s="594" t="s">
        <v>1232</v>
      </c>
      <c r="LAB2187" s="594" t="s">
        <v>1232</v>
      </c>
      <c r="LAC2187" s="594" t="s">
        <v>1232</v>
      </c>
      <c r="LAD2187" s="594" t="s">
        <v>1232</v>
      </c>
      <c r="LAE2187" s="594" t="s">
        <v>1232</v>
      </c>
      <c r="LAF2187" s="594" t="s">
        <v>1232</v>
      </c>
      <c r="LAG2187" s="594" t="s">
        <v>1232</v>
      </c>
      <c r="LAH2187" s="594" t="s">
        <v>1232</v>
      </c>
      <c r="LAI2187" s="594" t="s">
        <v>1232</v>
      </c>
      <c r="LAJ2187" s="594" t="s">
        <v>1232</v>
      </c>
      <c r="LAK2187" s="594" t="s">
        <v>1232</v>
      </c>
      <c r="LAL2187" s="594" t="s">
        <v>1232</v>
      </c>
      <c r="LAM2187" s="594" t="s">
        <v>1232</v>
      </c>
      <c r="LAN2187" s="594" t="s">
        <v>1232</v>
      </c>
      <c r="LAO2187" s="594" t="s">
        <v>1232</v>
      </c>
      <c r="LAP2187" s="594" t="s">
        <v>1232</v>
      </c>
      <c r="LAQ2187" s="594" t="s">
        <v>1232</v>
      </c>
      <c r="LAR2187" s="594" t="s">
        <v>1232</v>
      </c>
      <c r="LAS2187" s="594" t="s">
        <v>1232</v>
      </c>
      <c r="LAT2187" s="594" t="s">
        <v>1232</v>
      </c>
      <c r="LAU2187" s="594" t="s">
        <v>1232</v>
      </c>
      <c r="LAV2187" s="594" t="s">
        <v>1232</v>
      </c>
      <c r="LAW2187" s="594" t="s">
        <v>1232</v>
      </c>
      <c r="LAX2187" s="594" t="s">
        <v>1232</v>
      </c>
      <c r="LAY2187" s="594" t="s">
        <v>1232</v>
      </c>
      <c r="LAZ2187" s="594" t="s">
        <v>1232</v>
      </c>
      <c r="LBA2187" s="594" t="s">
        <v>1232</v>
      </c>
      <c r="LBB2187" s="594" t="s">
        <v>1232</v>
      </c>
      <c r="LBC2187" s="594" t="s">
        <v>1232</v>
      </c>
      <c r="LBD2187" s="594" t="s">
        <v>1232</v>
      </c>
      <c r="LBE2187" s="594" t="s">
        <v>1232</v>
      </c>
      <c r="LBF2187" s="594" t="s">
        <v>1232</v>
      </c>
      <c r="LBG2187" s="594" t="s">
        <v>1232</v>
      </c>
      <c r="LBH2187" s="594" t="s">
        <v>1232</v>
      </c>
      <c r="LBI2187" s="594" t="s">
        <v>1232</v>
      </c>
      <c r="LBJ2187" s="594" t="s">
        <v>1232</v>
      </c>
      <c r="LBK2187" s="594" t="s">
        <v>1232</v>
      </c>
      <c r="LBL2187" s="594" t="s">
        <v>1232</v>
      </c>
      <c r="LBM2187" s="594" t="s">
        <v>1232</v>
      </c>
      <c r="LBN2187" s="594" t="s">
        <v>1232</v>
      </c>
      <c r="LBO2187" s="594" t="s">
        <v>1232</v>
      </c>
      <c r="LBP2187" s="594" t="s">
        <v>1232</v>
      </c>
      <c r="LBQ2187" s="594" t="s">
        <v>1232</v>
      </c>
      <c r="LBR2187" s="594" t="s">
        <v>1232</v>
      </c>
      <c r="LBS2187" s="594" t="s">
        <v>1232</v>
      </c>
      <c r="LBT2187" s="594" t="s">
        <v>1232</v>
      </c>
      <c r="LBU2187" s="594" t="s">
        <v>1232</v>
      </c>
      <c r="LBV2187" s="594" t="s">
        <v>1232</v>
      </c>
      <c r="LBW2187" s="594" t="s">
        <v>1232</v>
      </c>
      <c r="LBX2187" s="594" t="s">
        <v>1232</v>
      </c>
      <c r="LBY2187" s="594" t="s">
        <v>1232</v>
      </c>
      <c r="LBZ2187" s="594" t="s">
        <v>1232</v>
      </c>
      <c r="LCA2187" s="594" t="s">
        <v>1232</v>
      </c>
      <c r="LCB2187" s="594" t="s">
        <v>1232</v>
      </c>
      <c r="LCC2187" s="594" t="s">
        <v>1232</v>
      </c>
      <c r="LCD2187" s="594" t="s">
        <v>1232</v>
      </c>
      <c r="LCE2187" s="594" t="s">
        <v>1232</v>
      </c>
      <c r="LCF2187" s="594" t="s">
        <v>1232</v>
      </c>
      <c r="LCG2187" s="594" t="s">
        <v>1232</v>
      </c>
      <c r="LCH2187" s="594" t="s">
        <v>1232</v>
      </c>
      <c r="LCI2187" s="594" t="s">
        <v>1232</v>
      </c>
      <c r="LCJ2187" s="594" t="s">
        <v>1232</v>
      </c>
      <c r="LCK2187" s="594" t="s">
        <v>1232</v>
      </c>
      <c r="LCL2187" s="594" t="s">
        <v>1232</v>
      </c>
      <c r="LCM2187" s="594" t="s">
        <v>1232</v>
      </c>
      <c r="LCN2187" s="594" t="s">
        <v>1232</v>
      </c>
      <c r="LCO2187" s="594" t="s">
        <v>1232</v>
      </c>
      <c r="LCP2187" s="594" t="s">
        <v>1232</v>
      </c>
      <c r="LCQ2187" s="594" t="s">
        <v>1232</v>
      </c>
      <c r="LCR2187" s="594" t="s">
        <v>1232</v>
      </c>
      <c r="LCS2187" s="594" t="s">
        <v>1232</v>
      </c>
      <c r="LCT2187" s="594" t="s">
        <v>1232</v>
      </c>
      <c r="LCU2187" s="594" t="s">
        <v>1232</v>
      </c>
      <c r="LCV2187" s="594" t="s">
        <v>1232</v>
      </c>
      <c r="LCW2187" s="594" t="s">
        <v>1232</v>
      </c>
      <c r="LCX2187" s="594" t="s">
        <v>1232</v>
      </c>
      <c r="LCY2187" s="594" t="s">
        <v>1232</v>
      </c>
      <c r="LCZ2187" s="594" t="s">
        <v>1232</v>
      </c>
      <c r="LDA2187" s="594" t="s">
        <v>1232</v>
      </c>
      <c r="LDB2187" s="594" t="s">
        <v>1232</v>
      </c>
      <c r="LDC2187" s="594" t="s">
        <v>1232</v>
      </c>
      <c r="LDD2187" s="594" t="s">
        <v>1232</v>
      </c>
      <c r="LDE2187" s="594" t="s">
        <v>1232</v>
      </c>
      <c r="LDF2187" s="594" t="s">
        <v>1232</v>
      </c>
      <c r="LDG2187" s="594" t="s">
        <v>1232</v>
      </c>
      <c r="LDH2187" s="594" t="s">
        <v>1232</v>
      </c>
      <c r="LDI2187" s="594" t="s">
        <v>1232</v>
      </c>
      <c r="LDJ2187" s="594" t="s">
        <v>1232</v>
      </c>
      <c r="LDK2187" s="594" t="s">
        <v>1232</v>
      </c>
      <c r="LDL2187" s="594" t="s">
        <v>1232</v>
      </c>
      <c r="LDM2187" s="594" t="s">
        <v>1232</v>
      </c>
      <c r="LDN2187" s="594" t="s">
        <v>1232</v>
      </c>
      <c r="LDO2187" s="594" t="s">
        <v>1232</v>
      </c>
      <c r="LDP2187" s="594" t="s">
        <v>1232</v>
      </c>
      <c r="LDQ2187" s="594" t="s">
        <v>1232</v>
      </c>
      <c r="LDR2187" s="594" t="s">
        <v>1232</v>
      </c>
      <c r="LDS2187" s="594" t="s">
        <v>1232</v>
      </c>
      <c r="LDT2187" s="594" t="s">
        <v>1232</v>
      </c>
      <c r="LDU2187" s="594" t="s">
        <v>1232</v>
      </c>
      <c r="LDV2187" s="594" t="s">
        <v>1232</v>
      </c>
      <c r="LDW2187" s="594" t="s">
        <v>1232</v>
      </c>
      <c r="LDX2187" s="594" t="s">
        <v>1232</v>
      </c>
      <c r="LDY2187" s="594" t="s">
        <v>1232</v>
      </c>
      <c r="LDZ2187" s="594" t="s">
        <v>1232</v>
      </c>
      <c r="LEA2187" s="594" t="s">
        <v>1232</v>
      </c>
      <c r="LEB2187" s="594" t="s">
        <v>1232</v>
      </c>
      <c r="LEC2187" s="594" t="s">
        <v>1232</v>
      </c>
      <c r="LED2187" s="594" t="s">
        <v>1232</v>
      </c>
      <c r="LEE2187" s="594" t="s">
        <v>1232</v>
      </c>
      <c r="LEF2187" s="594" t="s">
        <v>1232</v>
      </c>
      <c r="LEG2187" s="594" t="s">
        <v>1232</v>
      </c>
      <c r="LEH2187" s="594" t="s">
        <v>1232</v>
      </c>
      <c r="LEI2187" s="594" t="s">
        <v>1232</v>
      </c>
      <c r="LEJ2187" s="594" t="s">
        <v>1232</v>
      </c>
      <c r="LEK2187" s="594" t="s">
        <v>1232</v>
      </c>
      <c r="LEL2187" s="594" t="s">
        <v>1232</v>
      </c>
      <c r="LEM2187" s="594" t="s">
        <v>1232</v>
      </c>
      <c r="LEN2187" s="594" t="s">
        <v>1232</v>
      </c>
      <c r="LEO2187" s="594" t="s">
        <v>1232</v>
      </c>
      <c r="LEP2187" s="594" t="s">
        <v>1232</v>
      </c>
      <c r="LEQ2187" s="594" t="s">
        <v>1232</v>
      </c>
      <c r="LER2187" s="594" t="s">
        <v>1232</v>
      </c>
      <c r="LES2187" s="594" t="s">
        <v>1232</v>
      </c>
      <c r="LET2187" s="594" t="s">
        <v>1232</v>
      </c>
      <c r="LEU2187" s="594" t="s">
        <v>1232</v>
      </c>
      <c r="LEV2187" s="594" t="s">
        <v>1232</v>
      </c>
      <c r="LEW2187" s="594" t="s">
        <v>1232</v>
      </c>
      <c r="LEX2187" s="594" t="s">
        <v>1232</v>
      </c>
      <c r="LEY2187" s="594" t="s">
        <v>1232</v>
      </c>
      <c r="LEZ2187" s="594" t="s">
        <v>1232</v>
      </c>
      <c r="LFA2187" s="594" t="s">
        <v>1232</v>
      </c>
      <c r="LFB2187" s="594" t="s">
        <v>1232</v>
      </c>
      <c r="LFC2187" s="594" t="s">
        <v>1232</v>
      </c>
      <c r="LFD2187" s="594" t="s">
        <v>1232</v>
      </c>
      <c r="LFE2187" s="594" t="s">
        <v>1232</v>
      </c>
      <c r="LFF2187" s="594" t="s">
        <v>1232</v>
      </c>
      <c r="LFG2187" s="594" t="s">
        <v>1232</v>
      </c>
      <c r="LFH2187" s="594" t="s">
        <v>1232</v>
      </c>
      <c r="LFI2187" s="594" t="s">
        <v>1232</v>
      </c>
      <c r="LFJ2187" s="594" t="s">
        <v>1232</v>
      </c>
      <c r="LFK2187" s="594" t="s">
        <v>1232</v>
      </c>
      <c r="LFL2187" s="594" t="s">
        <v>1232</v>
      </c>
      <c r="LFM2187" s="594" t="s">
        <v>1232</v>
      </c>
      <c r="LFN2187" s="594" t="s">
        <v>1232</v>
      </c>
      <c r="LFO2187" s="594" t="s">
        <v>1232</v>
      </c>
      <c r="LFP2187" s="594" t="s">
        <v>1232</v>
      </c>
      <c r="LFQ2187" s="594" t="s">
        <v>1232</v>
      </c>
      <c r="LFR2187" s="594" t="s">
        <v>1232</v>
      </c>
      <c r="LFS2187" s="594" t="s">
        <v>1232</v>
      </c>
      <c r="LFT2187" s="594" t="s">
        <v>1232</v>
      </c>
      <c r="LFU2187" s="594" t="s">
        <v>1232</v>
      </c>
      <c r="LFV2187" s="594" t="s">
        <v>1232</v>
      </c>
      <c r="LFW2187" s="594" t="s">
        <v>1232</v>
      </c>
      <c r="LFX2187" s="594" t="s">
        <v>1232</v>
      </c>
      <c r="LFY2187" s="594" t="s">
        <v>1232</v>
      </c>
      <c r="LFZ2187" s="594" t="s">
        <v>1232</v>
      </c>
      <c r="LGA2187" s="594" t="s">
        <v>1232</v>
      </c>
      <c r="LGB2187" s="594" t="s">
        <v>1232</v>
      </c>
      <c r="LGC2187" s="594" t="s">
        <v>1232</v>
      </c>
      <c r="LGD2187" s="594" t="s">
        <v>1232</v>
      </c>
      <c r="LGE2187" s="594" t="s">
        <v>1232</v>
      </c>
      <c r="LGF2187" s="594" t="s">
        <v>1232</v>
      </c>
      <c r="LGG2187" s="594" t="s">
        <v>1232</v>
      </c>
      <c r="LGH2187" s="594" t="s">
        <v>1232</v>
      </c>
      <c r="LGI2187" s="594" t="s">
        <v>1232</v>
      </c>
      <c r="LGJ2187" s="594" t="s">
        <v>1232</v>
      </c>
      <c r="LGK2187" s="594" t="s">
        <v>1232</v>
      </c>
      <c r="LGL2187" s="594" t="s">
        <v>1232</v>
      </c>
      <c r="LGM2187" s="594" t="s">
        <v>1232</v>
      </c>
      <c r="LGN2187" s="594" t="s">
        <v>1232</v>
      </c>
      <c r="LGO2187" s="594" t="s">
        <v>1232</v>
      </c>
      <c r="LGP2187" s="594" t="s">
        <v>1232</v>
      </c>
      <c r="LGQ2187" s="594" t="s">
        <v>1232</v>
      </c>
      <c r="LGR2187" s="594" t="s">
        <v>1232</v>
      </c>
      <c r="LGS2187" s="594" t="s">
        <v>1232</v>
      </c>
      <c r="LGT2187" s="594" t="s">
        <v>1232</v>
      </c>
      <c r="LGU2187" s="594" t="s">
        <v>1232</v>
      </c>
      <c r="LGV2187" s="594" t="s">
        <v>1232</v>
      </c>
      <c r="LGW2187" s="594" t="s">
        <v>1232</v>
      </c>
      <c r="LGX2187" s="594" t="s">
        <v>1232</v>
      </c>
      <c r="LGY2187" s="594" t="s">
        <v>1232</v>
      </c>
      <c r="LGZ2187" s="594" t="s">
        <v>1232</v>
      </c>
      <c r="LHA2187" s="594" t="s">
        <v>1232</v>
      </c>
      <c r="LHB2187" s="594" t="s">
        <v>1232</v>
      </c>
      <c r="LHC2187" s="594" t="s">
        <v>1232</v>
      </c>
      <c r="LHD2187" s="594" t="s">
        <v>1232</v>
      </c>
      <c r="LHE2187" s="594" t="s">
        <v>1232</v>
      </c>
      <c r="LHF2187" s="594" t="s">
        <v>1232</v>
      </c>
      <c r="LHG2187" s="594" t="s">
        <v>1232</v>
      </c>
      <c r="LHH2187" s="594" t="s">
        <v>1232</v>
      </c>
      <c r="LHI2187" s="594" t="s">
        <v>1232</v>
      </c>
      <c r="LHJ2187" s="594" t="s">
        <v>1232</v>
      </c>
      <c r="LHK2187" s="594" t="s">
        <v>1232</v>
      </c>
      <c r="LHL2187" s="594" t="s">
        <v>1232</v>
      </c>
      <c r="LHM2187" s="594" t="s">
        <v>1232</v>
      </c>
      <c r="LHN2187" s="594" t="s">
        <v>1232</v>
      </c>
      <c r="LHO2187" s="594" t="s">
        <v>1232</v>
      </c>
      <c r="LHP2187" s="594" t="s">
        <v>1232</v>
      </c>
      <c r="LHQ2187" s="594" t="s">
        <v>1232</v>
      </c>
      <c r="LHR2187" s="594" t="s">
        <v>1232</v>
      </c>
      <c r="LHS2187" s="594" t="s">
        <v>1232</v>
      </c>
      <c r="LHT2187" s="594" t="s">
        <v>1232</v>
      </c>
      <c r="LHU2187" s="594" t="s">
        <v>1232</v>
      </c>
      <c r="LHV2187" s="594" t="s">
        <v>1232</v>
      </c>
      <c r="LHW2187" s="594" t="s">
        <v>1232</v>
      </c>
      <c r="LHX2187" s="594" t="s">
        <v>1232</v>
      </c>
      <c r="LHY2187" s="594" t="s">
        <v>1232</v>
      </c>
      <c r="LHZ2187" s="594" t="s">
        <v>1232</v>
      </c>
      <c r="LIA2187" s="594" t="s">
        <v>1232</v>
      </c>
      <c r="LIB2187" s="594" t="s">
        <v>1232</v>
      </c>
      <c r="LIC2187" s="594" t="s">
        <v>1232</v>
      </c>
      <c r="LID2187" s="594" t="s">
        <v>1232</v>
      </c>
      <c r="LIE2187" s="594" t="s">
        <v>1232</v>
      </c>
      <c r="LIF2187" s="594" t="s">
        <v>1232</v>
      </c>
      <c r="LIG2187" s="594" t="s">
        <v>1232</v>
      </c>
      <c r="LIH2187" s="594" t="s">
        <v>1232</v>
      </c>
      <c r="LII2187" s="594" t="s">
        <v>1232</v>
      </c>
      <c r="LIJ2187" s="594" t="s">
        <v>1232</v>
      </c>
      <c r="LIK2187" s="594" t="s">
        <v>1232</v>
      </c>
      <c r="LIL2187" s="594" t="s">
        <v>1232</v>
      </c>
      <c r="LIM2187" s="594" t="s">
        <v>1232</v>
      </c>
      <c r="LIN2187" s="594" t="s">
        <v>1232</v>
      </c>
      <c r="LIO2187" s="594" t="s">
        <v>1232</v>
      </c>
      <c r="LIP2187" s="594" t="s">
        <v>1232</v>
      </c>
      <c r="LIQ2187" s="594" t="s">
        <v>1232</v>
      </c>
      <c r="LIR2187" s="594" t="s">
        <v>1232</v>
      </c>
      <c r="LIS2187" s="594" t="s">
        <v>1232</v>
      </c>
      <c r="LIT2187" s="594" t="s">
        <v>1232</v>
      </c>
      <c r="LIU2187" s="594" t="s">
        <v>1232</v>
      </c>
      <c r="LIV2187" s="594" t="s">
        <v>1232</v>
      </c>
      <c r="LIW2187" s="594" t="s">
        <v>1232</v>
      </c>
      <c r="LIX2187" s="594" t="s">
        <v>1232</v>
      </c>
      <c r="LIY2187" s="594" t="s">
        <v>1232</v>
      </c>
      <c r="LIZ2187" s="594" t="s">
        <v>1232</v>
      </c>
      <c r="LJA2187" s="594" t="s">
        <v>1232</v>
      </c>
      <c r="LJB2187" s="594" t="s">
        <v>1232</v>
      </c>
      <c r="LJC2187" s="594" t="s">
        <v>1232</v>
      </c>
      <c r="LJD2187" s="594" t="s">
        <v>1232</v>
      </c>
      <c r="LJE2187" s="594" t="s">
        <v>1232</v>
      </c>
      <c r="LJF2187" s="594" t="s">
        <v>1232</v>
      </c>
      <c r="LJG2187" s="594" t="s">
        <v>1232</v>
      </c>
      <c r="LJH2187" s="594" t="s">
        <v>1232</v>
      </c>
      <c r="LJI2187" s="594" t="s">
        <v>1232</v>
      </c>
      <c r="LJJ2187" s="594" t="s">
        <v>1232</v>
      </c>
      <c r="LJK2187" s="594" t="s">
        <v>1232</v>
      </c>
      <c r="LJL2187" s="594" t="s">
        <v>1232</v>
      </c>
      <c r="LJM2187" s="594" t="s">
        <v>1232</v>
      </c>
      <c r="LJN2187" s="594" t="s">
        <v>1232</v>
      </c>
      <c r="LJO2187" s="594" t="s">
        <v>1232</v>
      </c>
      <c r="LJP2187" s="594" t="s">
        <v>1232</v>
      </c>
      <c r="LJQ2187" s="594" t="s">
        <v>1232</v>
      </c>
      <c r="LJR2187" s="594" t="s">
        <v>1232</v>
      </c>
      <c r="LJS2187" s="594" t="s">
        <v>1232</v>
      </c>
      <c r="LJT2187" s="594" t="s">
        <v>1232</v>
      </c>
      <c r="LJU2187" s="594" t="s">
        <v>1232</v>
      </c>
      <c r="LJV2187" s="594" t="s">
        <v>1232</v>
      </c>
      <c r="LJW2187" s="594" t="s">
        <v>1232</v>
      </c>
      <c r="LJX2187" s="594" t="s">
        <v>1232</v>
      </c>
      <c r="LJY2187" s="594" t="s">
        <v>1232</v>
      </c>
      <c r="LJZ2187" s="594" t="s">
        <v>1232</v>
      </c>
      <c r="LKA2187" s="594" t="s">
        <v>1232</v>
      </c>
      <c r="LKB2187" s="594" t="s">
        <v>1232</v>
      </c>
      <c r="LKC2187" s="594" t="s">
        <v>1232</v>
      </c>
      <c r="LKD2187" s="594" t="s">
        <v>1232</v>
      </c>
      <c r="LKE2187" s="594" t="s">
        <v>1232</v>
      </c>
      <c r="LKF2187" s="594" t="s">
        <v>1232</v>
      </c>
      <c r="LKG2187" s="594" t="s">
        <v>1232</v>
      </c>
      <c r="LKH2187" s="594" t="s">
        <v>1232</v>
      </c>
      <c r="LKI2187" s="594" t="s">
        <v>1232</v>
      </c>
      <c r="LKJ2187" s="594" t="s">
        <v>1232</v>
      </c>
      <c r="LKK2187" s="594" t="s">
        <v>1232</v>
      </c>
      <c r="LKL2187" s="594" t="s">
        <v>1232</v>
      </c>
      <c r="LKM2187" s="594" t="s">
        <v>1232</v>
      </c>
      <c r="LKN2187" s="594" t="s">
        <v>1232</v>
      </c>
      <c r="LKO2187" s="594" t="s">
        <v>1232</v>
      </c>
      <c r="LKP2187" s="594" t="s">
        <v>1232</v>
      </c>
      <c r="LKQ2187" s="594" t="s">
        <v>1232</v>
      </c>
      <c r="LKR2187" s="594" t="s">
        <v>1232</v>
      </c>
      <c r="LKS2187" s="594" t="s">
        <v>1232</v>
      </c>
      <c r="LKT2187" s="594" t="s">
        <v>1232</v>
      </c>
      <c r="LKU2187" s="594" t="s">
        <v>1232</v>
      </c>
      <c r="LKV2187" s="594" t="s">
        <v>1232</v>
      </c>
      <c r="LKW2187" s="594" t="s">
        <v>1232</v>
      </c>
      <c r="LKX2187" s="594" t="s">
        <v>1232</v>
      </c>
      <c r="LKY2187" s="594" t="s">
        <v>1232</v>
      </c>
      <c r="LKZ2187" s="594" t="s">
        <v>1232</v>
      </c>
      <c r="LLA2187" s="594" t="s">
        <v>1232</v>
      </c>
      <c r="LLB2187" s="594" t="s">
        <v>1232</v>
      </c>
      <c r="LLC2187" s="594" t="s">
        <v>1232</v>
      </c>
      <c r="LLD2187" s="594" t="s">
        <v>1232</v>
      </c>
      <c r="LLE2187" s="594" t="s">
        <v>1232</v>
      </c>
      <c r="LLF2187" s="594" t="s">
        <v>1232</v>
      </c>
      <c r="LLG2187" s="594" t="s">
        <v>1232</v>
      </c>
      <c r="LLH2187" s="594" t="s">
        <v>1232</v>
      </c>
      <c r="LLI2187" s="594" t="s">
        <v>1232</v>
      </c>
      <c r="LLJ2187" s="594" t="s">
        <v>1232</v>
      </c>
      <c r="LLK2187" s="594" t="s">
        <v>1232</v>
      </c>
      <c r="LLL2187" s="594" t="s">
        <v>1232</v>
      </c>
      <c r="LLM2187" s="594" t="s">
        <v>1232</v>
      </c>
      <c r="LLN2187" s="594" t="s">
        <v>1232</v>
      </c>
      <c r="LLO2187" s="594" t="s">
        <v>1232</v>
      </c>
      <c r="LLP2187" s="594" t="s">
        <v>1232</v>
      </c>
      <c r="LLQ2187" s="594" t="s">
        <v>1232</v>
      </c>
      <c r="LLR2187" s="594" t="s">
        <v>1232</v>
      </c>
      <c r="LLS2187" s="594" t="s">
        <v>1232</v>
      </c>
      <c r="LLT2187" s="594" t="s">
        <v>1232</v>
      </c>
      <c r="LLU2187" s="594" t="s">
        <v>1232</v>
      </c>
      <c r="LLV2187" s="594" t="s">
        <v>1232</v>
      </c>
      <c r="LLW2187" s="594" t="s">
        <v>1232</v>
      </c>
      <c r="LLX2187" s="594" t="s">
        <v>1232</v>
      </c>
      <c r="LLY2187" s="594" t="s">
        <v>1232</v>
      </c>
      <c r="LLZ2187" s="594" t="s">
        <v>1232</v>
      </c>
      <c r="LMA2187" s="594" t="s">
        <v>1232</v>
      </c>
      <c r="LMB2187" s="594" t="s">
        <v>1232</v>
      </c>
      <c r="LMC2187" s="594" t="s">
        <v>1232</v>
      </c>
      <c r="LMD2187" s="594" t="s">
        <v>1232</v>
      </c>
      <c r="LME2187" s="594" t="s">
        <v>1232</v>
      </c>
      <c r="LMF2187" s="594" t="s">
        <v>1232</v>
      </c>
      <c r="LMG2187" s="594" t="s">
        <v>1232</v>
      </c>
      <c r="LMH2187" s="594" t="s">
        <v>1232</v>
      </c>
      <c r="LMI2187" s="594" t="s">
        <v>1232</v>
      </c>
      <c r="LMJ2187" s="594" t="s">
        <v>1232</v>
      </c>
      <c r="LMK2187" s="594" t="s">
        <v>1232</v>
      </c>
      <c r="LML2187" s="594" t="s">
        <v>1232</v>
      </c>
      <c r="LMM2187" s="594" t="s">
        <v>1232</v>
      </c>
      <c r="LMN2187" s="594" t="s">
        <v>1232</v>
      </c>
      <c r="LMO2187" s="594" t="s">
        <v>1232</v>
      </c>
      <c r="LMP2187" s="594" t="s">
        <v>1232</v>
      </c>
      <c r="LMQ2187" s="594" t="s">
        <v>1232</v>
      </c>
      <c r="LMR2187" s="594" t="s">
        <v>1232</v>
      </c>
      <c r="LMS2187" s="594" t="s">
        <v>1232</v>
      </c>
      <c r="LMT2187" s="594" t="s">
        <v>1232</v>
      </c>
      <c r="LMU2187" s="594" t="s">
        <v>1232</v>
      </c>
      <c r="LMV2187" s="594" t="s">
        <v>1232</v>
      </c>
      <c r="LMW2187" s="594" t="s">
        <v>1232</v>
      </c>
      <c r="LMX2187" s="594" t="s">
        <v>1232</v>
      </c>
      <c r="LMY2187" s="594" t="s">
        <v>1232</v>
      </c>
      <c r="LMZ2187" s="594" t="s">
        <v>1232</v>
      </c>
      <c r="LNA2187" s="594" t="s">
        <v>1232</v>
      </c>
      <c r="LNB2187" s="594" t="s">
        <v>1232</v>
      </c>
      <c r="LNC2187" s="594" t="s">
        <v>1232</v>
      </c>
      <c r="LND2187" s="594" t="s">
        <v>1232</v>
      </c>
      <c r="LNE2187" s="594" t="s">
        <v>1232</v>
      </c>
      <c r="LNF2187" s="594" t="s">
        <v>1232</v>
      </c>
      <c r="LNG2187" s="594" t="s">
        <v>1232</v>
      </c>
      <c r="LNH2187" s="594" t="s">
        <v>1232</v>
      </c>
      <c r="LNI2187" s="594" t="s">
        <v>1232</v>
      </c>
      <c r="LNJ2187" s="594" t="s">
        <v>1232</v>
      </c>
      <c r="LNK2187" s="594" t="s">
        <v>1232</v>
      </c>
      <c r="LNL2187" s="594" t="s">
        <v>1232</v>
      </c>
      <c r="LNM2187" s="594" t="s">
        <v>1232</v>
      </c>
      <c r="LNN2187" s="594" t="s">
        <v>1232</v>
      </c>
      <c r="LNO2187" s="594" t="s">
        <v>1232</v>
      </c>
      <c r="LNP2187" s="594" t="s">
        <v>1232</v>
      </c>
      <c r="LNQ2187" s="594" t="s">
        <v>1232</v>
      </c>
      <c r="LNR2187" s="594" t="s">
        <v>1232</v>
      </c>
      <c r="LNS2187" s="594" t="s">
        <v>1232</v>
      </c>
      <c r="LNT2187" s="594" t="s">
        <v>1232</v>
      </c>
      <c r="LNU2187" s="594" t="s">
        <v>1232</v>
      </c>
      <c r="LNV2187" s="594" t="s">
        <v>1232</v>
      </c>
      <c r="LNW2187" s="594" t="s">
        <v>1232</v>
      </c>
      <c r="LNX2187" s="594" t="s">
        <v>1232</v>
      </c>
      <c r="LNY2187" s="594" t="s">
        <v>1232</v>
      </c>
      <c r="LNZ2187" s="594" t="s">
        <v>1232</v>
      </c>
      <c r="LOA2187" s="594" t="s">
        <v>1232</v>
      </c>
      <c r="LOB2187" s="594" t="s">
        <v>1232</v>
      </c>
      <c r="LOC2187" s="594" t="s">
        <v>1232</v>
      </c>
      <c r="LOD2187" s="594" t="s">
        <v>1232</v>
      </c>
      <c r="LOE2187" s="594" t="s">
        <v>1232</v>
      </c>
      <c r="LOF2187" s="594" t="s">
        <v>1232</v>
      </c>
      <c r="LOG2187" s="594" t="s">
        <v>1232</v>
      </c>
      <c r="LOH2187" s="594" t="s">
        <v>1232</v>
      </c>
      <c r="LOI2187" s="594" t="s">
        <v>1232</v>
      </c>
      <c r="LOJ2187" s="594" t="s">
        <v>1232</v>
      </c>
      <c r="LOK2187" s="594" t="s">
        <v>1232</v>
      </c>
      <c r="LOL2187" s="594" t="s">
        <v>1232</v>
      </c>
      <c r="LOM2187" s="594" t="s">
        <v>1232</v>
      </c>
      <c r="LON2187" s="594" t="s">
        <v>1232</v>
      </c>
      <c r="LOO2187" s="594" t="s">
        <v>1232</v>
      </c>
      <c r="LOP2187" s="594" t="s">
        <v>1232</v>
      </c>
      <c r="LOQ2187" s="594" t="s">
        <v>1232</v>
      </c>
      <c r="LOR2187" s="594" t="s">
        <v>1232</v>
      </c>
      <c r="LOS2187" s="594" t="s">
        <v>1232</v>
      </c>
      <c r="LOT2187" s="594" t="s">
        <v>1232</v>
      </c>
      <c r="LOU2187" s="594" t="s">
        <v>1232</v>
      </c>
      <c r="LOV2187" s="594" t="s">
        <v>1232</v>
      </c>
      <c r="LOW2187" s="594" t="s">
        <v>1232</v>
      </c>
      <c r="LOX2187" s="594" t="s">
        <v>1232</v>
      </c>
      <c r="LOY2187" s="594" t="s">
        <v>1232</v>
      </c>
      <c r="LOZ2187" s="594" t="s">
        <v>1232</v>
      </c>
      <c r="LPA2187" s="594" t="s">
        <v>1232</v>
      </c>
      <c r="LPB2187" s="594" t="s">
        <v>1232</v>
      </c>
      <c r="LPC2187" s="594" t="s">
        <v>1232</v>
      </c>
      <c r="LPD2187" s="594" t="s">
        <v>1232</v>
      </c>
      <c r="LPE2187" s="594" t="s">
        <v>1232</v>
      </c>
      <c r="LPF2187" s="594" t="s">
        <v>1232</v>
      </c>
      <c r="LPG2187" s="594" t="s">
        <v>1232</v>
      </c>
      <c r="LPH2187" s="594" t="s">
        <v>1232</v>
      </c>
      <c r="LPI2187" s="594" t="s">
        <v>1232</v>
      </c>
      <c r="LPJ2187" s="594" t="s">
        <v>1232</v>
      </c>
      <c r="LPK2187" s="594" t="s">
        <v>1232</v>
      </c>
      <c r="LPL2187" s="594" t="s">
        <v>1232</v>
      </c>
      <c r="LPM2187" s="594" t="s">
        <v>1232</v>
      </c>
      <c r="LPN2187" s="594" t="s">
        <v>1232</v>
      </c>
      <c r="LPO2187" s="594" t="s">
        <v>1232</v>
      </c>
      <c r="LPP2187" s="594" t="s">
        <v>1232</v>
      </c>
      <c r="LPQ2187" s="594" t="s">
        <v>1232</v>
      </c>
      <c r="LPR2187" s="594" t="s">
        <v>1232</v>
      </c>
      <c r="LPS2187" s="594" t="s">
        <v>1232</v>
      </c>
      <c r="LPT2187" s="594" t="s">
        <v>1232</v>
      </c>
      <c r="LPU2187" s="594" t="s">
        <v>1232</v>
      </c>
      <c r="LPV2187" s="594" t="s">
        <v>1232</v>
      </c>
      <c r="LPW2187" s="594" t="s">
        <v>1232</v>
      </c>
      <c r="LPX2187" s="594" t="s">
        <v>1232</v>
      </c>
      <c r="LPY2187" s="594" t="s">
        <v>1232</v>
      </c>
      <c r="LPZ2187" s="594" t="s">
        <v>1232</v>
      </c>
      <c r="LQA2187" s="594" t="s">
        <v>1232</v>
      </c>
      <c r="LQB2187" s="594" t="s">
        <v>1232</v>
      </c>
      <c r="LQC2187" s="594" t="s">
        <v>1232</v>
      </c>
      <c r="LQD2187" s="594" t="s">
        <v>1232</v>
      </c>
      <c r="LQE2187" s="594" t="s">
        <v>1232</v>
      </c>
      <c r="LQF2187" s="594" t="s">
        <v>1232</v>
      </c>
      <c r="LQG2187" s="594" t="s">
        <v>1232</v>
      </c>
      <c r="LQH2187" s="594" t="s">
        <v>1232</v>
      </c>
      <c r="LQI2187" s="594" t="s">
        <v>1232</v>
      </c>
      <c r="LQJ2187" s="594" t="s">
        <v>1232</v>
      </c>
      <c r="LQK2187" s="594" t="s">
        <v>1232</v>
      </c>
      <c r="LQL2187" s="594" t="s">
        <v>1232</v>
      </c>
      <c r="LQM2187" s="594" t="s">
        <v>1232</v>
      </c>
      <c r="LQN2187" s="594" t="s">
        <v>1232</v>
      </c>
      <c r="LQO2187" s="594" t="s">
        <v>1232</v>
      </c>
      <c r="LQP2187" s="594" t="s">
        <v>1232</v>
      </c>
      <c r="LQQ2187" s="594" t="s">
        <v>1232</v>
      </c>
      <c r="LQR2187" s="594" t="s">
        <v>1232</v>
      </c>
      <c r="LQS2187" s="594" t="s">
        <v>1232</v>
      </c>
      <c r="LQT2187" s="594" t="s">
        <v>1232</v>
      </c>
      <c r="LQU2187" s="594" t="s">
        <v>1232</v>
      </c>
      <c r="LQV2187" s="594" t="s">
        <v>1232</v>
      </c>
      <c r="LQW2187" s="594" t="s">
        <v>1232</v>
      </c>
      <c r="LQX2187" s="594" t="s">
        <v>1232</v>
      </c>
      <c r="LQY2187" s="594" t="s">
        <v>1232</v>
      </c>
      <c r="LQZ2187" s="594" t="s">
        <v>1232</v>
      </c>
      <c r="LRA2187" s="594" t="s">
        <v>1232</v>
      </c>
      <c r="LRB2187" s="594" t="s">
        <v>1232</v>
      </c>
      <c r="LRC2187" s="594" t="s">
        <v>1232</v>
      </c>
      <c r="LRD2187" s="594" t="s">
        <v>1232</v>
      </c>
      <c r="LRE2187" s="594" t="s">
        <v>1232</v>
      </c>
      <c r="LRF2187" s="594" t="s">
        <v>1232</v>
      </c>
      <c r="LRG2187" s="594" t="s">
        <v>1232</v>
      </c>
      <c r="LRH2187" s="594" t="s">
        <v>1232</v>
      </c>
      <c r="LRI2187" s="594" t="s">
        <v>1232</v>
      </c>
      <c r="LRJ2187" s="594" t="s">
        <v>1232</v>
      </c>
      <c r="LRK2187" s="594" t="s">
        <v>1232</v>
      </c>
      <c r="LRL2187" s="594" t="s">
        <v>1232</v>
      </c>
      <c r="LRM2187" s="594" t="s">
        <v>1232</v>
      </c>
      <c r="LRN2187" s="594" t="s">
        <v>1232</v>
      </c>
      <c r="LRO2187" s="594" t="s">
        <v>1232</v>
      </c>
      <c r="LRP2187" s="594" t="s">
        <v>1232</v>
      </c>
      <c r="LRQ2187" s="594" t="s">
        <v>1232</v>
      </c>
      <c r="LRR2187" s="594" t="s">
        <v>1232</v>
      </c>
      <c r="LRS2187" s="594" t="s">
        <v>1232</v>
      </c>
      <c r="LRT2187" s="594" t="s">
        <v>1232</v>
      </c>
      <c r="LRU2187" s="594" t="s">
        <v>1232</v>
      </c>
      <c r="LRV2187" s="594" t="s">
        <v>1232</v>
      </c>
      <c r="LRW2187" s="594" t="s">
        <v>1232</v>
      </c>
      <c r="LRX2187" s="594" t="s">
        <v>1232</v>
      </c>
      <c r="LRY2187" s="594" t="s">
        <v>1232</v>
      </c>
      <c r="LRZ2187" s="594" t="s">
        <v>1232</v>
      </c>
      <c r="LSA2187" s="594" t="s">
        <v>1232</v>
      </c>
      <c r="LSB2187" s="594" t="s">
        <v>1232</v>
      </c>
      <c r="LSC2187" s="594" t="s">
        <v>1232</v>
      </c>
      <c r="LSD2187" s="594" t="s">
        <v>1232</v>
      </c>
      <c r="LSE2187" s="594" t="s">
        <v>1232</v>
      </c>
      <c r="LSF2187" s="594" t="s">
        <v>1232</v>
      </c>
      <c r="LSG2187" s="594" t="s">
        <v>1232</v>
      </c>
      <c r="LSH2187" s="594" t="s">
        <v>1232</v>
      </c>
      <c r="LSI2187" s="594" t="s">
        <v>1232</v>
      </c>
      <c r="LSJ2187" s="594" t="s">
        <v>1232</v>
      </c>
      <c r="LSK2187" s="594" t="s">
        <v>1232</v>
      </c>
      <c r="LSL2187" s="594" t="s">
        <v>1232</v>
      </c>
      <c r="LSM2187" s="594" t="s">
        <v>1232</v>
      </c>
      <c r="LSN2187" s="594" t="s">
        <v>1232</v>
      </c>
      <c r="LSO2187" s="594" t="s">
        <v>1232</v>
      </c>
      <c r="LSP2187" s="594" t="s">
        <v>1232</v>
      </c>
      <c r="LSQ2187" s="594" t="s">
        <v>1232</v>
      </c>
      <c r="LSR2187" s="594" t="s">
        <v>1232</v>
      </c>
      <c r="LSS2187" s="594" t="s">
        <v>1232</v>
      </c>
      <c r="LST2187" s="594" t="s">
        <v>1232</v>
      </c>
      <c r="LSU2187" s="594" t="s">
        <v>1232</v>
      </c>
      <c r="LSV2187" s="594" t="s">
        <v>1232</v>
      </c>
      <c r="LSW2187" s="594" t="s">
        <v>1232</v>
      </c>
      <c r="LSX2187" s="594" t="s">
        <v>1232</v>
      </c>
      <c r="LSY2187" s="594" t="s">
        <v>1232</v>
      </c>
      <c r="LSZ2187" s="594" t="s">
        <v>1232</v>
      </c>
      <c r="LTA2187" s="594" t="s">
        <v>1232</v>
      </c>
      <c r="LTB2187" s="594" t="s">
        <v>1232</v>
      </c>
      <c r="LTC2187" s="594" t="s">
        <v>1232</v>
      </c>
      <c r="LTD2187" s="594" t="s">
        <v>1232</v>
      </c>
      <c r="LTE2187" s="594" t="s">
        <v>1232</v>
      </c>
      <c r="LTF2187" s="594" t="s">
        <v>1232</v>
      </c>
      <c r="LTG2187" s="594" t="s">
        <v>1232</v>
      </c>
      <c r="LTH2187" s="594" t="s">
        <v>1232</v>
      </c>
      <c r="LTI2187" s="594" t="s">
        <v>1232</v>
      </c>
      <c r="LTJ2187" s="594" t="s">
        <v>1232</v>
      </c>
      <c r="LTK2187" s="594" t="s">
        <v>1232</v>
      </c>
      <c r="LTL2187" s="594" t="s">
        <v>1232</v>
      </c>
      <c r="LTM2187" s="594" t="s">
        <v>1232</v>
      </c>
      <c r="LTN2187" s="594" t="s">
        <v>1232</v>
      </c>
      <c r="LTO2187" s="594" t="s">
        <v>1232</v>
      </c>
      <c r="LTP2187" s="594" t="s">
        <v>1232</v>
      </c>
      <c r="LTQ2187" s="594" t="s">
        <v>1232</v>
      </c>
      <c r="LTR2187" s="594" t="s">
        <v>1232</v>
      </c>
      <c r="LTS2187" s="594" t="s">
        <v>1232</v>
      </c>
      <c r="LTT2187" s="594" t="s">
        <v>1232</v>
      </c>
      <c r="LTU2187" s="594" t="s">
        <v>1232</v>
      </c>
      <c r="LTV2187" s="594" t="s">
        <v>1232</v>
      </c>
      <c r="LTW2187" s="594" t="s">
        <v>1232</v>
      </c>
      <c r="LTX2187" s="594" t="s">
        <v>1232</v>
      </c>
      <c r="LTY2187" s="594" t="s">
        <v>1232</v>
      </c>
      <c r="LTZ2187" s="594" t="s">
        <v>1232</v>
      </c>
      <c r="LUA2187" s="594" t="s">
        <v>1232</v>
      </c>
      <c r="LUB2187" s="594" t="s">
        <v>1232</v>
      </c>
      <c r="LUC2187" s="594" t="s">
        <v>1232</v>
      </c>
      <c r="LUD2187" s="594" t="s">
        <v>1232</v>
      </c>
      <c r="LUE2187" s="594" t="s">
        <v>1232</v>
      </c>
      <c r="LUF2187" s="594" t="s">
        <v>1232</v>
      </c>
      <c r="LUG2187" s="594" t="s">
        <v>1232</v>
      </c>
      <c r="LUH2187" s="594" t="s">
        <v>1232</v>
      </c>
      <c r="LUI2187" s="594" t="s">
        <v>1232</v>
      </c>
      <c r="LUJ2187" s="594" t="s">
        <v>1232</v>
      </c>
      <c r="LUK2187" s="594" t="s">
        <v>1232</v>
      </c>
      <c r="LUL2187" s="594" t="s">
        <v>1232</v>
      </c>
      <c r="LUM2187" s="594" t="s">
        <v>1232</v>
      </c>
      <c r="LUN2187" s="594" t="s">
        <v>1232</v>
      </c>
      <c r="LUO2187" s="594" t="s">
        <v>1232</v>
      </c>
      <c r="LUP2187" s="594" t="s">
        <v>1232</v>
      </c>
      <c r="LUQ2187" s="594" t="s">
        <v>1232</v>
      </c>
      <c r="LUR2187" s="594" t="s">
        <v>1232</v>
      </c>
      <c r="LUS2187" s="594" t="s">
        <v>1232</v>
      </c>
      <c r="LUT2187" s="594" t="s">
        <v>1232</v>
      </c>
      <c r="LUU2187" s="594" t="s">
        <v>1232</v>
      </c>
      <c r="LUV2187" s="594" t="s">
        <v>1232</v>
      </c>
      <c r="LUW2187" s="594" t="s">
        <v>1232</v>
      </c>
      <c r="LUX2187" s="594" t="s">
        <v>1232</v>
      </c>
      <c r="LUY2187" s="594" t="s">
        <v>1232</v>
      </c>
      <c r="LUZ2187" s="594" t="s">
        <v>1232</v>
      </c>
      <c r="LVA2187" s="594" t="s">
        <v>1232</v>
      </c>
      <c r="LVB2187" s="594" t="s">
        <v>1232</v>
      </c>
      <c r="LVC2187" s="594" t="s">
        <v>1232</v>
      </c>
      <c r="LVD2187" s="594" t="s">
        <v>1232</v>
      </c>
      <c r="LVE2187" s="594" t="s">
        <v>1232</v>
      </c>
      <c r="LVF2187" s="594" t="s">
        <v>1232</v>
      </c>
      <c r="LVG2187" s="594" t="s">
        <v>1232</v>
      </c>
      <c r="LVH2187" s="594" t="s">
        <v>1232</v>
      </c>
      <c r="LVI2187" s="594" t="s">
        <v>1232</v>
      </c>
      <c r="LVJ2187" s="594" t="s">
        <v>1232</v>
      </c>
      <c r="LVK2187" s="594" t="s">
        <v>1232</v>
      </c>
      <c r="LVL2187" s="594" t="s">
        <v>1232</v>
      </c>
      <c r="LVM2187" s="594" t="s">
        <v>1232</v>
      </c>
      <c r="LVN2187" s="594" t="s">
        <v>1232</v>
      </c>
      <c r="LVO2187" s="594" t="s">
        <v>1232</v>
      </c>
      <c r="LVP2187" s="594" t="s">
        <v>1232</v>
      </c>
      <c r="LVQ2187" s="594" t="s">
        <v>1232</v>
      </c>
      <c r="LVR2187" s="594" t="s">
        <v>1232</v>
      </c>
      <c r="LVS2187" s="594" t="s">
        <v>1232</v>
      </c>
      <c r="LVT2187" s="594" t="s">
        <v>1232</v>
      </c>
      <c r="LVU2187" s="594" t="s">
        <v>1232</v>
      </c>
      <c r="LVV2187" s="594" t="s">
        <v>1232</v>
      </c>
      <c r="LVW2187" s="594" t="s">
        <v>1232</v>
      </c>
      <c r="LVX2187" s="594" t="s">
        <v>1232</v>
      </c>
      <c r="LVY2187" s="594" t="s">
        <v>1232</v>
      </c>
      <c r="LVZ2187" s="594" t="s">
        <v>1232</v>
      </c>
      <c r="LWA2187" s="594" t="s">
        <v>1232</v>
      </c>
      <c r="LWB2187" s="594" t="s">
        <v>1232</v>
      </c>
      <c r="LWC2187" s="594" t="s">
        <v>1232</v>
      </c>
      <c r="LWD2187" s="594" t="s">
        <v>1232</v>
      </c>
      <c r="LWE2187" s="594" t="s">
        <v>1232</v>
      </c>
      <c r="LWF2187" s="594" t="s">
        <v>1232</v>
      </c>
      <c r="LWG2187" s="594" t="s">
        <v>1232</v>
      </c>
      <c r="LWH2187" s="594" t="s">
        <v>1232</v>
      </c>
      <c r="LWI2187" s="594" t="s">
        <v>1232</v>
      </c>
      <c r="LWJ2187" s="594" t="s">
        <v>1232</v>
      </c>
      <c r="LWK2187" s="594" t="s">
        <v>1232</v>
      </c>
      <c r="LWL2187" s="594" t="s">
        <v>1232</v>
      </c>
      <c r="LWM2187" s="594" t="s">
        <v>1232</v>
      </c>
      <c r="LWN2187" s="594" t="s">
        <v>1232</v>
      </c>
      <c r="LWO2187" s="594" t="s">
        <v>1232</v>
      </c>
      <c r="LWP2187" s="594" t="s">
        <v>1232</v>
      </c>
      <c r="LWQ2187" s="594" t="s">
        <v>1232</v>
      </c>
      <c r="LWR2187" s="594" t="s">
        <v>1232</v>
      </c>
      <c r="LWS2187" s="594" t="s">
        <v>1232</v>
      </c>
      <c r="LWT2187" s="594" t="s">
        <v>1232</v>
      </c>
      <c r="LWU2187" s="594" t="s">
        <v>1232</v>
      </c>
      <c r="LWV2187" s="594" t="s">
        <v>1232</v>
      </c>
      <c r="LWW2187" s="594" t="s">
        <v>1232</v>
      </c>
      <c r="LWX2187" s="594" t="s">
        <v>1232</v>
      </c>
      <c r="LWY2187" s="594" t="s">
        <v>1232</v>
      </c>
      <c r="LWZ2187" s="594" t="s">
        <v>1232</v>
      </c>
      <c r="LXA2187" s="594" t="s">
        <v>1232</v>
      </c>
      <c r="LXB2187" s="594" t="s">
        <v>1232</v>
      </c>
      <c r="LXC2187" s="594" t="s">
        <v>1232</v>
      </c>
      <c r="LXD2187" s="594" t="s">
        <v>1232</v>
      </c>
      <c r="LXE2187" s="594" t="s">
        <v>1232</v>
      </c>
      <c r="LXF2187" s="594" t="s">
        <v>1232</v>
      </c>
      <c r="LXG2187" s="594" t="s">
        <v>1232</v>
      </c>
      <c r="LXH2187" s="594" t="s">
        <v>1232</v>
      </c>
      <c r="LXI2187" s="594" t="s">
        <v>1232</v>
      </c>
      <c r="LXJ2187" s="594" t="s">
        <v>1232</v>
      </c>
      <c r="LXK2187" s="594" t="s">
        <v>1232</v>
      </c>
      <c r="LXL2187" s="594" t="s">
        <v>1232</v>
      </c>
      <c r="LXM2187" s="594" t="s">
        <v>1232</v>
      </c>
      <c r="LXN2187" s="594" t="s">
        <v>1232</v>
      </c>
      <c r="LXO2187" s="594" t="s">
        <v>1232</v>
      </c>
      <c r="LXP2187" s="594" t="s">
        <v>1232</v>
      </c>
      <c r="LXQ2187" s="594" t="s">
        <v>1232</v>
      </c>
      <c r="LXR2187" s="594" t="s">
        <v>1232</v>
      </c>
      <c r="LXS2187" s="594" t="s">
        <v>1232</v>
      </c>
      <c r="LXT2187" s="594" t="s">
        <v>1232</v>
      </c>
      <c r="LXU2187" s="594" t="s">
        <v>1232</v>
      </c>
      <c r="LXV2187" s="594" t="s">
        <v>1232</v>
      </c>
      <c r="LXW2187" s="594" t="s">
        <v>1232</v>
      </c>
      <c r="LXX2187" s="594" t="s">
        <v>1232</v>
      </c>
      <c r="LXY2187" s="594" t="s">
        <v>1232</v>
      </c>
      <c r="LXZ2187" s="594" t="s">
        <v>1232</v>
      </c>
      <c r="LYA2187" s="594" t="s">
        <v>1232</v>
      </c>
      <c r="LYB2187" s="594" t="s">
        <v>1232</v>
      </c>
      <c r="LYC2187" s="594" t="s">
        <v>1232</v>
      </c>
      <c r="LYD2187" s="594" t="s">
        <v>1232</v>
      </c>
      <c r="LYE2187" s="594" t="s">
        <v>1232</v>
      </c>
      <c r="LYF2187" s="594" t="s">
        <v>1232</v>
      </c>
      <c r="LYG2187" s="594" t="s">
        <v>1232</v>
      </c>
      <c r="LYH2187" s="594" t="s">
        <v>1232</v>
      </c>
      <c r="LYI2187" s="594" t="s">
        <v>1232</v>
      </c>
      <c r="LYJ2187" s="594" t="s">
        <v>1232</v>
      </c>
      <c r="LYK2187" s="594" t="s">
        <v>1232</v>
      </c>
      <c r="LYL2187" s="594" t="s">
        <v>1232</v>
      </c>
      <c r="LYM2187" s="594" t="s">
        <v>1232</v>
      </c>
      <c r="LYN2187" s="594" t="s">
        <v>1232</v>
      </c>
      <c r="LYO2187" s="594" t="s">
        <v>1232</v>
      </c>
      <c r="LYP2187" s="594" t="s">
        <v>1232</v>
      </c>
      <c r="LYQ2187" s="594" t="s">
        <v>1232</v>
      </c>
      <c r="LYR2187" s="594" t="s">
        <v>1232</v>
      </c>
      <c r="LYS2187" s="594" t="s">
        <v>1232</v>
      </c>
      <c r="LYT2187" s="594" t="s">
        <v>1232</v>
      </c>
      <c r="LYU2187" s="594" t="s">
        <v>1232</v>
      </c>
      <c r="LYV2187" s="594" t="s">
        <v>1232</v>
      </c>
      <c r="LYW2187" s="594" t="s">
        <v>1232</v>
      </c>
      <c r="LYX2187" s="594" t="s">
        <v>1232</v>
      </c>
      <c r="LYY2187" s="594" t="s">
        <v>1232</v>
      </c>
      <c r="LYZ2187" s="594" t="s">
        <v>1232</v>
      </c>
      <c r="LZA2187" s="594" t="s">
        <v>1232</v>
      </c>
      <c r="LZB2187" s="594" t="s">
        <v>1232</v>
      </c>
      <c r="LZC2187" s="594" t="s">
        <v>1232</v>
      </c>
      <c r="LZD2187" s="594" t="s">
        <v>1232</v>
      </c>
      <c r="LZE2187" s="594" t="s">
        <v>1232</v>
      </c>
      <c r="LZF2187" s="594" t="s">
        <v>1232</v>
      </c>
      <c r="LZG2187" s="594" t="s">
        <v>1232</v>
      </c>
      <c r="LZH2187" s="594" t="s">
        <v>1232</v>
      </c>
      <c r="LZI2187" s="594" t="s">
        <v>1232</v>
      </c>
      <c r="LZJ2187" s="594" t="s">
        <v>1232</v>
      </c>
      <c r="LZK2187" s="594" t="s">
        <v>1232</v>
      </c>
      <c r="LZL2187" s="594" t="s">
        <v>1232</v>
      </c>
      <c r="LZM2187" s="594" t="s">
        <v>1232</v>
      </c>
      <c r="LZN2187" s="594" t="s">
        <v>1232</v>
      </c>
      <c r="LZO2187" s="594" t="s">
        <v>1232</v>
      </c>
      <c r="LZP2187" s="594" t="s">
        <v>1232</v>
      </c>
      <c r="LZQ2187" s="594" t="s">
        <v>1232</v>
      </c>
      <c r="LZR2187" s="594" t="s">
        <v>1232</v>
      </c>
      <c r="LZS2187" s="594" t="s">
        <v>1232</v>
      </c>
      <c r="LZT2187" s="594" t="s">
        <v>1232</v>
      </c>
      <c r="LZU2187" s="594" t="s">
        <v>1232</v>
      </c>
      <c r="LZV2187" s="594" t="s">
        <v>1232</v>
      </c>
      <c r="LZW2187" s="594" t="s">
        <v>1232</v>
      </c>
      <c r="LZX2187" s="594" t="s">
        <v>1232</v>
      </c>
      <c r="LZY2187" s="594" t="s">
        <v>1232</v>
      </c>
      <c r="LZZ2187" s="594" t="s">
        <v>1232</v>
      </c>
      <c r="MAA2187" s="594" t="s">
        <v>1232</v>
      </c>
      <c r="MAB2187" s="594" t="s">
        <v>1232</v>
      </c>
      <c r="MAC2187" s="594" t="s">
        <v>1232</v>
      </c>
      <c r="MAD2187" s="594" t="s">
        <v>1232</v>
      </c>
      <c r="MAE2187" s="594" t="s">
        <v>1232</v>
      </c>
      <c r="MAF2187" s="594" t="s">
        <v>1232</v>
      </c>
      <c r="MAG2187" s="594" t="s">
        <v>1232</v>
      </c>
      <c r="MAH2187" s="594" t="s">
        <v>1232</v>
      </c>
      <c r="MAI2187" s="594" t="s">
        <v>1232</v>
      </c>
      <c r="MAJ2187" s="594" t="s">
        <v>1232</v>
      </c>
      <c r="MAK2187" s="594" t="s">
        <v>1232</v>
      </c>
      <c r="MAL2187" s="594" t="s">
        <v>1232</v>
      </c>
      <c r="MAM2187" s="594" t="s">
        <v>1232</v>
      </c>
      <c r="MAN2187" s="594" t="s">
        <v>1232</v>
      </c>
      <c r="MAO2187" s="594" t="s">
        <v>1232</v>
      </c>
      <c r="MAP2187" s="594" t="s">
        <v>1232</v>
      </c>
      <c r="MAQ2187" s="594" t="s">
        <v>1232</v>
      </c>
      <c r="MAR2187" s="594" t="s">
        <v>1232</v>
      </c>
      <c r="MAS2187" s="594" t="s">
        <v>1232</v>
      </c>
      <c r="MAT2187" s="594" t="s">
        <v>1232</v>
      </c>
      <c r="MAU2187" s="594" t="s">
        <v>1232</v>
      </c>
      <c r="MAV2187" s="594" t="s">
        <v>1232</v>
      </c>
      <c r="MAW2187" s="594" t="s">
        <v>1232</v>
      </c>
      <c r="MAX2187" s="594" t="s">
        <v>1232</v>
      </c>
      <c r="MAY2187" s="594" t="s">
        <v>1232</v>
      </c>
      <c r="MAZ2187" s="594" t="s">
        <v>1232</v>
      </c>
      <c r="MBA2187" s="594" t="s">
        <v>1232</v>
      </c>
      <c r="MBB2187" s="594" t="s">
        <v>1232</v>
      </c>
      <c r="MBC2187" s="594" t="s">
        <v>1232</v>
      </c>
      <c r="MBD2187" s="594" t="s">
        <v>1232</v>
      </c>
      <c r="MBE2187" s="594" t="s">
        <v>1232</v>
      </c>
      <c r="MBF2187" s="594" t="s">
        <v>1232</v>
      </c>
      <c r="MBG2187" s="594" t="s">
        <v>1232</v>
      </c>
      <c r="MBH2187" s="594" t="s">
        <v>1232</v>
      </c>
      <c r="MBI2187" s="594" t="s">
        <v>1232</v>
      </c>
      <c r="MBJ2187" s="594" t="s">
        <v>1232</v>
      </c>
      <c r="MBK2187" s="594" t="s">
        <v>1232</v>
      </c>
      <c r="MBL2187" s="594" t="s">
        <v>1232</v>
      </c>
      <c r="MBM2187" s="594" t="s">
        <v>1232</v>
      </c>
      <c r="MBN2187" s="594" t="s">
        <v>1232</v>
      </c>
      <c r="MBO2187" s="594" t="s">
        <v>1232</v>
      </c>
      <c r="MBP2187" s="594" t="s">
        <v>1232</v>
      </c>
      <c r="MBQ2187" s="594" t="s">
        <v>1232</v>
      </c>
      <c r="MBR2187" s="594" t="s">
        <v>1232</v>
      </c>
      <c r="MBS2187" s="594" t="s">
        <v>1232</v>
      </c>
      <c r="MBT2187" s="594" t="s">
        <v>1232</v>
      </c>
      <c r="MBU2187" s="594" t="s">
        <v>1232</v>
      </c>
      <c r="MBV2187" s="594" t="s">
        <v>1232</v>
      </c>
      <c r="MBW2187" s="594" t="s">
        <v>1232</v>
      </c>
      <c r="MBX2187" s="594" t="s">
        <v>1232</v>
      </c>
      <c r="MBY2187" s="594" t="s">
        <v>1232</v>
      </c>
      <c r="MBZ2187" s="594" t="s">
        <v>1232</v>
      </c>
      <c r="MCA2187" s="594" t="s">
        <v>1232</v>
      </c>
      <c r="MCB2187" s="594" t="s">
        <v>1232</v>
      </c>
      <c r="MCC2187" s="594" t="s">
        <v>1232</v>
      </c>
      <c r="MCD2187" s="594" t="s">
        <v>1232</v>
      </c>
      <c r="MCE2187" s="594" t="s">
        <v>1232</v>
      </c>
      <c r="MCF2187" s="594" t="s">
        <v>1232</v>
      </c>
      <c r="MCG2187" s="594" t="s">
        <v>1232</v>
      </c>
      <c r="MCH2187" s="594" t="s">
        <v>1232</v>
      </c>
      <c r="MCI2187" s="594" t="s">
        <v>1232</v>
      </c>
      <c r="MCJ2187" s="594" t="s">
        <v>1232</v>
      </c>
      <c r="MCK2187" s="594" t="s">
        <v>1232</v>
      </c>
      <c r="MCL2187" s="594" t="s">
        <v>1232</v>
      </c>
      <c r="MCM2187" s="594" t="s">
        <v>1232</v>
      </c>
      <c r="MCN2187" s="594" t="s">
        <v>1232</v>
      </c>
      <c r="MCO2187" s="594" t="s">
        <v>1232</v>
      </c>
      <c r="MCP2187" s="594" t="s">
        <v>1232</v>
      </c>
      <c r="MCQ2187" s="594" t="s">
        <v>1232</v>
      </c>
      <c r="MCR2187" s="594" t="s">
        <v>1232</v>
      </c>
      <c r="MCS2187" s="594" t="s">
        <v>1232</v>
      </c>
      <c r="MCT2187" s="594" t="s">
        <v>1232</v>
      </c>
      <c r="MCU2187" s="594" t="s">
        <v>1232</v>
      </c>
      <c r="MCV2187" s="594" t="s">
        <v>1232</v>
      </c>
      <c r="MCW2187" s="594" t="s">
        <v>1232</v>
      </c>
      <c r="MCX2187" s="594" t="s">
        <v>1232</v>
      </c>
      <c r="MCY2187" s="594" t="s">
        <v>1232</v>
      </c>
      <c r="MCZ2187" s="594" t="s">
        <v>1232</v>
      </c>
      <c r="MDA2187" s="594" t="s">
        <v>1232</v>
      </c>
      <c r="MDB2187" s="594" t="s">
        <v>1232</v>
      </c>
      <c r="MDC2187" s="594" t="s">
        <v>1232</v>
      </c>
      <c r="MDD2187" s="594" t="s">
        <v>1232</v>
      </c>
      <c r="MDE2187" s="594" t="s">
        <v>1232</v>
      </c>
      <c r="MDF2187" s="594" t="s">
        <v>1232</v>
      </c>
      <c r="MDG2187" s="594" t="s">
        <v>1232</v>
      </c>
      <c r="MDH2187" s="594" t="s">
        <v>1232</v>
      </c>
      <c r="MDI2187" s="594" t="s">
        <v>1232</v>
      </c>
      <c r="MDJ2187" s="594" t="s">
        <v>1232</v>
      </c>
      <c r="MDK2187" s="594" t="s">
        <v>1232</v>
      </c>
      <c r="MDL2187" s="594" t="s">
        <v>1232</v>
      </c>
      <c r="MDM2187" s="594" t="s">
        <v>1232</v>
      </c>
      <c r="MDN2187" s="594" t="s">
        <v>1232</v>
      </c>
      <c r="MDO2187" s="594" t="s">
        <v>1232</v>
      </c>
      <c r="MDP2187" s="594" t="s">
        <v>1232</v>
      </c>
      <c r="MDQ2187" s="594" t="s">
        <v>1232</v>
      </c>
      <c r="MDR2187" s="594" t="s">
        <v>1232</v>
      </c>
      <c r="MDS2187" s="594" t="s">
        <v>1232</v>
      </c>
      <c r="MDT2187" s="594" t="s">
        <v>1232</v>
      </c>
      <c r="MDU2187" s="594" t="s">
        <v>1232</v>
      </c>
      <c r="MDV2187" s="594" t="s">
        <v>1232</v>
      </c>
      <c r="MDW2187" s="594" t="s">
        <v>1232</v>
      </c>
      <c r="MDX2187" s="594" t="s">
        <v>1232</v>
      </c>
      <c r="MDY2187" s="594" t="s">
        <v>1232</v>
      </c>
      <c r="MDZ2187" s="594" t="s">
        <v>1232</v>
      </c>
      <c r="MEA2187" s="594" t="s">
        <v>1232</v>
      </c>
      <c r="MEB2187" s="594" t="s">
        <v>1232</v>
      </c>
      <c r="MEC2187" s="594" t="s">
        <v>1232</v>
      </c>
      <c r="MED2187" s="594" t="s">
        <v>1232</v>
      </c>
      <c r="MEE2187" s="594" t="s">
        <v>1232</v>
      </c>
      <c r="MEF2187" s="594" t="s">
        <v>1232</v>
      </c>
      <c r="MEG2187" s="594" t="s">
        <v>1232</v>
      </c>
      <c r="MEH2187" s="594" t="s">
        <v>1232</v>
      </c>
      <c r="MEI2187" s="594" t="s">
        <v>1232</v>
      </c>
      <c r="MEJ2187" s="594" t="s">
        <v>1232</v>
      </c>
      <c r="MEK2187" s="594" t="s">
        <v>1232</v>
      </c>
      <c r="MEL2187" s="594" t="s">
        <v>1232</v>
      </c>
      <c r="MEM2187" s="594" t="s">
        <v>1232</v>
      </c>
      <c r="MEN2187" s="594" t="s">
        <v>1232</v>
      </c>
      <c r="MEO2187" s="594" t="s">
        <v>1232</v>
      </c>
      <c r="MEP2187" s="594" t="s">
        <v>1232</v>
      </c>
      <c r="MEQ2187" s="594" t="s">
        <v>1232</v>
      </c>
      <c r="MER2187" s="594" t="s">
        <v>1232</v>
      </c>
      <c r="MES2187" s="594" t="s">
        <v>1232</v>
      </c>
      <c r="MET2187" s="594" t="s">
        <v>1232</v>
      </c>
      <c r="MEU2187" s="594" t="s">
        <v>1232</v>
      </c>
      <c r="MEV2187" s="594" t="s">
        <v>1232</v>
      </c>
      <c r="MEW2187" s="594" t="s">
        <v>1232</v>
      </c>
      <c r="MEX2187" s="594" t="s">
        <v>1232</v>
      </c>
      <c r="MEY2187" s="594" t="s">
        <v>1232</v>
      </c>
      <c r="MEZ2187" s="594" t="s">
        <v>1232</v>
      </c>
      <c r="MFA2187" s="594" t="s">
        <v>1232</v>
      </c>
      <c r="MFB2187" s="594" t="s">
        <v>1232</v>
      </c>
      <c r="MFC2187" s="594" t="s">
        <v>1232</v>
      </c>
      <c r="MFD2187" s="594" t="s">
        <v>1232</v>
      </c>
      <c r="MFE2187" s="594" t="s">
        <v>1232</v>
      </c>
      <c r="MFF2187" s="594" t="s">
        <v>1232</v>
      </c>
      <c r="MFG2187" s="594" t="s">
        <v>1232</v>
      </c>
      <c r="MFH2187" s="594" t="s">
        <v>1232</v>
      </c>
      <c r="MFI2187" s="594" t="s">
        <v>1232</v>
      </c>
      <c r="MFJ2187" s="594" t="s">
        <v>1232</v>
      </c>
      <c r="MFK2187" s="594" t="s">
        <v>1232</v>
      </c>
      <c r="MFL2187" s="594" t="s">
        <v>1232</v>
      </c>
      <c r="MFM2187" s="594" t="s">
        <v>1232</v>
      </c>
      <c r="MFN2187" s="594" t="s">
        <v>1232</v>
      </c>
      <c r="MFO2187" s="594" t="s">
        <v>1232</v>
      </c>
      <c r="MFP2187" s="594" t="s">
        <v>1232</v>
      </c>
      <c r="MFQ2187" s="594" t="s">
        <v>1232</v>
      </c>
      <c r="MFR2187" s="594" t="s">
        <v>1232</v>
      </c>
      <c r="MFS2187" s="594" t="s">
        <v>1232</v>
      </c>
      <c r="MFT2187" s="594" t="s">
        <v>1232</v>
      </c>
      <c r="MFU2187" s="594" t="s">
        <v>1232</v>
      </c>
      <c r="MFV2187" s="594" t="s">
        <v>1232</v>
      </c>
      <c r="MFW2187" s="594" t="s">
        <v>1232</v>
      </c>
      <c r="MFX2187" s="594" t="s">
        <v>1232</v>
      </c>
      <c r="MFY2187" s="594" t="s">
        <v>1232</v>
      </c>
      <c r="MFZ2187" s="594" t="s">
        <v>1232</v>
      </c>
      <c r="MGA2187" s="594" t="s">
        <v>1232</v>
      </c>
      <c r="MGB2187" s="594" t="s">
        <v>1232</v>
      </c>
      <c r="MGC2187" s="594" t="s">
        <v>1232</v>
      </c>
      <c r="MGD2187" s="594" t="s">
        <v>1232</v>
      </c>
      <c r="MGE2187" s="594" t="s">
        <v>1232</v>
      </c>
      <c r="MGF2187" s="594" t="s">
        <v>1232</v>
      </c>
      <c r="MGG2187" s="594" t="s">
        <v>1232</v>
      </c>
      <c r="MGH2187" s="594" t="s">
        <v>1232</v>
      </c>
      <c r="MGI2187" s="594" t="s">
        <v>1232</v>
      </c>
      <c r="MGJ2187" s="594" t="s">
        <v>1232</v>
      </c>
      <c r="MGK2187" s="594" t="s">
        <v>1232</v>
      </c>
      <c r="MGL2187" s="594" t="s">
        <v>1232</v>
      </c>
      <c r="MGM2187" s="594" t="s">
        <v>1232</v>
      </c>
      <c r="MGN2187" s="594" t="s">
        <v>1232</v>
      </c>
      <c r="MGO2187" s="594" t="s">
        <v>1232</v>
      </c>
      <c r="MGP2187" s="594" t="s">
        <v>1232</v>
      </c>
      <c r="MGQ2187" s="594" t="s">
        <v>1232</v>
      </c>
      <c r="MGR2187" s="594" t="s">
        <v>1232</v>
      </c>
      <c r="MGS2187" s="594" t="s">
        <v>1232</v>
      </c>
      <c r="MGT2187" s="594" t="s">
        <v>1232</v>
      </c>
      <c r="MGU2187" s="594" t="s">
        <v>1232</v>
      </c>
      <c r="MGV2187" s="594" t="s">
        <v>1232</v>
      </c>
      <c r="MGW2187" s="594" t="s">
        <v>1232</v>
      </c>
      <c r="MGX2187" s="594" t="s">
        <v>1232</v>
      </c>
      <c r="MGY2187" s="594" t="s">
        <v>1232</v>
      </c>
      <c r="MGZ2187" s="594" t="s">
        <v>1232</v>
      </c>
      <c r="MHA2187" s="594" t="s">
        <v>1232</v>
      </c>
      <c r="MHB2187" s="594" t="s">
        <v>1232</v>
      </c>
      <c r="MHC2187" s="594" t="s">
        <v>1232</v>
      </c>
      <c r="MHD2187" s="594" t="s">
        <v>1232</v>
      </c>
      <c r="MHE2187" s="594" t="s">
        <v>1232</v>
      </c>
      <c r="MHF2187" s="594" t="s">
        <v>1232</v>
      </c>
      <c r="MHG2187" s="594" t="s">
        <v>1232</v>
      </c>
      <c r="MHH2187" s="594" t="s">
        <v>1232</v>
      </c>
      <c r="MHI2187" s="594" t="s">
        <v>1232</v>
      </c>
      <c r="MHJ2187" s="594" t="s">
        <v>1232</v>
      </c>
      <c r="MHK2187" s="594" t="s">
        <v>1232</v>
      </c>
      <c r="MHL2187" s="594" t="s">
        <v>1232</v>
      </c>
      <c r="MHM2187" s="594" t="s">
        <v>1232</v>
      </c>
      <c r="MHN2187" s="594" t="s">
        <v>1232</v>
      </c>
      <c r="MHO2187" s="594" t="s">
        <v>1232</v>
      </c>
      <c r="MHP2187" s="594" t="s">
        <v>1232</v>
      </c>
      <c r="MHQ2187" s="594" t="s">
        <v>1232</v>
      </c>
      <c r="MHR2187" s="594" t="s">
        <v>1232</v>
      </c>
      <c r="MHS2187" s="594" t="s">
        <v>1232</v>
      </c>
      <c r="MHT2187" s="594" t="s">
        <v>1232</v>
      </c>
      <c r="MHU2187" s="594" t="s">
        <v>1232</v>
      </c>
      <c r="MHV2187" s="594" t="s">
        <v>1232</v>
      </c>
      <c r="MHW2187" s="594" t="s">
        <v>1232</v>
      </c>
      <c r="MHX2187" s="594" t="s">
        <v>1232</v>
      </c>
      <c r="MHY2187" s="594" t="s">
        <v>1232</v>
      </c>
      <c r="MHZ2187" s="594" t="s">
        <v>1232</v>
      </c>
      <c r="MIA2187" s="594" t="s">
        <v>1232</v>
      </c>
      <c r="MIB2187" s="594" t="s">
        <v>1232</v>
      </c>
      <c r="MIC2187" s="594" t="s">
        <v>1232</v>
      </c>
      <c r="MID2187" s="594" t="s">
        <v>1232</v>
      </c>
      <c r="MIE2187" s="594" t="s">
        <v>1232</v>
      </c>
      <c r="MIF2187" s="594" t="s">
        <v>1232</v>
      </c>
      <c r="MIG2187" s="594" t="s">
        <v>1232</v>
      </c>
      <c r="MIH2187" s="594" t="s">
        <v>1232</v>
      </c>
      <c r="MII2187" s="594" t="s">
        <v>1232</v>
      </c>
      <c r="MIJ2187" s="594" t="s">
        <v>1232</v>
      </c>
      <c r="MIK2187" s="594" t="s">
        <v>1232</v>
      </c>
      <c r="MIL2187" s="594" t="s">
        <v>1232</v>
      </c>
      <c r="MIM2187" s="594" t="s">
        <v>1232</v>
      </c>
      <c r="MIN2187" s="594" t="s">
        <v>1232</v>
      </c>
      <c r="MIO2187" s="594" t="s">
        <v>1232</v>
      </c>
      <c r="MIP2187" s="594" t="s">
        <v>1232</v>
      </c>
      <c r="MIQ2187" s="594" t="s">
        <v>1232</v>
      </c>
      <c r="MIR2187" s="594" t="s">
        <v>1232</v>
      </c>
      <c r="MIS2187" s="594" t="s">
        <v>1232</v>
      </c>
      <c r="MIT2187" s="594" t="s">
        <v>1232</v>
      </c>
      <c r="MIU2187" s="594" t="s">
        <v>1232</v>
      </c>
      <c r="MIV2187" s="594" t="s">
        <v>1232</v>
      </c>
      <c r="MIW2187" s="594" t="s">
        <v>1232</v>
      </c>
      <c r="MIX2187" s="594" t="s">
        <v>1232</v>
      </c>
      <c r="MIY2187" s="594" t="s">
        <v>1232</v>
      </c>
      <c r="MIZ2187" s="594" t="s">
        <v>1232</v>
      </c>
      <c r="MJA2187" s="594" t="s">
        <v>1232</v>
      </c>
      <c r="MJB2187" s="594" t="s">
        <v>1232</v>
      </c>
      <c r="MJC2187" s="594" t="s">
        <v>1232</v>
      </c>
      <c r="MJD2187" s="594" t="s">
        <v>1232</v>
      </c>
      <c r="MJE2187" s="594" t="s">
        <v>1232</v>
      </c>
      <c r="MJF2187" s="594" t="s">
        <v>1232</v>
      </c>
      <c r="MJG2187" s="594" t="s">
        <v>1232</v>
      </c>
      <c r="MJH2187" s="594" t="s">
        <v>1232</v>
      </c>
      <c r="MJI2187" s="594" t="s">
        <v>1232</v>
      </c>
      <c r="MJJ2187" s="594" t="s">
        <v>1232</v>
      </c>
      <c r="MJK2187" s="594" t="s">
        <v>1232</v>
      </c>
      <c r="MJL2187" s="594" t="s">
        <v>1232</v>
      </c>
      <c r="MJM2187" s="594" t="s">
        <v>1232</v>
      </c>
      <c r="MJN2187" s="594" t="s">
        <v>1232</v>
      </c>
      <c r="MJO2187" s="594" t="s">
        <v>1232</v>
      </c>
      <c r="MJP2187" s="594" t="s">
        <v>1232</v>
      </c>
      <c r="MJQ2187" s="594" t="s">
        <v>1232</v>
      </c>
      <c r="MJR2187" s="594" t="s">
        <v>1232</v>
      </c>
      <c r="MJS2187" s="594" t="s">
        <v>1232</v>
      </c>
      <c r="MJT2187" s="594" t="s">
        <v>1232</v>
      </c>
      <c r="MJU2187" s="594" t="s">
        <v>1232</v>
      </c>
      <c r="MJV2187" s="594" t="s">
        <v>1232</v>
      </c>
      <c r="MJW2187" s="594" t="s">
        <v>1232</v>
      </c>
      <c r="MJX2187" s="594" t="s">
        <v>1232</v>
      </c>
      <c r="MJY2187" s="594" t="s">
        <v>1232</v>
      </c>
      <c r="MJZ2187" s="594" t="s">
        <v>1232</v>
      </c>
      <c r="MKA2187" s="594" t="s">
        <v>1232</v>
      </c>
      <c r="MKB2187" s="594" t="s">
        <v>1232</v>
      </c>
      <c r="MKC2187" s="594" t="s">
        <v>1232</v>
      </c>
      <c r="MKD2187" s="594" t="s">
        <v>1232</v>
      </c>
      <c r="MKE2187" s="594" t="s">
        <v>1232</v>
      </c>
      <c r="MKF2187" s="594" t="s">
        <v>1232</v>
      </c>
      <c r="MKG2187" s="594" t="s">
        <v>1232</v>
      </c>
      <c r="MKH2187" s="594" t="s">
        <v>1232</v>
      </c>
      <c r="MKI2187" s="594" t="s">
        <v>1232</v>
      </c>
      <c r="MKJ2187" s="594" t="s">
        <v>1232</v>
      </c>
      <c r="MKK2187" s="594" t="s">
        <v>1232</v>
      </c>
      <c r="MKL2187" s="594" t="s">
        <v>1232</v>
      </c>
      <c r="MKM2187" s="594" t="s">
        <v>1232</v>
      </c>
      <c r="MKN2187" s="594" t="s">
        <v>1232</v>
      </c>
      <c r="MKO2187" s="594" t="s">
        <v>1232</v>
      </c>
      <c r="MKP2187" s="594" t="s">
        <v>1232</v>
      </c>
      <c r="MKQ2187" s="594" t="s">
        <v>1232</v>
      </c>
      <c r="MKR2187" s="594" t="s">
        <v>1232</v>
      </c>
      <c r="MKS2187" s="594" t="s">
        <v>1232</v>
      </c>
      <c r="MKT2187" s="594" t="s">
        <v>1232</v>
      </c>
      <c r="MKU2187" s="594" t="s">
        <v>1232</v>
      </c>
      <c r="MKV2187" s="594" t="s">
        <v>1232</v>
      </c>
      <c r="MKW2187" s="594" t="s">
        <v>1232</v>
      </c>
      <c r="MKX2187" s="594" t="s">
        <v>1232</v>
      </c>
      <c r="MKY2187" s="594" t="s">
        <v>1232</v>
      </c>
      <c r="MKZ2187" s="594" t="s">
        <v>1232</v>
      </c>
      <c r="MLA2187" s="594" t="s">
        <v>1232</v>
      </c>
      <c r="MLB2187" s="594" t="s">
        <v>1232</v>
      </c>
      <c r="MLC2187" s="594" t="s">
        <v>1232</v>
      </c>
      <c r="MLD2187" s="594" t="s">
        <v>1232</v>
      </c>
      <c r="MLE2187" s="594" t="s">
        <v>1232</v>
      </c>
      <c r="MLF2187" s="594" t="s">
        <v>1232</v>
      </c>
      <c r="MLG2187" s="594" t="s">
        <v>1232</v>
      </c>
      <c r="MLH2187" s="594" t="s">
        <v>1232</v>
      </c>
      <c r="MLI2187" s="594" t="s">
        <v>1232</v>
      </c>
      <c r="MLJ2187" s="594" t="s">
        <v>1232</v>
      </c>
      <c r="MLK2187" s="594" t="s">
        <v>1232</v>
      </c>
      <c r="MLL2187" s="594" t="s">
        <v>1232</v>
      </c>
      <c r="MLM2187" s="594" t="s">
        <v>1232</v>
      </c>
      <c r="MLN2187" s="594" t="s">
        <v>1232</v>
      </c>
      <c r="MLO2187" s="594" t="s">
        <v>1232</v>
      </c>
      <c r="MLP2187" s="594" t="s">
        <v>1232</v>
      </c>
      <c r="MLQ2187" s="594" t="s">
        <v>1232</v>
      </c>
      <c r="MLR2187" s="594" t="s">
        <v>1232</v>
      </c>
      <c r="MLS2187" s="594" t="s">
        <v>1232</v>
      </c>
      <c r="MLT2187" s="594" t="s">
        <v>1232</v>
      </c>
      <c r="MLU2187" s="594" t="s">
        <v>1232</v>
      </c>
      <c r="MLV2187" s="594" t="s">
        <v>1232</v>
      </c>
      <c r="MLW2187" s="594" t="s">
        <v>1232</v>
      </c>
      <c r="MLX2187" s="594" t="s">
        <v>1232</v>
      </c>
      <c r="MLY2187" s="594" t="s">
        <v>1232</v>
      </c>
      <c r="MLZ2187" s="594" t="s">
        <v>1232</v>
      </c>
      <c r="MMA2187" s="594" t="s">
        <v>1232</v>
      </c>
      <c r="MMB2187" s="594" t="s">
        <v>1232</v>
      </c>
      <c r="MMC2187" s="594" t="s">
        <v>1232</v>
      </c>
      <c r="MMD2187" s="594" t="s">
        <v>1232</v>
      </c>
      <c r="MME2187" s="594" t="s">
        <v>1232</v>
      </c>
      <c r="MMF2187" s="594" t="s">
        <v>1232</v>
      </c>
      <c r="MMG2187" s="594" t="s">
        <v>1232</v>
      </c>
      <c r="MMH2187" s="594" t="s">
        <v>1232</v>
      </c>
      <c r="MMI2187" s="594" t="s">
        <v>1232</v>
      </c>
      <c r="MMJ2187" s="594" t="s">
        <v>1232</v>
      </c>
      <c r="MMK2187" s="594" t="s">
        <v>1232</v>
      </c>
      <c r="MML2187" s="594" t="s">
        <v>1232</v>
      </c>
      <c r="MMM2187" s="594" t="s">
        <v>1232</v>
      </c>
      <c r="MMN2187" s="594" t="s">
        <v>1232</v>
      </c>
      <c r="MMO2187" s="594" t="s">
        <v>1232</v>
      </c>
      <c r="MMP2187" s="594" t="s">
        <v>1232</v>
      </c>
      <c r="MMQ2187" s="594" t="s">
        <v>1232</v>
      </c>
      <c r="MMR2187" s="594" t="s">
        <v>1232</v>
      </c>
      <c r="MMS2187" s="594" t="s">
        <v>1232</v>
      </c>
      <c r="MMT2187" s="594" t="s">
        <v>1232</v>
      </c>
      <c r="MMU2187" s="594" t="s">
        <v>1232</v>
      </c>
      <c r="MMV2187" s="594" t="s">
        <v>1232</v>
      </c>
      <c r="MMW2187" s="594" t="s">
        <v>1232</v>
      </c>
      <c r="MMX2187" s="594" t="s">
        <v>1232</v>
      </c>
      <c r="MMY2187" s="594" t="s">
        <v>1232</v>
      </c>
      <c r="MMZ2187" s="594" t="s">
        <v>1232</v>
      </c>
      <c r="MNA2187" s="594" t="s">
        <v>1232</v>
      </c>
      <c r="MNB2187" s="594" t="s">
        <v>1232</v>
      </c>
      <c r="MNC2187" s="594" t="s">
        <v>1232</v>
      </c>
      <c r="MND2187" s="594" t="s">
        <v>1232</v>
      </c>
      <c r="MNE2187" s="594" t="s">
        <v>1232</v>
      </c>
      <c r="MNF2187" s="594" t="s">
        <v>1232</v>
      </c>
      <c r="MNG2187" s="594" t="s">
        <v>1232</v>
      </c>
      <c r="MNH2187" s="594" t="s">
        <v>1232</v>
      </c>
      <c r="MNI2187" s="594" t="s">
        <v>1232</v>
      </c>
      <c r="MNJ2187" s="594" t="s">
        <v>1232</v>
      </c>
      <c r="MNK2187" s="594" t="s">
        <v>1232</v>
      </c>
      <c r="MNL2187" s="594" t="s">
        <v>1232</v>
      </c>
      <c r="MNM2187" s="594" t="s">
        <v>1232</v>
      </c>
      <c r="MNN2187" s="594" t="s">
        <v>1232</v>
      </c>
      <c r="MNO2187" s="594" t="s">
        <v>1232</v>
      </c>
      <c r="MNP2187" s="594" t="s">
        <v>1232</v>
      </c>
      <c r="MNQ2187" s="594" t="s">
        <v>1232</v>
      </c>
      <c r="MNR2187" s="594" t="s">
        <v>1232</v>
      </c>
      <c r="MNS2187" s="594" t="s">
        <v>1232</v>
      </c>
      <c r="MNT2187" s="594" t="s">
        <v>1232</v>
      </c>
      <c r="MNU2187" s="594" t="s">
        <v>1232</v>
      </c>
      <c r="MNV2187" s="594" t="s">
        <v>1232</v>
      </c>
      <c r="MNW2187" s="594" t="s">
        <v>1232</v>
      </c>
      <c r="MNX2187" s="594" t="s">
        <v>1232</v>
      </c>
      <c r="MNY2187" s="594" t="s">
        <v>1232</v>
      </c>
      <c r="MNZ2187" s="594" t="s">
        <v>1232</v>
      </c>
      <c r="MOA2187" s="594" t="s">
        <v>1232</v>
      </c>
      <c r="MOB2187" s="594" t="s">
        <v>1232</v>
      </c>
      <c r="MOC2187" s="594" t="s">
        <v>1232</v>
      </c>
      <c r="MOD2187" s="594" t="s">
        <v>1232</v>
      </c>
      <c r="MOE2187" s="594" t="s">
        <v>1232</v>
      </c>
      <c r="MOF2187" s="594" t="s">
        <v>1232</v>
      </c>
      <c r="MOG2187" s="594" t="s">
        <v>1232</v>
      </c>
      <c r="MOH2187" s="594" t="s">
        <v>1232</v>
      </c>
      <c r="MOI2187" s="594" t="s">
        <v>1232</v>
      </c>
      <c r="MOJ2187" s="594" t="s">
        <v>1232</v>
      </c>
      <c r="MOK2187" s="594" t="s">
        <v>1232</v>
      </c>
      <c r="MOL2187" s="594" t="s">
        <v>1232</v>
      </c>
      <c r="MOM2187" s="594" t="s">
        <v>1232</v>
      </c>
      <c r="MON2187" s="594" t="s">
        <v>1232</v>
      </c>
      <c r="MOO2187" s="594" t="s">
        <v>1232</v>
      </c>
      <c r="MOP2187" s="594" t="s">
        <v>1232</v>
      </c>
      <c r="MOQ2187" s="594" t="s">
        <v>1232</v>
      </c>
      <c r="MOR2187" s="594" t="s">
        <v>1232</v>
      </c>
      <c r="MOS2187" s="594" t="s">
        <v>1232</v>
      </c>
      <c r="MOT2187" s="594" t="s">
        <v>1232</v>
      </c>
      <c r="MOU2187" s="594" t="s">
        <v>1232</v>
      </c>
      <c r="MOV2187" s="594" t="s">
        <v>1232</v>
      </c>
      <c r="MOW2187" s="594" t="s">
        <v>1232</v>
      </c>
      <c r="MOX2187" s="594" t="s">
        <v>1232</v>
      </c>
      <c r="MOY2187" s="594" t="s">
        <v>1232</v>
      </c>
      <c r="MOZ2187" s="594" t="s">
        <v>1232</v>
      </c>
      <c r="MPA2187" s="594" t="s">
        <v>1232</v>
      </c>
      <c r="MPB2187" s="594" t="s">
        <v>1232</v>
      </c>
      <c r="MPC2187" s="594" t="s">
        <v>1232</v>
      </c>
      <c r="MPD2187" s="594" t="s">
        <v>1232</v>
      </c>
      <c r="MPE2187" s="594" t="s">
        <v>1232</v>
      </c>
      <c r="MPF2187" s="594" t="s">
        <v>1232</v>
      </c>
      <c r="MPG2187" s="594" t="s">
        <v>1232</v>
      </c>
      <c r="MPH2187" s="594" t="s">
        <v>1232</v>
      </c>
      <c r="MPI2187" s="594" t="s">
        <v>1232</v>
      </c>
      <c r="MPJ2187" s="594" t="s">
        <v>1232</v>
      </c>
      <c r="MPK2187" s="594" t="s">
        <v>1232</v>
      </c>
      <c r="MPL2187" s="594" t="s">
        <v>1232</v>
      </c>
      <c r="MPM2187" s="594" t="s">
        <v>1232</v>
      </c>
      <c r="MPN2187" s="594" t="s">
        <v>1232</v>
      </c>
      <c r="MPO2187" s="594" t="s">
        <v>1232</v>
      </c>
      <c r="MPP2187" s="594" t="s">
        <v>1232</v>
      </c>
      <c r="MPQ2187" s="594" t="s">
        <v>1232</v>
      </c>
      <c r="MPR2187" s="594" t="s">
        <v>1232</v>
      </c>
      <c r="MPS2187" s="594" t="s">
        <v>1232</v>
      </c>
      <c r="MPT2187" s="594" t="s">
        <v>1232</v>
      </c>
      <c r="MPU2187" s="594" t="s">
        <v>1232</v>
      </c>
      <c r="MPV2187" s="594" t="s">
        <v>1232</v>
      </c>
      <c r="MPW2187" s="594" t="s">
        <v>1232</v>
      </c>
      <c r="MPX2187" s="594" t="s">
        <v>1232</v>
      </c>
      <c r="MPY2187" s="594" t="s">
        <v>1232</v>
      </c>
      <c r="MPZ2187" s="594" t="s">
        <v>1232</v>
      </c>
      <c r="MQA2187" s="594" t="s">
        <v>1232</v>
      </c>
      <c r="MQB2187" s="594" t="s">
        <v>1232</v>
      </c>
      <c r="MQC2187" s="594" t="s">
        <v>1232</v>
      </c>
      <c r="MQD2187" s="594" t="s">
        <v>1232</v>
      </c>
      <c r="MQE2187" s="594" t="s">
        <v>1232</v>
      </c>
      <c r="MQF2187" s="594" t="s">
        <v>1232</v>
      </c>
      <c r="MQG2187" s="594" t="s">
        <v>1232</v>
      </c>
      <c r="MQH2187" s="594" t="s">
        <v>1232</v>
      </c>
      <c r="MQI2187" s="594" t="s">
        <v>1232</v>
      </c>
      <c r="MQJ2187" s="594" t="s">
        <v>1232</v>
      </c>
      <c r="MQK2187" s="594" t="s">
        <v>1232</v>
      </c>
      <c r="MQL2187" s="594" t="s">
        <v>1232</v>
      </c>
      <c r="MQM2187" s="594" t="s">
        <v>1232</v>
      </c>
      <c r="MQN2187" s="594" t="s">
        <v>1232</v>
      </c>
      <c r="MQO2187" s="594" t="s">
        <v>1232</v>
      </c>
      <c r="MQP2187" s="594" t="s">
        <v>1232</v>
      </c>
      <c r="MQQ2187" s="594" t="s">
        <v>1232</v>
      </c>
      <c r="MQR2187" s="594" t="s">
        <v>1232</v>
      </c>
      <c r="MQS2187" s="594" t="s">
        <v>1232</v>
      </c>
      <c r="MQT2187" s="594" t="s">
        <v>1232</v>
      </c>
      <c r="MQU2187" s="594" t="s">
        <v>1232</v>
      </c>
      <c r="MQV2187" s="594" t="s">
        <v>1232</v>
      </c>
      <c r="MQW2187" s="594" t="s">
        <v>1232</v>
      </c>
      <c r="MQX2187" s="594" t="s">
        <v>1232</v>
      </c>
      <c r="MQY2187" s="594" t="s">
        <v>1232</v>
      </c>
      <c r="MQZ2187" s="594" t="s">
        <v>1232</v>
      </c>
      <c r="MRA2187" s="594" t="s">
        <v>1232</v>
      </c>
      <c r="MRB2187" s="594" t="s">
        <v>1232</v>
      </c>
      <c r="MRC2187" s="594" t="s">
        <v>1232</v>
      </c>
      <c r="MRD2187" s="594" t="s">
        <v>1232</v>
      </c>
      <c r="MRE2187" s="594" t="s">
        <v>1232</v>
      </c>
      <c r="MRF2187" s="594" t="s">
        <v>1232</v>
      </c>
      <c r="MRG2187" s="594" t="s">
        <v>1232</v>
      </c>
      <c r="MRH2187" s="594" t="s">
        <v>1232</v>
      </c>
      <c r="MRI2187" s="594" t="s">
        <v>1232</v>
      </c>
      <c r="MRJ2187" s="594" t="s">
        <v>1232</v>
      </c>
      <c r="MRK2187" s="594" t="s">
        <v>1232</v>
      </c>
      <c r="MRL2187" s="594" t="s">
        <v>1232</v>
      </c>
      <c r="MRM2187" s="594" t="s">
        <v>1232</v>
      </c>
      <c r="MRN2187" s="594" t="s">
        <v>1232</v>
      </c>
      <c r="MRO2187" s="594" t="s">
        <v>1232</v>
      </c>
      <c r="MRP2187" s="594" t="s">
        <v>1232</v>
      </c>
      <c r="MRQ2187" s="594" t="s">
        <v>1232</v>
      </c>
      <c r="MRR2187" s="594" t="s">
        <v>1232</v>
      </c>
      <c r="MRS2187" s="594" t="s">
        <v>1232</v>
      </c>
      <c r="MRT2187" s="594" t="s">
        <v>1232</v>
      </c>
      <c r="MRU2187" s="594" t="s">
        <v>1232</v>
      </c>
      <c r="MRV2187" s="594" t="s">
        <v>1232</v>
      </c>
      <c r="MRW2187" s="594" t="s">
        <v>1232</v>
      </c>
      <c r="MRX2187" s="594" t="s">
        <v>1232</v>
      </c>
      <c r="MRY2187" s="594" t="s">
        <v>1232</v>
      </c>
      <c r="MRZ2187" s="594" t="s">
        <v>1232</v>
      </c>
      <c r="MSA2187" s="594" t="s">
        <v>1232</v>
      </c>
      <c r="MSB2187" s="594" t="s">
        <v>1232</v>
      </c>
      <c r="MSC2187" s="594" t="s">
        <v>1232</v>
      </c>
      <c r="MSD2187" s="594" t="s">
        <v>1232</v>
      </c>
      <c r="MSE2187" s="594" t="s">
        <v>1232</v>
      </c>
      <c r="MSF2187" s="594" t="s">
        <v>1232</v>
      </c>
      <c r="MSG2187" s="594" t="s">
        <v>1232</v>
      </c>
      <c r="MSH2187" s="594" t="s">
        <v>1232</v>
      </c>
      <c r="MSI2187" s="594" t="s">
        <v>1232</v>
      </c>
      <c r="MSJ2187" s="594" t="s">
        <v>1232</v>
      </c>
      <c r="MSK2187" s="594" t="s">
        <v>1232</v>
      </c>
      <c r="MSL2187" s="594" t="s">
        <v>1232</v>
      </c>
      <c r="MSM2187" s="594" t="s">
        <v>1232</v>
      </c>
      <c r="MSN2187" s="594" t="s">
        <v>1232</v>
      </c>
      <c r="MSO2187" s="594" t="s">
        <v>1232</v>
      </c>
      <c r="MSP2187" s="594" t="s">
        <v>1232</v>
      </c>
      <c r="MSQ2187" s="594" t="s">
        <v>1232</v>
      </c>
      <c r="MSR2187" s="594" t="s">
        <v>1232</v>
      </c>
      <c r="MSS2187" s="594" t="s">
        <v>1232</v>
      </c>
      <c r="MST2187" s="594" t="s">
        <v>1232</v>
      </c>
      <c r="MSU2187" s="594" t="s">
        <v>1232</v>
      </c>
      <c r="MSV2187" s="594" t="s">
        <v>1232</v>
      </c>
      <c r="MSW2187" s="594" t="s">
        <v>1232</v>
      </c>
      <c r="MSX2187" s="594" t="s">
        <v>1232</v>
      </c>
      <c r="MSY2187" s="594" t="s">
        <v>1232</v>
      </c>
      <c r="MSZ2187" s="594" t="s">
        <v>1232</v>
      </c>
      <c r="MTA2187" s="594" t="s">
        <v>1232</v>
      </c>
      <c r="MTB2187" s="594" t="s">
        <v>1232</v>
      </c>
      <c r="MTC2187" s="594" t="s">
        <v>1232</v>
      </c>
      <c r="MTD2187" s="594" t="s">
        <v>1232</v>
      </c>
      <c r="MTE2187" s="594" t="s">
        <v>1232</v>
      </c>
      <c r="MTF2187" s="594" t="s">
        <v>1232</v>
      </c>
      <c r="MTG2187" s="594" t="s">
        <v>1232</v>
      </c>
      <c r="MTH2187" s="594" t="s">
        <v>1232</v>
      </c>
      <c r="MTI2187" s="594" t="s">
        <v>1232</v>
      </c>
      <c r="MTJ2187" s="594" t="s">
        <v>1232</v>
      </c>
      <c r="MTK2187" s="594" t="s">
        <v>1232</v>
      </c>
      <c r="MTL2187" s="594" t="s">
        <v>1232</v>
      </c>
      <c r="MTM2187" s="594" t="s">
        <v>1232</v>
      </c>
      <c r="MTN2187" s="594" t="s">
        <v>1232</v>
      </c>
      <c r="MTO2187" s="594" t="s">
        <v>1232</v>
      </c>
      <c r="MTP2187" s="594" t="s">
        <v>1232</v>
      </c>
      <c r="MTQ2187" s="594" t="s">
        <v>1232</v>
      </c>
      <c r="MTR2187" s="594" t="s">
        <v>1232</v>
      </c>
      <c r="MTS2187" s="594" t="s">
        <v>1232</v>
      </c>
      <c r="MTT2187" s="594" t="s">
        <v>1232</v>
      </c>
      <c r="MTU2187" s="594" t="s">
        <v>1232</v>
      </c>
      <c r="MTV2187" s="594" t="s">
        <v>1232</v>
      </c>
      <c r="MTW2187" s="594" t="s">
        <v>1232</v>
      </c>
      <c r="MTX2187" s="594" t="s">
        <v>1232</v>
      </c>
      <c r="MTY2187" s="594" t="s">
        <v>1232</v>
      </c>
      <c r="MTZ2187" s="594" t="s">
        <v>1232</v>
      </c>
      <c r="MUA2187" s="594" t="s">
        <v>1232</v>
      </c>
      <c r="MUB2187" s="594" t="s">
        <v>1232</v>
      </c>
      <c r="MUC2187" s="594" t="s">
        <v>1232</v>
      </c>
      <c r="MUD2187" s="594" t="s">
        <v>1232</v>
      </c>
      <c r="MUE2187" s="594" t="s">
        <v>1232</v>
      </c>
      <c r="MUF2187" s="594" t="s">
        <v>1232</v>
      </c>
      <c r="MUG2187" s="594" t="s">
        <v>1232</v>
      </c>
      <c r="MUH2187" s="594" t="s">
        <v>1232</v>
      </c>
      <c r="MUI2187" s="594" t="s">
        <v>1232</v>
      </c>
      <c r="MUJ2187" s="594" t="s">
        <v>1232</v>
      </c>
      <c r="MUK2187" s="594" t="s">
        <v>1232</v>
      </c>
      <c r="MUL2187" s="594" t="s">
        <v>1232</v>
      </c>
      <c r="MUM2187" s="594" t="s">
        <v>1232</v>
      </c>
      <c r="MUN2187" s="594" t="s">
        <v>1232</v>
      </c>
      <c r="MUO2187" s="594" t="s">
        <v>1232</v>
      </c>
      <c r="MUP2187" s="594" t="s">
        <v>1232</v>
      </c>
      <c r="MUQ2187" s="594" t="s">
        <v>1232</v>
      </c>
      <c r="MUR2187" s="594" t="s">
        <v>1232</v>
      </c>
      <c r="MUS2187" s="594" t="s">
        <v>1232</v>
      </c>
      <c r="MUT2187" s="594" t="s">
        <v>1232</v>
      </c>
      <c r="MUU2187" s="594" t="s">
        <v>1232</v>
      </c>
      <c r="MUV2187" s="594" t="s">
        <v>1232</v>
      </c>
      <c r="MUW2187" s="594" t="s">
        <v>1232</v>
      </c>
      <c r="MUX2187" s="594" t="s">
        <v>1232</v>
      </c>
      <c r="MUY2187" s="594" t="s">
        <v>1232</v>
      </c>
      <c r="MUZ2187" s="594" t="s">
        <v>1232</v>
      </c>
      <c r="MVA2187" s="594" t="s">
        <v>1232</v>
      </c>
      <c r="MVB2187" s="594" t="s">
        <v>1232</v>
      </c>
      <c r="MVC2187" s="594" t="s">
        <v>1232</v>
      </c>
      <c r="MVD2187" s="594" t="s">
        <v>1232</v>
      </c>
      <c r="MVE2187" s="594" t="s">
        <v>1232</v>
      </c>
      <c r="MVF2187" s="594" t="s">
        <v>1232</v>
      </c>
      <c r="MVG2187" s="594" t="s">
        <v>1232</v>
      </c>
      <c r="MVH2187" s="594" t="s">
        <v>1232</v>
      </c>
      <c r="MVI2187" s="594" t="s">
        <v>1232</v>
      </c>
      <c r="MVJ2187" s="594" t="s">
        <v>1232</v>
      </c>
      <c r="MVK2187" s="594" t="s">
        <v>1232</v>
      </c>
      <c r="MVL2187" s="594" t="s">
        <v>1232</v>
      </c>
      <c r="MVM2187" s="594" t="s">
        <v>1232</v>
      </c>
      <c r="MVN2187" s="594" t="s">
        <v>1232</v>
      </c>
      <c r="MVO2187" s="594" t="s">
        <v>1232</v>
      </c>
      <c r="MVP2187" s="594" t="s">
        <v>1232</v>
      </c>
      <c r="MVQ2187" s="594" t="s">
        <v>1232</v>
      </c>
      <c r="MVR2187" s="594" t="s">
        <v>1232</v>
      </c>
      <c r="MVS2187" s="594" t="s">
        <v>1232</v>
      </c>
      <c r="MVT2187" s="594" t="s">
        <v>1232</v>
      </c>
      <c r="MVU2187" s="594" t="s">
        <v>1232</v>
      </c>
      <c r="MVV2187" s="594" t="s">
        <v>1232</v>
      </c>
      <c r="MVW2187" s="594" t="s">
        <v>1232</v>
      </c>
      <c r="MVX2187" s="594" t="s">
        <v>1232</v>
      </c>
      <c r="MVY2187" s="594" t="s">
        <v>1232</v>
      </c>
      <c r="MVZ2187" s="594" t="s">
        <v>1232</v>
      </c>
      <c r="MWA2187" s="594" t="s">
        <v>1232</v>
      </c>
      <c r="MWB2187" s="594" t="s">
        <v>1232</v>
      </c>
      <c r="MWC2187" s="594" t="s">
        <v>1232</v>
      </c>
      <c r="MWD2187" s="594" t="s">
        <v>1232</v>
      </c>
      <c r="MWE2187" s="594" t="s">
        <v>1232</v>
      </c>
      <c r="MWF2187" s="594" t="s">
        <v>1232</v>
      </c>
      <c r="MWG2187" s="594" t="s">
        <v>1232</v>
      </c>
      <c r="MWH2187" s="594" t="s">
        <v>1232</v>
      </c>
      <c r="MWI2187" s="594" t="s">
        <v>1232</v>
      </c>
      <c r="MWJ2187" s="594" t="s">
        <v>1232</v>
      </c>
      <c r="MWK2187" s="594" t="s">
        <v>1232</v>
      </c>
      <c r="MWL2187" s="594" t="s">
        <v>1232</v>
      </c>
      <c r="MWM2187" s="594" t="s">
        <v>1232</v>
      </c>
      <c r="MWN2187" s="594" t="s">
        <v>1232</v>
      </c>
      <c r="MWO2187" s="594" t="s">
        <v>1232</v>
      </c>
      <c r="MWP2187" s="594" t="s">
        <v>1232</v>
      </c>
      <c r="MWQ2187" s="594" t="s">
        <v>1232</v>
      </c>
      <c r="MWR2187" s="594" t="s">
        <v>1232</v>
      </c>
      <c r="MWS2187" s="594" t="s">
        <v>1232</v>
      </c>
      <c r="MWT2187" s="594" t="s">
        <v>1232</v>
      </c>
      <c r="MWU2187" s="594" t="s">
        <v>1232</v>
      </c>
      <c r="MWV2187" s="594" t="s">
        <v>1232</v>
      </c>
      <c r="MWW2187" s="594" t="s">
        <v>1232</v>
      </c>
      <c r="MWX2187" s="594" t="s">
        <v>1232</v>
      </c>
      <c r="MWY2187" s="594" t="s">
        <v>1232</v>
      </c>
      <c r="MWZ2187" s="594" t="s">
        <v>1232</v>
      </c>
      <c r="MXA2187" s="594" t="s">
        <v>1232</v>
      </c>
      <c r="MXB2187" s="594" t="s">
        <v>1232</v>
      </c>
      <c r="MXC2187" s="594" t="s">
        <v>1232</v>
      </c>
      <c r="MXD2187" s="594" t="s">
        <v>1232</v>
      </c>
      <c r="MXE2187" s="594" t="s">
        <v>1232</v>
      </c>
      <c r="MXF2187" s="594" t="s">
        <v>1232</v>
      </c>
      <c r="MXG2187" s="594" t="s">
        <v>1232</v>
      </c>
      <c r="MXH2187" s="594" t="s">
        <v>1232</v>
      </c>
      <c r="MXI2187" s="594" t="s">
        <v>1232</v>
      </c>
      <c r="MXJ2187" s="594" t="s">
        <v>1232</v>
      </c>
      <c r="MXK2187" s="594" t="s">
        <v>1232</v>
      </c>
      <c r="MXL2187" s="594" t="s">
        <v>1232</v>
      </c>
      <c r="MXM2187" s="594" t="s">
        <v>1232</v>
      </c>
      <c r="MXN2187" s="594" t="s">
        <v>1232</v>
      </c>
      <c r="MXO2187" s="594" t="s">
        <v>1232</v>
      </c>
      <c r="MXP2187" s="594" t="s">
        <v>1232</v>
      </c>
      <c r="MXQ2187" s="594" t="s">
        <v>1232</v>
      </c>
      <c r="MXR2187" s="594" t="s">
        <v>1232</v>
      </c>
      <c r="MXS2187" s="594" t="s">
        <v>1232</v>
      </c>
      <c r="MXT2187" s="594" t="s">
        <v>1232</v>
      </c>
      <c r="MXU2187" s="594" t="s">
        <v>1232</v>
      </c>
      <c r="MXV2187" s="594" t="s">
        <v>1232</v>
      </c>
      <c r="MXW2187" s="594" t="s">
        <v>1232</v>
      </c>
      <c r="MXX2187" s="594" t="s">
        <v>1232</v>
      </c>
      <c r="MXY2187" s="594" t="s">
        <v>1232</v>
      </c>
      <c r="MXZ2187" s="594" t="s">
        <v>1232</v>
      </c>
      <c r="MYA2187" s="594" t="s">
        <v>1232</v>
      </c>
      <c r="MYB2187" s="594" t="s">
        <v>1232</v>
      </c>
      <c r="MYC2187" s="594" t="s">
        <v>1232</v>
      </c>
      <c r="MYD2187" s="594" t="s">
        <v>1232</v>
      </c>
      <c r="MYE2187" s="594" t="s">
        <v>1232</v>
      </c>
      <c r="MYF2187" s="594" t="s">
        <v>1232</v>
      </c>
      <c r="MYG2187" s="594" t="s">
        <v>1232</v>
      </c>
      <c r="MYH2187" s="594" t="s">
        <v>1232</v>
      </c>
      <c r="MYI2187" s="594" t="s">
        <v>1232</v>
      </c>
      <c r="MYJ2187" s="594" t="s">
        <v>1232</v>
      </c>
      <c r="MYK2187" s="594" t="s">
        <v>1232</v>
      </c>
      <c r="MYL2187" s="594" t="s">
        <v>1232</v>
      </c>
      <c r="MYM2187" s="594" t="s">
        <v>1232</v>
      </c>
      <c r="MYN2187" s="594" t="s">
        <v>1232</v>
      </c>
      <c r="MYO2187" s="594" t="s">
        <v>1232</v>
      </c>
      <c r="MYP2187" s="594" t="s">
        <v>1232</v>
      </c>
      <c r="MYQ2187" s="594" t="s">
        <v>1232</v>
      </c>
      <c r="MYR2187" s="594" t="s">
        <v>1232</v>
      </c>
      <c r="MYS2187" s="594" t="s">
        <v>1232</v>
      </c>
      <c r="MYT2187" s="594" t="s">
        <v>1232</v>
      </c>
      <c r="MYU2187" s="594" t="s">
        <v>1232</v>
      </c>
      <c r="MYV2187" s="594" t="s">
        <v>1232</v>
      </c>
      <c r="MYW2187" s="594" t="s">
        <v>1232</v>
      </c>
      <c r="MYX2187" s="594" t="s">
        <v>1232</v>
      </c>
      <c r="MYY2187" s="594" t="s">
        <v>1232</v>
      </c>
      <c r="MYZ2187" s="594" t="s">
        <v>1232</v>
      </c>
      <c r="MZA2187" s="594" t="s">
        <v>1232</v>
      </c>
      <c r="MZB2187" s="594" t="s">
        <v>1232</v>
      </c>
      <c r="MZC2187" s="594" t="s">
        <v>1232</v>
      </c>
      <c r="MZD2187" s="594" t="s">
        <v>1232</v>
      </c>
      <c r="MZE2187" s="594" t="s">
        <v>1232</v>
      </c>
      <c r="MZF2187" s="594" t="s">
        <v>1232</v>
      </c>
      <c r="MZG2187" s="594" t="s">
        <v>1232</v>
      </c>
      <c r="MZH2187" s="594" t="s">
        <v>1232</v>
      </c>
      <c r="MZI2187" s="594" t="s">
        <v>1232</v>
      </c>
      <c r="MZJ2187" s="594" t="s">
        <v>1232</v>
      </c>
      <c r="MZK2187" s="594" t="s">
        <v>1232</v>
      </c>
      <c r="MZL2187" s="594" t="s">
        <v>1232</v>
      </c>
      <c r="MZM2187" s="594" t="s">
        <v>1232</v>
      </c>
      <c r="MZN2187" s="594" t="s">
        <v>1232</v>
      </c>
      <c r="MZO2187" s="594" t="s">
        <v>1232</v>
      </c>
      <c r="MZP2187" s="594" t="s">
        <v>1232</v>
      </c>
      <c r="MZQ2187" s="594" t="s">
        <v>1232</v>
      </c>
      <c r="MZR2187" s="594" t="s">
        <v>1232</v>
      </c>
      <c r="MZS2187" s="594" t="s">
        <v>1232</v>
      </c>
      <c r="MZT2187" s="594" t="s">
        <v>1232</v>
      </c>
      <c r="MZU2187" s="594" t="s">
        <v>1232</v>
      </c>
      <c r="MZV2187" s="594" t="s">
        <v>1232</v>
      </c>
      <c r="MZW2187" s="594" t="s">
        <v>1232</v>
      </c>
      <c r="MZX2187" s="594" t="s">
        <v>1232</v>
      </c>
      <c r="MZY2187" s="594" t="s">
        <v>1232</v>
      </c>
      <c r="MZZ2187" s="594" t="s">
        <v>1232</v>
      </c>
      <c r="NAA2187" s="594" t="s">
        <v>1232</v>
      </c>
      <c r="NAB2187" s="594" t="s">
        <v>1232</v>
      </c>
      <c r="NAC2187" s="594" t="s">
        <v>1232</v>
      </c>
      <c r="NAD2187" s="594" t="s">
        <v>1232</v>
      </c>
      <c r="NAE2187" s="594" t="s">
        <v>1232</v>
      </c>
      <c r="NAF2187" s="594" t="s">
        <v>1232</v>
      </c>
      <c r="NAG2187" s="594" t="s">
        <v>1232</v>
      </c>
      <c r="NAH2187" s="594" t="s">
        <v>1232</v>
      </c>
      <c r="NAI2187" s="594" t="s">
        <v>1232</v>
      </c>
      <c r="NAJ2187" s="594" t="s">
        <v>1232</v>
      </c>
      <c r="NAK2187" s="594" t="s">
        <v>1232</v>
      </c>
      <c r="NAL2187" s="594" t="s">
        <v>1232</v>
      </c>
      <c r="NAM2187" s="594" t="s">
        <v>1232</v>
      </c>
      <c r="NAN2187" s="594" t="s">
        <v>1232</v>
      </c>
      <c r="NAO2187" s="594" t="s">
        <v>1232</v>
      </c>
      <c r="NAP2187" s="594" t="s">
        <v>1232</v>
      </c>
      <c r="NAQ2187" s="594" t="s">
        <v>1232</v>
      </c>
      <c r="NAR2187" s="594" t="s">
        <v>1232</v>
      </c>
      <c r="NAS2187" s="594" t="s">
        <v>1232</v>
      </c>
      <c r="NAT2187" s="594" t="s">
        <v>1232</v>
      </c>
      <c r="NAU2187" s="594" t="s">
        <v>1232</v>
      </c>
      <c r="NAV2187" s="594" t="s">
        <v>1232</v>
      </c>
      <c r="NAW2187" s="594" t="s">
        <v>1232</v>
      </c>
      <c r="NAX2187" s="594" t="s">
        <v>1232</v>
      </c>
      <c r="NAY2187" s="594" t="s">
        <v>1232</v>
      </c>
      <c r="NAZ2187" s="594" t="s">
        <v>1232</v>
      </c>
      <c r="NBA2187" s="594" t="s">
        <v>1232</v>
      </c>
      <c r="NBB2187" s="594" t="s">
        <v>1232</v>
      </c>
      <c r="NBC2187" s="594" t="s">
        <v>1232</v>
      </c>
      <c r="NBD2187" s="594" t="s">
        <v>1232</v>
      </c>
      <c r="NBE2187" s="594" t="s">
        <v>1232</v>
      </c>
      <c r="NBF2187" s="594" t="s">
        <v>1232</v>
      </c>
      <c r="NBG2187" s="594" t="s">
        <v>1232</v>
      </c>
      <c r="NBH2187" s="594" t="s">
        <v>1232</v>
      </c>
      <c r="NBI2187" s="594" t="s">
        <v>1232</v>
      </c>
      <c r="NBJ2187" s="594" t="s">
        <v>1232</v>
      </c>
      <c r="NBK2187" s="594" t="s">
        <v>1232</v>
      </c>
      <c r="NBL2187" s="594" t="s">
        <v>1232</v>
      </c>
      <c r="NBM2187" s="594" t="s">
        <v>1232</v>
      </c>
      <c r="NBN2187" s="594" t="s">
        <v>1232</v>
      </c>
      <c r="NBO2187" s="594" t="s">
        <v>1232</v>
      </c>
      <c r="NBP2187" s="594" t="s">
        <v>1232</v>
      </c>
      <c r="NBQ2187" s="594" t="s">
        <v>1232</v>
      </c>
      <c r="NBR2187" s="594" t="s">
        <v>1232</v>
      </c>
      <c r="NBS2187" s="594" t="s">
        <v>1232</v>
      </c>
      <c r="NBT2187" s="594" t="s">
        <v>1232</v>
      </c>
      <c r="NBU2187" s="594" t="s">
        <v>1232</v>
      </c>
      <c r="NBV2187" s="594" t="s">
        <v>1232</v>
      </c>
      <c r="NBW2187" s="594" t="s">
        <v>1232</v>
      </c>
      <c r="NBX2187" s="594" t="s">
        <v>1232</v>
      </c>
      <c r="NBY2187" s="594" t="s">
        <v>1232</v>
      </c>
      <c r="NBZ2187" s="594" t="s">
        <v>1232</v>
      </c>
      <c r="NCA2187" s="594" t="s">
        <v>1232</v>
      </c>
      <c r="NCB2187" s="594" t="s">
        <v>1232</v>
      </c>
      <c r="NCC2187" s="594" t="s">
        <v>1232</v>
      </c>
      <c r="NCD2187" s="594" t="s">
        <v>1232</v>
      </c>
      <c r="NCE2187" s="594" t="s">
        <v>1232</v>
      </c>
      <c r="NCF2187" s="594" t="s">
        <v>1232</v>
      </c>
      <c r="NCG2187" s="594" t="s">
        <v>1232</v>
      </c>
      <c r="NCH2187" s="594" t="s">
        <v>1232</v>
      </c>
      <c r="NCI2187" s="594" t="s">
        <v>1232</v>
      </c>
      <c r="NCJ2187" s="594" t="s">
        <v>1232</v>
      </c>
      <c r="NCK2187" s="594" t="s">
        <v>1232</v>
      </c>
      <c r="NCL2187" s="594" t="s">
        <v>1232</v>
      </c>
      <c r="NCM2187" s="594" t="s">
        <v>1232</v>
      </c>
      <c r="NCN2187" s="594" t="s">
        <v>1232</v>
      </c>
      <c r="NCO2187" s="594" t="s">
        <v>1232</v>
      </c>
      <c r="NCP2187" s="594" t="s">
        <v>1232</v>
      </c>
      <c r="NCQ2187" s="594" t="s">
        <v>1232</v>
      </c>
      <c r="NCR2187" s="594" t="s">
        <v>1232</v>
      </c>
      <c r="NCS2187" s="594" t="s">
        <v>1232</v>
      </c>
      <c r="NCT2187" s="594" t="s">
        <v>1232</v>
      </c>
      <c r="NCU2187" s="594" t="s">
        <v>1232</v>
      </c>
      <c r="NCV2187" s="594" t="s">
        <v>1232</v>
      </c>
      <c r="NCW2187" s="594" t="s">
        <v>1232</v>
      </c>
      <c r="NCX2187" s="594" t="s">
        <v>1232</v>
      </c>
      <c r="NCY2187" s="594" t="s">
        <v>1232</v>
      </c>
      <c r="NCZ2187" s="594" t="s">
        <v>1232</v>
      </c>
      <c r="NDA2187" s="594" t="s">
        <v>1232</v>
      </c>
      <c r="NDB2187" s="594" t="s">
        <v>1232</v>
      </c>
      <c r="NDC2187" s="594" t="s">
        <v>1232</v>
      </c>
      <c r="NDD2187" s="594" t="s">
        <v>1232</v>
      </c>
      <c r="NDE2187" s="594" t="s">
        <v>1232</v>
      </c>
      <c r="NDF2187" s="594" t="s">
        <v>1232</v>
      </c>
      <c r="NDG2187" s="594" t="s">
        <v>1232</v>
      </c>
      <c r="NDH2187" s="594" t="s">
        <v>1232</v>
      </c>
      <c r="NDI2187" s="594" t="s">
        <v>1232</v>
      </c>
      <c r="NDJ2187" s="594" t="s">
        <v>1232</v>
      </c>
      <c r="NDK2187" s="594" t="s">
        <v>1232</v>
      </c>
      <c r="NDL2187" s="594" t="s">
        <v>1232</v>
      </c>
      <c r="NDM2187" s="594" t="s">
        <v>1232</v>
      </c>
      <c r="NDN2187" s="594" t="s">
        <v>1232</v>
      </c>
      <c r="NDO2187" s="594" t="s">
        <v>1232</v>
      </c>
      <c r="NDP2187" s="594" t="s">
        <v>1232</v>
      </c>
      <c r="NDQ2187" s="594" t="s">
        <v>1232</v>
      </c>
      <c r="NDR2187" s="594" t="s">
        <v>1232</v>
      </c>
      <c r="NDS2187" s="594" t="s">
        <v>1232</v>
      </c>
      <c r="NDT2187" s="594" t="s">
        <v>1232</v>
      </c>
      <c r="NDU2187" s="594" t="s">
        <v>1232</v>
      </c>
      <c r="NDV2187" s="594" t="s">
        <v>1232</v>
      </c>
      <c r="NDW2187" s="594" t="s">
        <v>1232</v>
      </c>
      <c r="NDX2187" s="594" t="s">
        <v>1232</v>
      </c>
      <c r="NDY2187" s="594" t="s">
        <v>1232</v>
      </c>
      <c r="NDZ2187" s="594" t="s">
        <v>1232</v>
      </c>
      <c r="NEA2187" s="594" t="s">
        <v>1232</v>
      </c>
      <c r="NEB2187" s="594" t="s">
        <v>1232</v>
      </c>
      <c r="NEC2187" s="594" t="s">
        <v>1232</v>
      </c>
      <c r="NED2187" s="594" t="s">
        <v>1232</v>
      </c>
      <c r="NEE2187" s="594" t="s">
        <v>1232</v>
      </c>
      <c r="NEF2187" s="594" t="s">
        <v>1232</v>
      </c>
      <c r="NEG2187" s="594" t="s">
        <v>1232</v>
      </c>
      <c r="NEH2187" s="594" t="s">
        <v>1232</v>
      </c>
      <c r="NEI2187" s="594" t="s">
        <v>1232</v>
      </c>
      <c r="NEJ2187" s="594" t="s">
        <v>1232</v>
      </c>
      <c r="NEK2187" s="594" t="s">
        <v>1232</v>
      </c>
      <c r="NEL2187" s="594" t="s">
        <v>1232</v>
      </c>
      <c r="NEM2187" s="594" t="s">
        <v>1232</v>
      </c>
      <c r="NEN2187" s="594" t="s">
        <v>1232</v>
      </c>
      <c r="NEO2187" s="594" t="s">
        <v>1232</v>
      </c>
      <c r="NEP2187" s="594" t="s">
        <v>1232</v>
      </c>
      <c r="NEQ2187" s="594" t="s">
        <v>1232</v>
      </c>
      <c r="NER2187" s="594" t="s">
        <v>1232</v>
      </c>
      <c r="NES2187" s="594" t="s">
        <v>1232</v>
      </c>
      <c r="NET2187" s="594" t="s">
        <v>1232</v>
      </c>
      <c r="NEU2187" s="594" t="s">
        <v>1232</v>
      </c>
      <c r="NEV2187" s="594" t="s">
        <v>1232</v>
      </c>
      <c r="NEW2187" s="594" t="s">
        <v>1232</v>
      </c>
      <c r="NEX2187" s="594" t="s">
        <v>1232</v>
      </c>
      <c r="NEY2187" s="594" t="s">
        <v>1232</v>
      </c>
      <c r="NEZ2187" s="594" t="s">
        <v>1232</v>
      </c>
      <c r="NFA2187" s="594" t="s">
        <v>1232</v>
      </c>
      <c r="NFB2187" s="594" t="s">
        <v>1232</v>
      </c>
      <c r="NFC2187" s="594" t="s">
        <v>1232</v>
      </c>
      <c r="NFD2187" s="594" t="s">
        <v>1232</v>
      </c>
      <c r="NFE2187" s="594" t="s">
        <v>1232</v>
      </c>
      <c r="NFF2187" s="594" t="s">
        <v>1232</v>
      </c>
      <c r="NFG2187" s="594" t="s">
        <v>1232</v>
      </c>
      <c r="NFH2187" s="594" t="s">
        <v>1232</v>
      </c>
      <c r="NFI2187" s="594" t="s">
        <v>1232</v>
      </c>
      <c r="NFJ2187" s="594" t="s">
        <v>1232</v>
      </c>
      <c r="NFK2187" s="594" t="s">
        <v>1232</v>
      </c>
      <c r="NFL2187" s="594" t="s">
        <v>1232</v>
      </c>
      <c r="NFM2187" s="594" t="s">
        <v>1232</v>
      </c>
      <c r="NFN2187" s="594" t="s">
        <v>1232</v>
      </c>
      <c r="NFO2187" s="594" t="s">
        <v>1232</v>
      </c>
      <c r="NFP2187" s="594" t="s">
        <v>1232</v>
      </c>
      <c r="NFQ2187" s="594" t="s">
        <v>1232</v>
      </c>
      <c r="NFR2187" s="594" t="s">
        <v>1232</v>
      </c>
      <c r="NFS2187" s="594" t="s">
        <v>1232</v>
      </c>
      <c r="NFT2187" s="594" t="s">
        <v>1232</v>
      </c>
      <c r="NFU2187" s="594" t="s">
        <v>1232</v>
      </c>
      <c r="NFV2187" s="594" t="s">
        <v>1232</v>
      </c>
      <c r="NFW2187" s="594" t="s">
        <v>1232</v>
      </c>
      <c r="NFX2187" s="594" t="s">
        <v>1232</v>
      </c>
      <c r="NFY2187" s="594" t="s">
        <v>1232</v>
      </c>
      <c r="NFZ2187" s="594" t="s">
        <v>1232</v>
      </c>
      <c r="NGA2187" s="594" t="s">
        <v>1232</v>
      </c>
      <c r="NGB2187" s="594" t="s">
        <v>1232</v>
      </c>
      <c r="NGC2187" s="594" t="s">
        <v>1232</v>
      </c>
      <c r="NGD2187" s="594" t="s">
        <v>1232</v>
      </c>
      <c r="NGE2187" s="594" t="s">
        <v>1232</v>
      </c>
      <c r="NGF2187" s="594" t="s">
        <v>1232</v>
      </c>
      <c r="NGG2187" s="594" t="s">
        <v>1232</v>
      </c>
      <c r="NGH2187" s="594" t="s">
        <v>1232</v>
      </c>
      <c r="NGI2187" s="594" t="s">
        <v>1232</v>
      </c>
      <c r="NGJ2187" s="594" t="s">
        <v>1232</v>
      </c>
      <c r="NGK2187" s="594" t="s">
        <v>1232</v>
      </c>
      <c r="NGL2187" s="594" t="s">
        <v>1232</v>
      </c>
      <c r="NGM2187" s="594" t="s">
        <v>1232</v>
      </c>
      <c r="NGN2187" s="594" t="s">
        <v>1232</v>
      </c>
      <c r="NGO2187" s="594" t="s">
        <v>1232</v>
      </c>
      <c r="NGP2187" s="594" t="s">
        <v>1232</v>
      </c>
      <c r="NGQ2187" s="594" t="s">
        <v>1232</v>
      </c>
      <c r="NGR2187" s="594" t="s">
        <v>1232</v>
      </c>
      <c r="NGS2187" s="594" t="s">
        <v>1232</v>
      </c>
      <c r="NGT2187" s="594" t="s">
        <v>1232</v>
      </c>
      <c r="NGU2187" s="594" t="s">
        <v>1232</v>
      </c>
      <c r="NGV2187" s="594" t="s">
        <v>1232</v>
      </c>
      <c r="NGW2187" s="594" t="s">
        <v>1232</v>
      </c>
      <c r="NGX2187" s="594" t="s">
        <v>1232</v>
      </c>
      <c r="NGY2187" s="594" t="s">
        <v>1232</v>
      </c>
      <c r="NGZ2187" s="594" t="s">
        <v>1232</v>
      </c>
      <c r="NHA2187" s="594" t="s">
        <v>1232</v>
      </c>
      <c r="NHB2187" s="594" t="s">
        <v>1232</v>
      </c>
      <c r="NHC2187" s="594" t="s">
        <v>1232</v>
      </c>
      <c r="NHD2187" s="594" t="s">
        <v>1232</v>
      </c>
      <c r="NHE2187" s="594" t="s">
        <v>1232</v>
      </c>
      <c r="NHF2187" s="594" t="s">
        <v>1232</v>
      </c>
      <c r="NHG2187" s="594" t="s">
        <v>1232</v>
      </c>
      <c r="NHH2187" s="594" t="s">
        <v>1232</v>
      </c>
      <c r="NHI2187" s="594" t="s">
        <v>1232</v>
      </c>
      <c r="NHJ2187" s="594" t="s">
        <v>1232</v>
      </c>
      <c r="NHK2187" s="594" t="s">
        <v>1232</v>
      </c>
      <c r="NHL2187" s="594" t="s">
        <v>1232</v>
      </c>
      <c r="NHM2187" s="594" t="s">
        <v>1232</v>
      </c>
      <c r="NHN2187" s="594" t="s">
        <v>1232</v>
      </c>
      <c r="NHO2187" s="594" t="s">
        <v>1232</v>
      </c>
      <c r="NHP2187" s="594" t="s">
        <v>1232</v>
      </c>
      <c r="NHQ2187" s="594" t="s">
        <v>1232</v>
      </c>
      <c r="NHR2187" s="594" t="s">
        <v>1232</v>
      </c>
      <c r="NHS2187" s="594" t="s">
        <v>1232</v>
      </c>
      <c r="NHT2187" s="594" t="s">
        <v>1232</v>
      </c>
      <c r="NHU2187" s="594" t="s">
        <v>1232</v>
      </c>
      <c r="NHV2187" s="594" t="s">
        <v>1232</v>
      </c>
      <c r="NHW2187" s="594" t="s">
        <v>1232</v>
      </c>
      <c r="NHX2187" s="594" t="s">
        <v>1232</v>
      </c>
      <c r="NHY2187" s="594" t="s">
        <v>1232</v>
      </c>
      <c r="NHZ2187" s="594" t="s">
        <v>1232</v>
      </c>
      <c r="NIA2187" s="594" t="s">
        <v>1232</v>
      </c>
      <c r="NIB2187" s="594" t="s">
        <v>1232</v>
      </c>
      <c r="NIC2187" s="594" t="s">
        <v>1232</v>
      </c>
      <c r="NID2187" s="594" t="s">
        <v>1232</v>
      </c>
      <c r="NIE2187" s="594" t="s">
        <v>1232</v>
      </c>
      <c r="NIF2187" s="594" t="s">
        <v>1232</v>
      </c>
      <c r="NIG2187" s="594" t="s">
        <v>1232</v>
      </c>
      <c r="NIH2187" s="594" t="s">
        <v>1232</v>
      </c>
      <c r="NII2187" s="594" t="s">
        <v>1232</v>
      </c>
      <c r="NIJ2187" s="594" t="s">
        <v>1232</v>
      </c>
      <c r="NIK2187" s="594" t="s">
        <v>1232</v>
      </c>
      <c r="NIL2187" s="594" t="s">
        <v>1232</v>
      </c>
      <c r="NIM2187" s="594" t="s">
        <v>1232</v>
      </c>
      <c r="NIN2187" s="594" t="s">
        <v>1232</v>
      </c>
      <c r="NIO2187" s="594" t="s">
        <v>1232</v>
      </c>
      <c r="NIP2187" s="594" t="s">
        <v>1232</v>
      </c>
      <c r="NIQ2187" s="594" t="s">
        <v>1232</v>
      </c>
      <c r="NIR2187" s="594" t="s">
        <v>1232</v>
      </c>
      <c r="NIS2187" s="594" t="s">
        <v>1232</v>
      </c>
      <c r="NIT2187" s="594" t="s">
        <v>1232</v>
      </c>
      <c r="NIU2187" s="594" t="s">
        <v>1232</v>
      </c>
      <c r="NIV2187" s="594" t="s">
        <v>1232</v>
      </c>
      <c r="NIW2187" s="594" t="s">
        <v>1232</v>
      </c>
      <c r="NIX2187" s="594" t="s">
        <v>1232</v>
      </c>
      <c r="NIY2187" s="594" t="s">
        <v>1232</v>
      </c>
      <c r="NIZ2187" s="594" t="s">
        <v>1232</v>
      </c>
      <c r="NJA2187" s="594" t="s">
        <v>1232</v>
      </c>
      <c r="NJB2187" s="594" t="s">
        <v>1232</v>
      </c>
      <c r="NJC2187" s="594" t="s">
        <v>1232</v>
      </c>
      <c r="NJD2187" s="594" t="s">
        <v>1232</v>
      </c>
      <c r="NJE2187" s="594" t="s">
        <v>1232</v>
      </c>
      <c r="NJF2187" s="594" t="s">
        <v>1232</v>
      </c>
      <c r="NJG2187" s="594" t="s">
        <v>1232</v>
      </c>
      <c r="NJH2187" s="594" t="s">
        <v>1232</v>
      </c>
      <c r="NJI2187" s="594" t="s">
        <v>1232</v>
      </c>
      <c r="NJJ2187" s="594" t="s">
        <v>1232</v>
      </c>
      <c r="NJK2187" s="594" t="s">
        <v>1232</v>
      </c>
      <c r="NJL2187" s="594" t="s">
        <v>1232</v>
      </c>
      <c r="NJM2187" s="594" t="s">
        <v>1232</v>
      </c>
      <c r="NJN2187" s="594" t="s">
        <v>1232</v>
      </c>
      <c r="NJO2187" s="594" t="s">
        <v>1232</v>
      </c>
      <c r="NJP2187" s="594" t="s">
        <v>1232</v>
      </c>
      <c r="NJQ2187" s="594" t="s">
        <v>1232</v>
      </c>
      <c r="NJR2187" s="594" t="s">
        <v>1232</v>
      </c>
      <c r="NJS2187" s="594" t="s">
        <v>1232</v>
      </c>
      <c r="NJT2187" s="594" t="s">
        <v>1232</v>
      </c>
      <c r="NJU2187" s="594" t="s">
        <v>1232</v>
      </c>
      <c r="NJV2187" s="594" t="s">
        <v>1232</v>
      </c>
      <c r="NJW2187" s="594" t="s">
        <v>1232</v>
      </c>
      <c r="NJX2187" s="594" t="s">
        <v>1232</v>
      </c>
      <c r="NJY2187" s="594" t="s">
        <v>1232</v>
      </c>
      <c r="NJZ2187" s="594" t="s">
        <v>1232</v>
      </c>
      <c r="NKA2187" s="594" t="s">
        <v>1232</v>
      </c>
      <c r="NKB2187" s="594" t="s">
        <v>1232</v>
      </c>
      <c r="NKC2187" s="594" t="s">
        <v>1232</v>
      </c>
      <c r="NKD2187" s="594" t="s">
        <v>1232</v>
      </c>
      <c r="NKE2187" s="594" t="s">
        <v>1232</v>
      </c>
      <c r="NKF2187" s="594" t="s">
        <v>1232</v>
      </c>
      <c r="NKG2187" s="594" t="s">
        <v>1232</v>
      </c>
      <c r="NKH2187" s="594" t="s">
        <v>1232</v>
      </c>
      <c r="NKI2187" s="594" t="s">
        <v>1232</v>
      </c>
      <c r="NKJ2187" s="594" t="s">
        <v>1232</v>
      </c>
      <c r="NKK2187" s="594" t="s">
        <v>1232</v>
      </c>
      <c r="NKL2187" s="594" t="s">
        <v>1232</v>
      </c>
      <c r="NKM2187" s="594" t="s">
        <v>1232</v>
      </c>
      <c r="NKN2187" s="594" t="s">
        <v>1232</v>
      </c>
      <c r="NKO2187" s="594" t="s">
        <v>1232</v>
      </c>
      <c r="NKP2187" s="594" t="s">
        <v>1232</v>
      </c>
      <c r="NKQ2187" s="594" t="s">
        <v>1232</v>
      </c>
      <c r="NKR2187" s="594" t="s">
        <v>1232</v>
      </c>
      <c r="NKS2187" s="594" t="s">
        <v>1232</v>
      </c>
      <c r="NKT2187" s="594" t="s">
        <v>1232</v>
      </c>
      <c r="NKU2187" s="594" t="s">
        <v>1232</v>
      </c>
      <c r="NKV2187" s="594" t="s">
        <v>1232</v>
      </c>
      <c r="NKW2187" s="594" t="s">
        <v>1232</v>
      </c>
      <c r="NKX2187" s="594" t="s">
        <v>1232</v>
      </c>
      <c r="NKY2187" s="594" t="s">
        <v>1232</v>
      </c>
      <c r="NKZ2187" s="594" t="s">
        <v>1232</v>
      </c>
      <c r="NLA2187" s="594" t="s">
        <v>1232</v>
      </c>
      <c r="NLB2187" s="594" t="s">
        <v>1232</v>
      </c>
      <c r="NLC2187" s="594" t="s">
        <v>1232</v>
      </c>
      <c r="NLD2187" s="594" t="s">
        <v>1232</v>
      </c>
      <c r="NLE2187" s="594" t="s">
        <v>1232</v>
      </c>
      <c r="NLF2187" s="594" t="s">
        <v>1232</v>
      </c>
      <c r="NLG2187" s="594" t="s">
        <v>1232</v>
      </c>
      <c r="NLH2187" s="594" t="s">
        <v>1232</v>
      </c>
      <c r="NLI2187" s="594" t="s">
        <v>1232</v>
      </c>
      <c r="NLJ2187" s="594" t="s">
        <v>1232</v>
      </c>
      <c r="NLK2187" s="594" t="s">
        <v>1232</v>
      </c>
      <c r="NLL2187" s="594" t="s">
        <v>1232</v>
      </c>
      <c r="NLM2187" s="594" t="s">
        <v>1232</v>
      </c>
      <c r="NLN2187" s="594" t="s">
        <v>1232</v>
      </c>
      <c r="NLO2187" s="594" t="s">
        <v>1232</v>
      </c>
      <c r="NLP2187" s="594" t="s">
        <v>1232</v>
      </c>
      <c r="NLQ2187" s="594" t="s">
        <v>1232</v>
      </c>
      <c r="NLR2187" s="594" t="s">
        <v>1232</v>
      </c>
      <c r="NLS2187" s="594" t="s">
        <v>1232</v>
      </c>
      <c r="NLT2187" s="594" t="s">
        <v>1232</v>
      </c>
      <c r="NLU2187" s="594" t="s">
        <v>1232</v>
      </c>
      <c r="NLV2187" s="594" t="s">
        <v>1232</v>
      </c>
      <c r="NLW2187" s="594" t="s">
        <v>1232</v>
      </c>
      <c r="NLX2187" s="594" t="s">
        <v>1232</v>
      </c>
      <c r="NLY2187" s="594" t="s">
        <v>1232</v>
      </c>
      <c r="NLZ2187" s="594" t="s">
        <v>1232</v>
      </c>
      <c r="NMA2187" s="594" t="s">
        <v>1232</v>
      </c>
      <c r="NMB2187" s="594" t="s">
        <v>1232</v>
      </c>
      <c r="NMC2187" s="594" t="s">
        <v>1232</v>
      </c>
      <c r="NMD2187" s="594" t="s">
        <v>1232</v>
      </c>
      <c r="NME2187" s="594" t="s">
        <v>1232</v>
      </c>
      <c r="NMF2187" s="594" t="s">
        <v>1232</v>
      </c>
      <c r="NMG2187" s="594" t="s">
        <v>1232</v>
      </c>
      <c r="NMH2187" s="594" t="s">
        <v>1232</v>
      </c>
      <c r="NMI2187" s="594" t="s">
        <v>1232</v>
      </c>
      <c r="NMJ2187" s="594" t="s">
        <v>1232</v>
      </c>
      <c r="NMK2187" s="594" t="s">
        <v>1232</v>
      </c>
      <c r="NML2187" s="594" t="s">
        <v>1232</v>
      </c>
      <c r="NMM2187" s="594" t="s">
        <v>1232</v>
      </c>
      <c r="NMN2187" s="594" t="s">
        <v>1232</v>
      </c>
      <c r="NMO2187" s="594" t="s">
        <v>1232</v>
      </c>
      <c r="NMP2187" s="594" t="s">
        <v>1232</v>
      </c>
      <c r="NMQ2187" s="594" t="s">
        <v>1232</v>
      </c>
      <c r="NMR2187" s="594" t="s">
        <v>1232</v>
      </c>
      <c r="NMS2187" s="594" t="s">
        <v>1232</v>
      </c>
      <c r="NMT2187" s="594" t="s">
        <v>1232</v>
      </c>
      <c r="NMU2187" s="594" t="s">
        <v>1232</v>
      </c>
      <c r="NMV2187" s="594" t="s">
        <v>1232</v>
      </c>
      <c r="NMW2187" s="594" t="s">
        <v>1232</v>
      </c>
      <c r="NMX2187" s="594" t="s">
        <v>1232</v>
      </c>
      <c r="NMY2187" s="594" t="s">
        <v>1232</v>
      </c>
      <c r="NMZ2187" s="594" t="s">
        <v>1232</v>
      </c>
      <c r="NNA2187" s="594" t="s">
        <v>1232</v>
      </c>
      <c r="NNB2187" s="594" t="s">
        <v>1232</v>
      </c>
      <c r="NNC2187" s="594" t="s">
        <v>1232</v>
      </c>
      <c r="NND2187" s="594" t="s">
        <v>1232</v>
      </c>
      <c r="NNE2187" s="594" t="s">
        <v>1232</v>
      </c>
      <c r="NNF2187" s="594" t="s">
        <v>1232</v>
      </c>
      <c r="NNG2187" s="594" t="s">
        <v>1232</v>
      </c>
      <c r="NNH2187" s="594" t="s">
        <v>1232</v>
      </c>
      <c r="NNI2187" s="594" t="s">
        <v>1232</v>
      </c>
      <c r="NNJ2187" s="594" t="s">
        <v>1232</v>
      </c>
      <c r="NNK2187" s="594" t="s">
        <v>1232</v>
      </c>
      <c r="NNL2187" s="594" t="s">
        <v>1232</v>
      </c>
      <c r="NNM2187" s="594" t="s">
        <v>1232</v>
      </c>
      <c r="NNN2187" s="594" t="s">
        <v>1232</v>
      </c>
      <c r="NNO2187" s="594" t="s">
        <v>1232</v>
      </c>
      <c r="NNP2187" s="594" t="s">
        <v>1232</v>
      </c>
      <c r="NNQ2187" s="594" t="s">
        <v>1232</v>
      </c>
      <c r="NNR2187" s="594" t="s">
        <v>1232</v>
      </c>
      <c r="NNS2187" s="594" t="s">
        <v>1232</v>
      </c>
      <c r="NNT2187" s="594" t="s">
        <v>1232</v>
      </c>
      <c r="NNU2187" s="594" t="s">
        <v>1232</v>
      </c>
      <c r="NNV2187" s="594" t="s">
        <v>1232</v>
      </c>
      <c r="NNW2187" s="594" t="s">
        <v>1232</v>
      </c>
      <c r="NNX2187" s="594" t="s">
        <v>1232</v>
      </c>
      <c r="NNY2187" s="594" t="s">
        <v>1232</v>
      </c>
      <c r="NNZ2187" s="594" t="s">
        <v>1232</v>
      </c>
      <c r="NOA2187" s="594" t="s">
        <v>1232</v>
      </c>
      <c r="NOB2187" s="594" t="s">
        <v>1232</v>
      </c>
      <c r="NOC2187" s="594" t="s">
        <v>1232</v>
      </c>
      <c r="NOD2187" s="594" t="s">
        <v>1232</v>
      </c>
      <c r="NOE2187" s="594" t="s">
        <v>1232</v>
      </c>
      <c r="NOF2187" s="594" t="s">
        <v>1232</v>
      </c>
      <c r="NOG2187" s="594" t="s">
        <v>1232</v>
      </c>
      <c r="NOH2187" s="594" t="s">
        <v>1232</v>
      </c>
      <c r="NOI2187" s="594" t="s">
        <v>1232</v>
      </c>
      <c r="NOJ2187" s="594" t="s">
        <v>1232</v>
      </c>
      <c r="NOK2187" s="594" t="s">
        <v>1232</v>
      </c>
      <c r="NOL2187" s="594" t="s">
        <v>1232</v>
      </c>
      <c r="NOM2187" s="594" t="s">
        <v>1232</v>
      </c>
      <c r="NON2187" s="594" t="s">
        <v>1232</v>
      </c>
      <c r="NOO2187" s="594" t="s">
        <v>1232</v>
      </c>
      <c r="NOP2187" s="594" t="s">
        <v>1232</v>
      </c>
      <c r="NOQ2187" s="594" t="s">
        <v>1232</v>
      </c>
      <c r="NOR2187" s="594" t="s">
        <v>1232</v>
      </c>
      <c r="NOS2187" s="594" t="s">
        <v>1232</v>
      </c>
      <c r="NOT2187" s="594" t="s">
        <v>1232</v>
      </c>
      <c r="NOU2187" s="594" t="s">
        <v>1232</v>
      </c>
      <c r="NOV2187" s="594" t="s">
        <v>1232</v>
      </c>
      <c r="NOW2187" s="594" t="s">
        <v>1232</v>
      </c>
      <c r="NOX2187" s="594" t="s">
        <v>1232</v>
      </c>
      <c r="NOY2187" s="594" t="s">
        <v>1232</v>
      </c>
      <c r="NOZ2187" s="594" t="s">
        <v>1232</v>
      </c>
      <c r="NPA2187" s="594" t="s">
        <v>1232</v>
      </c>
      <c r="NPB2187" s="594" t="s">
        <v>1232</v>
      </c>
      <c r="NPC2187" s="594" t="s">
        <v>1232</v>
      </c>
      <c r="NPD2187" s="594" t="s">
        <v>1232</v>
      </c>
      <c r="NPE2187" s="594" t="s">
        <v>1232</v>
      </c>
      <c r="NPF2187" s="594" t="s">
        <v>1232</v>
      </c>
      <c r="NPG2187" s="594" t="s">
        <v>1232</v>
      </c>
      <c r="NPH2187" s="594" t="s">
        <v>1232</v>
      </c>
      <c r="NPI2187" s="594" t="s">
        <v>1232</v>
      </c>
      <c r="NPJ2187" s="594" t="s">
        <v>1232</v>
      </c>
      <c r="NPK2187" s="594" t="s">
        <v>1232</v>
      </c>
      <c r="NPL2187" s="594" t="s">
        <v>1232</v>
      </c>
      <c r="NPM2187" s="594" t="s">
        <v>1232</v>
      </c>
      <c r="NPN2187" s="594" t="s">
        <v>1232</v>
      </c>
      <c r="NPO2187" s="594" t="s">
        <v>1232</v>
      </c>
      <c r="NPP2187" s="594" t="s">
        <v>1232</v>
      </c>
      <c r="NPQ2187" s="594" t="s">
        <v>1232</v>
      </c>
      <c r="NPR2187" s="594" t="s">
        <v>1232</v>
      </c>
      <c r="NPS2187" s="594" t="s">
        <v>1232</v>
      </c>
      <c r="NPT2187" s="594" t="s">
        <v>1232</v>
      </c>
      <c r="NPU2187" s="594" t="s">
        <v>1232</v>
      </c>
      <c r="NPV2187" s="594" t="s">
        <v>1232</v>
      </c>
      <c r="NPW2187" s="594" t="s">
        <v>1232</v>
      </c>
      <c r="NPX2187" s="594" t="s">
        <v>1232</v>
      </c>
      <c r="NPY2187" s="594" t="s">
        <v>1232</v>
      </c>
      <c r="NPZ2187" s="594" t="s">
        <v>1232</v>
      </c>
      <c r="NQA2187" s="594" t="s">
        <v>1232</v>
      </c>
      <c r="NQB2187" s="594" t="s">
        <v>1232</v>
      </c>
      <c r="NQC2187" s="594" t="s">
        <v>1232</v>
      </c>
      <c r="NQD2187" s="594" t="s">
        <v>1232</v>
      </c>
      <c r="NQE2187" s="594" t="s">
        <v>1232</v>
      </c>
      <c r="NQF2187" s="594" t="s">
        <v>1232</v>
      </c>
      <c r="NQG2187" s="594" t="s">
        <v>1232</v>
      </c>
      <c r="NQH2187" s="594" t="s">
        <v>1232</v>
      </c>
      <c r="NQI2187" s="594" t="s">
        <v>1232</v>
      </c>
      <c r="NQJ2187" s="594" t="s">
        <v>1232</v>
      </c>
      <c r="NQK2187" s="594" t="s">
        <v>1232</v>
      </c>
      <c r="NQL2187" s="594" t="s">
        <v>1232</v>
      </c>
      <c r="NQM2187" s="594" t="s">
        <v>1232</v>
      </c>
      <c r="NQN2187" s="594" t="s">
        <v>1232</v>
      </c>
      <c r="NQO2187" s="594" t="s">
        <v>1232</v>
      </c>
      <c r="NQP2187" s="594" t="s">
        <v>1232</v>
      </c>
      <c r="NQQ2187" s="594" t="s">
        <v>1232</v>
      </c>
      <c r="NQR2187" s="594" t="s">
        <v>1232</v>
      </c>
      <c r="NQS2187" s="594" t="s">
        <v>1232</v>
      </c>
      <c r="NQT2187" s="594" t="s">
        <v>1232</v>
      </c>
      <c r="NQU2187" s="594" t="s">
        <v>1232</v>
      </c>
      <c r="NQV2187" s="594" t="s">
        <v>1232</v>
      </c>
      <c r="NQW2187" s="594" t="s">
        <v>1232</v>
      </c>
      <c r="NQX2187" s="594" t="s">
        <v>1232</v>
      </c>
      <c r="NQY2187" s="594" t="s">
        <v>1232</v>
      </c>
      <c r="NQZ2187" s="594" t="s">
        <v>1232</v>
      </c>
      <c r="NRA2187" s="594" t="s">
        <v>1232</v>
      </c>
      <c r="NRB2187" s="594" t="s">
        <v>1232</v>
      </c>
      <c r="NRC2187" s="594" t="s">
        <v>1232</v>
      </c>
      <c r="NRD2187" s="594" t="s">
        <v>1232</v>
      </c>
      <c r="NRE2187" s="594" t="s">
        <v>1232</v>
      </c>
      <c r="NRF2187" s="594" t="s">
        <v>1232</v>
      </c>
      <c r="NRG2187" s="594" t="s">
        <v>1232</v>
      </c>
      <c r="NRH2187" s="594" t="s">
        <v>1232</v>
      </c>
      <c r="NRI2187" s="594" t="s">
        <v>1232</v>
      </c>
      <c r="NRJ2187" s="594" t="s">
        <v>1232</v>
      </c>
      <c r="NRK2187" s="594" t="s">
        <v>1232</v>
      </c>
      <c r="NRL2187" s="594" t="s">
        <v>1232</v>
      </c>
      <c r="NRM2187" s="594" t="s">
        <v>1232</v>
      </c>
      <c r="NRN2187" s="594" t="s">
        <v>1232</v>
      </c>
      <c r="NRO2187" s="594" t="s">
        <v>1232</v>
      </c>
      <c r="NRP2187" s="594" t="s">
        <v>1232</v>
      </c>
      <c r="NRQ2187" s="594" t="s">
        <v>1232</v>
      </c>
      <c r="NRR2187" s="594" t="s">
        <v>1232</v>
      </c>
      <c r="NRS2187" s="594" t="s">
        <v>1232</v>
      </c>
      <c r="NRT2187" s="594" t="s">
        <v>1232</v>
      </c>
      <c r="NRU2187" s="594" t="s">
        <v>1232</v>
      </c>
      <c r="NRV2187" s="594" t="s">
        <v>1232</v>
      </c>
      <c r="NRW2187" s="594" t="s">
        <v>1232</v>
      </c>
      <c r="NRX2187" s="594" t="s">
        <v>1232</v>
      </c>
      <c r="NRY2187" s="594" t="s">
        <v>1232</v>
      </c>
      <c r="NRZ2187" s="594" t="s">
        <v>1232</v>
      </c>
      <c r="NSA2187" s="594" t="s">
        <v>1232</v>
      </c>
      <c r="NSB2187" s="594" t="s">
        <v>1232</v>
      </c>
      <c r="NSC2187" s="594" t="s">
        <v>1232</v>
      </c>
      <c r="NSD2187" s="594" t="s">
        <v>1232</v>
      </c>
      <c r="NSE2187" s="594" t="s">
        <v>1232</v>
      </c>
      <c r="NSF2187" s="594" t="s">
        <v>1232</v>
      </c>
      <c r="NSG2187" s="594" t="s">
        <v>1232</v>
      </c>
      <c r="NSH2187" s="594" t="s">
        <v>1232</v>
      </c>
      <c r="NSI2187" s="594" t="s">
        <v>1232</v>
      </c>
      <c r="NSJ2187" s="594" t="s">
        <v>1232</v>
      </c>
      <c r="NSK2187" s="594" t="s">
        <v>1232</v>
      </c>
      <c r="NSL2187" s="594" t="s">
        <v>1232</v>
      </c>
      <c r="NSM2187" s="594" t="s">
        <v>1232</v>
      </c>
      <c r="NSN2187" s="594" t="s">
        <v>1232</v>
      </c>
      <c r="NSO2187" s="594" t="s">
        <v>1232</v>
      </c>
      <c r="NSP2187" s="594" t="s">
        <v>1232</v>
      </c>
      <c r="NSQ2187" s="594" t="s">
        <v>1232</v>
      </c>
      <c r="NSR2187" s="594" t="s">
        <v>1232</v>
      </c>
      <c r="NSS2187" s="594" t="s">
        <v>1232</v>
      </c>
      <c r="NST2187" s="594" t="s">
        <v>1232</v>
      </c>
      <c r="NSU2187" s="594" t="s">
        <v>1232</v>
      </c>
      <c r="NSV2187" s="594" t="s">
        <v>1232</v>
      </c>
      <c r="NSW2187" s="594" t="s">
        <v>1232</v>
      </c>
      <c r="NSX2187" s="594" t="s">
        <v>1232</v>
      </c>
      <c r="NSY2187" s="594" t="s">
        <v>1232</v>
      </c>
      <c r="NSZ2187" s="594" t="s">
        <v>1232</v>
      </c>
      <c r="NTA2187" s="594" t="s">
        <v>1232</v>
      </c>
      <c r="NTB2187" s="594" t="s">
        <v>1232</v>
      </c>
      <c r="NTC2187" s="594" t="s">
        <v>1232</v>
      </c>
      <c r="NTD2187" s="594" t="s">
        <v>1232</v>
      </c>
      <c r="NTE2187" s="594" t="s">
        <v>1232</v>
      </c>
      <c r="NTF2187" s="594" t="s">
        <v>1232</v>
      </c>
      <c r="NTG2187" s="594" t="s">
        <v>1232</v>
      </c>
      <c r="NTH2187" s="594" t="s">
        <v>1232</v>
      </c>
      <c r="NTI2187" s="594" t="s">
        <v>1232</v>
      </c>
      <c r="NTJ2187" s="594" t="s">
        <v>1232</v>
      </c>
      <c r="NTK2187" s="594" t="s">
        <v>1232</v>
      </c>
      <c r="NTL2187" s="594" t="s">
        <v>1232</v>
      </c>
      <c r="NTM2187" s="594" t="s">
        <v>1232</v>
      </c>
      <c r="NTN2187" s="594" t="s">
        <v>1232</v>
      </c>
      <c r="NTO2187" s="594" t="s">
        <v>1232</v>
      </c>
      <c r="NTP2187" s="594" t="s">
        <v>1232</v>
      </c>
      <c r="NTQ2187" s="594" t="s">
        <v>1232</v>
      </c>
      <c r="NTR2187" s="594" t="s">
        <v>1232</v>
      </c>
      <c r="NTS2187" s="594" t="s">
        <v>1232</v>
      </c>
      <c r="NTT2187" s="594" t="s">
        <v>1232</v>
      </c>
      <c r="NTU2187" s="594" t="s">
        <v>1232</v>
      </c>
      <c r="NTV2187" s="594" t="s">
        <v>1232</v>
      </c>
      <c r="NTW2187" s="594" t="s">
        <v>1232</v>
      </c>
      <c r="NTX2187" s="594" t="s">
        <v>1232</v>
      </c>
      <c r="NTY2187" s="594" t="s">
        <v>1232</v>
      </c>
      <c r="NTZ2187" s="594" t="s">
        <v>1232</v>
      </c>
      <c r="NUA2187" s="594" t="s">
        <v>1232</v>
      </c>
      <c r="NUB2187" s="594" t="s">
        <v>1232</v>
      </c>
      <c r="NUC2187" s="594" t="s">
        <v>1232</v>
      </c>
      <c r="NUD2187" s="594" t="s">
        <v>1232</v>
      </c>
      <c r="NUE2187" s="594" t="s">
        <v>1232</v>
      </c>
      <c r="NUF2187" s="594" t="s">
        <v>1232</v>
      </c>
      <c r="NUG2187" s="594" t="s">
        <v>1232</v>
      </c>
      <c r="NUH2187" s="594" t="s">
        <v>1232</v>
      </c>
      <c r="NUI2187" s="594" t="s">
        <v>1232</v>
      </c>
      <c r="NUJ2187" s="594" t="s">
        <v>1232</v>
      </c>
      <c r="NUK2187" s="594" t="s">
        <v>1232</v>
      </c>
      <c r="NUL2187" s="594" t="s">
        <v>1232</v>
      </c>
      <c r="NUM2187" s="594" t="s">
        <v>1232</v>
      </c>
      <c r="NUN2187" s="594" t="s">
        <v>1232</v>
      </c>
      <c r="NUO2187" s="594" t="s">
        <v>1232</v>
      </c>
      <c r="NUP2187" s="594" t="s">
        <v>1232</v>
      </c>
      <c r="NUQ2187" s="594" t="s">
        <v>1232</v>
      </c>
      <c r="NUR2187" s="594" t="s">
        <v>1232</v>
      </c>
      <c r="NUS2187" s="594" t="s">
        <v>1232</v>
      </c>
      <c r="NUT2187" s="594" t="s">
        <v>1232</v>
      </c>
      <c r="NUU2187" s="594" t="s">
        <v>1232</v>
      </c>
      <c r="NUV2187" s="594" t="s">
        <v>1232</v>
      </c>
      <c r="NUW2187" s="594" t="s">
        <v>1232</v>
      </c>
      <c r="NUX2187" s="594" t="s">
        <v>1232</v>
      </c>
      <c r="NUY2187" s="594" t="s">
        <v>1232</v>
      </c>
      <c r="NUZ2187" s="594" t="s">
        <v>1232</v>
      </c>
      <c r="NVA2187" s="594" t="s">
        <v>1232</v>
      </c>
      <c r="NVB2187" s="594" t="s">
        <v>1232</v>
      </c>
      <c r="NVC2187" s="594" t="s">
        <v>1232</v>
      </c>
      <c r="NVD2187" s="594" t="s">
        <v>1232</v>
      </c>
      <c r="NVE2187" s="594" t="s">
        <v>1232</v>
      </c>
      <c r="NVF2187" s="594" t="s">
        <v>1232</v>
      </c>
      <c r="NVG2187" s="594" t="s">
        <v>1232</v>
      </c>
      <c r="NVH2187" s="594" t="s">
        <v>1232</v>
      </c>
      <c r="NVI2187" s="594" t="s">
        <v>1232</v>
      </c>
      <c r="NVJ2187" s="594" t="s">
        <v>1232</v>
      </c>
      <c r="NVK2187" s="594" t="s">
        <v>1232</v>
      </c>
      <c r="NVL2187" s="594" t="s">
        <v>1232</v>
      </c>
      <c r="NVM2187" s="594" t="s">
        <v>1232</v>
      </c>
      <c r="NVN2187" s="594" t="s">
        <v>1232</v>
      </c>
      <c r="NVO2187" s="594" t="s">
        <v>1232</v>
      </c>
      <c r="NVP2187" s="594" t="s">
        <v>1232</v>
      </c>
      <c r="NVQ2187" s="594" t="s">
        <v>1232</v>
      </c>
      <c r="NVR2187" s="594" t="s">
        <v>1232</v>
      </c>
      <c r="NVS2187" s="594" t="s">
        <v>1232</v>
      </c>
      <c r="NVT2187" s="594" t="s">
        <v>1232</v>
      </c>
      <c r="NVU2187" s="594" t="s">
        <v>1232</v>
      </c>
      <c r="NVV2187" s="594" t="s">
        <v>1232</v>
      </c>
      <c r="NVW2187" s="594" t="s">
        <v>1232</v>
      </c>
      <c r="NVX2187" s="594" t="s">
        <v>1232</v>
      </c>
      <c r="NVY2187" s="594" t="s">
        <v>1232</v>
      </c>
      <c r="NVZ2187" s="594" t="s">
        <v>1232</v>
      </c>
      <c r="NWA2187" s="594" t="s">
        <v>1232</v>
      </c>
      <c r="NWB2187" s="594" t="s">
        <v>1232</v>
      </c>
      <c r="NWC2187" s="594" t="s">
        <v>1232</v>
      </c>
      <c r="NWD2187" s="594" t="s">
        <v>1232</v>
      </c>
      <c r="NWE2187" s="594" t="s">
        <v>1232</v>
      </c>
      <c r="NWF2187" s="594" t="s">
        <v>1232</v>
      </c>
      <c r="NWG2187" s="594" t="s">
        <v>1232</v>
      </c>
      <c r="NWH2187" s="594" t="s">
        <v>1232</v>
      </c>
      <c r="NWI2187" s="594" t="s">
        <v>1232</v>
      </c>
      <c r="NWJ2187" s="594" t="s">
        <v>1232</v>
      </c>
      <c r="NWK2187" s="594" t="s">
        <v>1232</v>
      </c>
      <c r="NWL2187" s="594" t="s">
        <v>1232</v>
      </c>
      <c r="NWM2187" s="594" t="s">
        <v>1232</v>
      </c>
      <c r="NWN2187" s="594" t="s">
        <v>1232</v>
      </c>
      <c r="NWO2187" s="594" t="s">
        <v>1232</v>
      </c>
      <c r="NWP2187" s="594" t="s">
        <v>1232</v>
      </c>
      <c r="NWQ2187" s="594" t="s">
        <v>1232</v>
      </c>
      <c r="NWR2187" s="594" t="s">
        <v>1232</v>
      </c>
      <c r="NWS2187" s="594" t="s">
        <v>1232</v>
      </c>
      <c r="NWT2187" s="594" t="s">
        <v>1232</v>
      </c>
      <c r="NWU2187" s="594" t="s">
        <v>1232</v>
      </c>
      <c r="NWV2187" s="594" t="s">
        <v>1232</v>
      </c>
      <c r="NWW2187" s="594" t="s">
        <v>1232</v>
      </c>
      <c r="NWX2187" s="594" t="s">
        <v>1232</v>
      </c>
      <c r="NWY2187" s="594" t="s">
        <v>1232</v>
      </c>
      <c r="NWZ2187" s="594" t="s">
        <v>1232</v>
      </c>
      <c r="NXA2187" s="594" t="s">
        <v>1232</v>
      </c>
      <c r="NXB2187" s="594" t="s">
        <v>1232</v>
      </c>
      <c r="NXC2187" s="594" t="s">
        <v>1232</v>
      </c>
      <c r="NXD2187" s="594" t="s">
        <v>1232</v>
      </c>
      <c r="NXE2187" s="594" t="s">
        <v>1232</v>
      </c>
      <c r="NXF2187" s="594" t="s">
        <v>1232</v>
      </c>
      <c r="NXG2187" s="594" t="s">
        <v>1232</v>
      </c>
      <c r="NXH2187" s="594" t="s">
        <v>1232</v>
      </c>
      <c r="NXI2187" s="594" t="s">
        <v>1232</v>
      </c>
      <c r="NXJ2187" s="594" t="s">
        <v>1232</v>
      </c>
      <c r="NXK2187" s="594" t="s">
        <v>1232</v>
      </c>
      <c r="NXL2187" s="594" t="s">
        <v>1232</v>
      </c>
      <c r="NXM2187" s="594" t="s">
        <v>1232</v>
      </c>
      <c r="NXN2187" s="594" t="s">
        <v>1232</v>
      </c>
      <c r="NXO2187" s="594" t="s">
        <v>1232</v>
      </c>
      <c r="NXP2187" s="594" t="s">
        <v>1232</v>
      </c>
      <c r="NXQ2187" s="594" t="s">
        <v>1232</v>
      </c>
      <c r="NXR2187" s="594" t="s">
        <v>1232</v>
      </c>
      <c r="NXS2187" s="594" t="s">
        <v>1232</v>
      </c>
      <c r="NXT2187" s="594" t="s">
        <v>1232</v>
      </c>
      <c r="NXU2187" s="594" t="s">
        <v>1232</v>
      </c>
      <c r="NXV2187" s="594" t="s">
        <v>1232</v>
      </c>
      <c r="NXW2187" s="594" t="s">
        <v>1232</v>
      </c>
      <c r="NXX2187" s="594" t="s">
        <v>1232</v>
      </c>
      <c r="NXY2187" s="594" t="s">
        <v>1232</v>
      </c>
      <c r="NXZ2187" s="594" t="s">
        <v>1232</v>
      </c>
      <c r="NYA2187" s="594" t="s">
        <v>1232</v>
      </c>
      <c r="NYB2187" s="594" t="s">
        <v>1232</v>
      </c>
      <c r="NYC2187" s="594" t="s">
        <v>1232</v>
      </c>
      <c r="NYD2187" s="594" t="s">
        <v>1232</v>
      </c>
      <c r="NYE2187" s="594" t="s">
        <v>1232</v>
      </c>
      <c r="NYF2187" s="594" t="s">
        <v>1232</v>
      </c>
      <c r="NYG2187" s="594" t="s">
        <v>1232</v>
      </c>
      <c r="NYH2187" s="594" t="s">
        <v>1232</v>
      </c>
      <c r="NYI2187" s="594" t="s">
        <v>1232</v>
      </c>
      <c r="NYJ2187" s="594" t="s">
        <v>1232</v>
      </c>
      <c r="NYK2187" s="594" t="s">
        <v>1232</v>
      </c>
      <c r="NYL2187" s="594" t="s">
        <v>1232</v>
      </c>
      <c r="NYM2187" s="594" t="s">
        <v>1232</v>
      </c>
      <c r="NYN2187" s="594" t="s">
        <v>1232</v>
      </c>
      <c r="NYO2187" s="594" t="s">
        <v>1232</v>
      </c>
      <c r="NYP2187" s="594" t="s">
        <v>1232</v>
      </c>
      <c r="NYQ2187" s="594" t="s">
        <v>1232</v>
      </c>
      <c r="NYR2187" s="594" t="s">
        <v>1232</v>
      </c>
      <c r="NYS2187" s="594" t="s">
        <v>1232</v>
      </c>
      <c r="NYT2187" s="594" t="s">
        <v>1232</v>
      </c>
      <c r="NYU2187" s="594" t="s">
        <v>1232</v>
      </c>
      <c r="NYV2187" s="594" t="s">
        <v>1232</v>
      </c>
      <c r="NYW2187" s="594" t="s">
        <v>1232</v>
      </c>
      <c r="NYX2187" s="594" t="s">
        <v>1232</v>
      </c>
      <c r="NYY2187" s="594" t="s">
        <v>1232</v>
      </c>
      <c r="NYZ2187" s="594" t="s">
        <v>1232</v>
      </c>
      <c r="NZA2187" s="594" t="s">
        <v>1232</v>
      </c>
      <c r="NZB2187" s="594" t="s">
        <v>1232</v>
      </c>
      <c r="NZC2187" s="594" t="s">
        <v>1232</v>
      </c>
      <c r="NZD2187" s="594" t="s">
        <v>1232</v>
      </c>
      <c r="NZE2187" s="594" t="s">
        <v>1232</v>
      </c>
      <c r="NZF2187" s="594" t="s">
        <v>1232</v>
      </c>
      <c r="NZG2187" s="594" t="s">
        <v>1232</v>
      </c>
      <c r="NZH2187" s="594" t="s">
        <v>1232</v>
      </c>
      <c r="NZI2187" s="594" t="s">
        <v>1232</v>
      </c>
      <c r="NZJ2187" s="594" t="s">
        <v>1232</v>
      </c>
      <c r="NZK2187" s="594" t="s">
        <v>1232</v>
      </c>
      <c r="NZL2187" s="594" t="s">
        <v>1232</v>
      </c>
      <c r="NZM2187" s="594" t="s">
        <v>1232</v>
      </c>
      <c r="NZN2187" s="594" t="s">
        <v>1232</v>
      </c>
      <c r="NZO2187" s="594" t="s">
        <v>1232</v>
      </c>
      <c r="NZP2187" s="594" t="s">
        <v>1232</v>
      </c>
      <c r="NZQ2187" s="594" t="s">
        <v>1232</v>
      </c>
      <c r="NZR2187" s="594" t="s">
        <v>1232</v>
      </c>
      <c r="NZS2187" s="594" t="s">
        <v>1232</v>
      </c>
      <c r="NZT2187" s="594" t="s">
        <v>1232</v>
      </c>
      <c r="NZU2187" s="594" t="s">
        <v>1232</v>
      </c>
      <c r="NZV2187" s="594" t="s">
        <v>1232</v>
      </c>
      <c r="NZW2187" s="594" t="s">
        <v>1232</v>
      </c>
      <c r="NZX2187" s="594" t="s">
        <v>1232</v>
      </c>
      <c r="NZY2187" s="594" t="s">
        <v>1232</v>
      </c>
      <c r="NZZ2187" s="594" t="s">
        <v>1232</v>
      </c>
      <c r="OAA2187" s="594" t="s">
        <v>1232</v>
      </c>
      <c r="OAB2187" s="594" t="s">
        <v>1232</v>
      </c>
      <c r="OAC2187" s="594" t="s">
        <v>1232</v>
      </c>
      <c r="OAD2187" s="594" t="s">
        <v>1232</v>
      </c>
      <c r="OAE2187" s="594" t="s">
        <v>1232</v>
      </c>
      <c r="OAF2187" s="594" t="s">
        <v>1232</v>
      </c>
      <c r="OAG2187" s="594" t="s">
        <v>1232</v>
      </c>
      <c r="OAH2187" s="594" t="s">
        <v>1232</v>
      </c>
      <c r="OAI2187" s="594" t="s">
        <v>1232</v>
      </c>
      <c r="OAJ2187" s="594" t="s">
        <v>1232</v>
      </c>
      <c r="OAK2187" s="594" t="s">
        <v>1232</v>
      </c>
      <c r="OAL2187" s="594" t="s">
        <v>1232</v>
      </c>
      <c r="OAM2187" s="594" t="s">
        <v>1232</v>
      </c>
      <c r="OAN2187" s="594" t="s">
        <v>1232</v>
      </c>
      <c r="OAO2187" s="594" t="s">
        <v>1232</v>
      </c>
      <c r="OAP2187" s="594" t="s">
        <v>1232</v>
      </c>
      <c r="OAQ2187" s="594" t="s">
        <v>1232</v>
      </c>
      <c r="OAR2187" s="594" t="s">
        <v>1232</v>
      </c>
      <c r="OAS2187" s="594" t="s">
        <v>1232</v>
      </c>
      <c r="OAT2187" s="594" t="s">
        <v>1232</v>
      </c>
      <c r="OAU2187" s="594" t="s">
        <v>1232</v>
      </c>
      <c r="OAV2187" s="594" t="s">
        <v>1232</v>
      </c>
      <c r="OAW2187" s="594" t="s">
        <v>1232</v>
      </c>
      <c r="OAX2187" s="594" t="s">
        <v>1232</v>
      </c>
      <c r="OAY2187" s="594" t="s">
        <v>1232</v>
      </c>
      <c r="OAZ2187" s="594" t="s">
        <v>1232</v>
      </c>
      <c r="OBA2187" s="594" t="s">
        <v>1232</v>
      </c>
      <c r="OBB2187" s="594" t="s">
        <v>1232</v>
      </c>
      <c r="OBC2187" s="594" t="s">
        <v>1232</v>
      </c>
      <c r="OBD2187" s="594" t="s">
        <v>1232</v>
      </c>
      <c r="OBE2187" s="594" t="s">
        <v>1232</v>
      </c>
      <c r="OBF2187" s="594" t="s">
        <v>1232</v>
      </c>
      <c r="OBG2187" s="594" t="s">
        <v>1232</v>
      </c>
      <c r="OBH2187" s="594" t="s">
        <v>1232</v>
      </c>
      <c r="OBI2187" s="594" t="s">
        <v>1232</v>
      </c>
      <c r="OBJ2187" s="594" t="s">
        <v>1232</v>
      </c>
      <c r="OBK2187" s="594" t="s">
        <v>1232</v>
      </c>
      <c r="OBL2187" s="594" t="s">
        <v>1232</v>
      </c>
      <c r="OBM2187" s="594" t="s">
        <v>1232</v>
      </c>
      <c r="OBN2187" s="594" t="s">
        <v>1232</v>
      </c>
      <c r="OBO2187" s="594" t="s">
        <v>1232</v>
      </c>
      <c r="OBP2187" s="594" t="s">
        <v>1232</v>
      </c>
      <c r="OBQ2187" s="594" t="s">
        <v>1232</v>
      </c>
      <c r="OBR2187" s="594" t="s">
        <v>1232</v>
      </c>
      <c r="OBS2187" s="594" t="s">
        <v>1232</v>
      </c>
      <c r="OBT2187" s="594" t="s">
        <v>1232</v>
      </c>
      <c r="OBU2187" s="594" t="s">
        <v>1232</v>
      </c>
      <c r="OBV2187" s="594" t="s">
        <v>1232</v>
      </c>
      <c r="OBW2187" s="594" t="s">
        <v>1232</v>
      </c>
      <c r="OBX2187" s="594" t="s">
        <v>1232</v>
      </c>
      <c r="OBY2187" s="594" t="s">
        <v>1232</v>
      </c>
      <c r="OBZ2187" s="594" t="s">
        <v>1232</v>
      </c>
      <c r="OCA2187" s="594" t="s">
        <v>1232</v>
      </c>
      <c r="OCB2187" s="594" t="s">
        <v>1232</v>
      </c>
      <c r="OCC2187" s="594" t="s">
        <v>1232</v>
      </c>
      <c r="OCD2187" s="594" t="s">
        <v>1232</v>
      </c>
      <c r="OCE2187" s="594" t="s">
        <v>1232</v>
      </c>
      <c r="OCF2187" s="594" t="s">
        <v>1232</v>
      </c>
      <c r="OCG2187" s="594" t="s">
        <v>1232</v>
      </c>
      <c r="OCH2187" s="594" t="s">
        <v>1232</v>
      </c>
      <c r="OCI2187" s="594" t="s">
        <v>1232</v>
      </c>
      <c r="OCJ2187" s="594" t="s">
        <v>1232</v>
      </c>
      <c r="OCK2187" s="594" t="s">
        <v>1232</v>
      </c>
      <c r="OCL2187" s="594" t="s">
        <v>1232</v>
      </c>
      <c r="OCM2187" s="594" t="s">
        <v>1232</v>
      </c>
      <c r="OCN2187" s="594" t="s">
        <v>1232</v>
      </c>
      <c r="OCO2187" s="594" t="s">
        <v>1232</v>
      </c>
      <c r="OCP2187" s="594" t="s">
        <v>1232</v>
      </c>
      <c r="OCQ2187" s="594" t="s">
        <v>1232</v>
      </c>
      <c r="OCR2187" s="594" t="s">
        <v>1232</v>
      </c>
      <c r="OCS2187" s="594" t="s">
        <v>1232</v>
      </c>
      <c r="OCT2187" s="594" t="s">
        <v>1232</v>
      </c>
      <c r="OCU2187" s="594" t="s">
        <v>1232</v>
      </c>
      <c r="OCV2187" s="594" t="s">
        <v>1232</v>
      </c>
      <c r="OCW2187" s="594" t="s">
        <v>1232</v>
      </c>
      <c r="OCX2187" s="594" t="s">
        <v>1232</v>
      </c>
      <c r="OCY2187" s="594" t="s">
        <v>1232</v>
      </c>
      <c r="OCZ2187" s="594" t="s">
        <v>1232</v>
      </c>
      <c r="ODA2187" s="594" t="s">
        <v>1232</v>
      </c>
      <c r="ODB2187" s="594" t="s">
        <v>1232</v>
      </c>
      <c r="ODC2187" s="594" t="s">
        <v>1232</v>
      </c>
      <c r="ODD2187" s="594" t="s">
        <v>1232</v>
      </c>
      <c r="ODE2187" s="594" t="s">
        <v>1232</v>
      </c>
      <c r="ODF2187" s="594" t="s">
        <v>1232</v>
      </c>
      <c r="ODG2187" s="594" t="s">
        <v>1232</v>
      </c>
      <c r="ODH2187" s="594" t="s">
        <v>1232</v>
      </c>
      <c r="ODI2187" s="594" t="s">
        <v>1232</v>
      </c>
      <c r="ODJ2187" s="594" t="s">
        <v>1232</v>
      </c>
      <c r="ODK2187" s="594" t="s">
        <v>1232</v>
      </c>
      <c r="ODL2187" s="594" t="s">
        <v>1232</v>
      </c>
      <c r="ODM2187" s="594" t="s">
        <v>1232</v>
      </c>
      <c r="ODN2187" s="594" t="s">
        <v>1232</v>
      </c>
      <c r="ODO2187" s="594" t="s">
        <v>1232</v>
      </c>
      <c r="ODP2187" s="594" t="s">
        <v>1232</v>
      </c>
      <c r="ODQ2187" s="594" t="s">
        <v>1232</v>
      </c>
      <c r="ODR2187" s="594" t="s">
        <v>1232</v>
      </c>
      <c r="ODS2187" s="594" t="s">
        <v>1232</v>
      </c>
      <c r="ODT2187" s="594" t="s">
        <v>1232</v>
      </c>
      <c r="ODU2187" s="594" t="s">
        <v>1232</v>
      </c>
      <c r="ODV2187" s="594" t="s">
        <v>1232</v>
      </c>
      <c r="ODW2187" s="594" t="s">
        <v>1232</v>
      </c>
      <c r="ODX2187" s="594" t="s">
        <v>1232</v>
      </c>
      <c r="ODY2187" s="594" t="s">
        <v>1232</v>
      </c>
      <c r="ODZ2187" s="594" t="s">
        <v>1232</v>
      </c>
      <c r="OEA2187" s="594" t="s">
        <v>1232</v>
      </c>
      <c r="OEB2187" s="594" t="s">
        <v>1232</v>
      </c>
      <c r="OEC2187" s="594" t="s">
        <v>1232</v>
      </c>
      <c r="OED2187" s="594" t="s">
        <v>1232</v>
      </c>
      <c r="OEE2187" s="594" t="s">
        <v>1232</v>
      </c>
      <c r="OEF2187" s="594" t="s">
        <v>1232</v>
      </c>
      <c r="OEG2187" s="594" t="s">
        <v>1232</v>
      </c>
      <c r="OEH2187" s="594" t="s">
        <v>1232</v>
      </c>
      <c r="OEI2187" s="594" t="s">
        <v>1232</v>
      </c>
      <c r="OEJ2187" s="594" t="s">
        <v>1232</v>
      </c>
      <c r="OEK2187" s="594" t="s">
        <v>1232</v>
      </c>
      <c r="OEL2187" s="594" t="s">
        <v>1232</v>
      </c>
      <c r="OEM2187" s="594" t="s">
        <v>1232</v>
      </c>
      <c r="OEN2187" s="594" t="s">
        <v>1232</v>
      </c>
      <c r="OEO2187" s="594" t="s">
        <v>1232</v>
      </c>
      <c r="OEP2187" s="594" t="s">
        <v>1232</v>
      </c>
      <c r="OEQ2187" s="594" t="s">
        <v>1232</v>
      </c>
      <c r="OER2187" s="594" t="s">
        <v>1232</v>
      </c>
      <c r="OES2187" s="594" t="s">
        <v>1232</v>
      </c>
      <c r="OET2187" s="594" t="s">
        <v>1232</v>
      </c>
      <c r="OEU2187" s="594" t="s">
        <v>1232</v>
      </c>
      <c r="OEV2187" s="594" t="s">
        <v>1232</v>
      </c>
      <c r="OEW2187" s="594" t="s">
        <v>1232</v>
      </c>
      <c r="OEX2187" s="594" t="s">
        <v>1232</v>
      </c>
      <c r="OEY2187" s="594" t="s">
        <v>1232</v>
      </c>
      <c r="OEZ2187" s="594" t="s">
        <v>1232</v>
      </c>
      <c r="OFA2187" s="594" t="s">
        <v>1232</v>
      </c>
      <c r="OFB2187" s="594" t="s">
        <v>1232</v>
      </c>
      <c r="OFC2187" s="594" t="s">
        <v>1232</v>
      </c>
      <c r="OFD2187" s="594" t="s">
        <v>1232</v>
      </c>
      <c r="OFE2187" s="594" t="s">
        <v>1232</v>
      </c>
      <c r="OFF2187" s="594" t="s">
        <v>1232</v>
      </c>
      <c r="OFG2187" s="594" t="s">
        <v>1232</v>
      </c>
      <c r="OFH2187" s="594" t="s">
        <v>1232</v>
      </c>
      <c r="OFI2187" s="594" t="s">
        <v>1232</v>
      </c>
      <c r="OFJ2187" s="594" t="s">
        <v>1232</v>
      </c>
      <c r="OFK2187" s="594" t="s">
        <v>1232</v>
      </c>
      <c r="OFL2187" s="594" t="s">
        <v>1232</v>
      </c>
      <c r="OFM2187" s="594" t="s">
        <v>1232</v>
      </c>
      <c r="OFN2187" s="594" t="s">
        <v>1232</v>
      </c>
      <c r="OFO2187" s="594" t="s">
        <v>1232</v>
      </c>
      <c r="OFP2187" s="594" t="s">
        <v>1232</v>
      </c>
      <c r="OFQ2187" s="594" t="s">
        <v>1232</v>
      </c>
      <c r="OFR2187" s="594" t="s">
        <v>1232</v>
      </c>
      <c r="OFS2187" s="594" t="s">
        <v>1232</v>
      </c>
      <c r="OFT2187" s="594" t="s">
        <v>1232</v>
      </c>
      <c r="OFU2187" s="594" t="s">
        <v>1232</v>
      </c>
      <c r="OFV2187" s="594" t="s">
        <v>1232</v>
      </c>
      <c r="OFW2187" s="594" t="s">
        <v>1232</v>
      </c>
      <c r="OFX2187" s="594" t="s">
        <v>1232</v>
      </c>
      <c r="OFY2187" s="594" t="s">
        <v>1232</v>
      </c>
      <c r="OFZ2187" s="594" t="s">
        <v>1232</v>
      </c>
      <c r="OGA2187" s="594" t="s">
        <v>1232</v>
      </c>
      <c r="OGB2187" s="594" t="s">
        <v>1232</v>
      </c>
      <c r="OGC2187" s="594" t="s">
        <v>1232</v>
      </c>
      <c r="OGD2187" s="594" t="s">
        <v>1232</v>
      </c>
      <c r="OGE2187" s="594" t="s">
        <v>1232</v>
      </c>
      <c r="OGF2187" s="594" t="s">
        <v>1232</v>
      </c>
      <c r="OGG2187" s="594" t="s">
        <v>1232</v>
      </c>
      <c r="OGH2187" s="594" t="s">
        <v>1232</v>
      </c>
      <c r="OGI2187" s="594" t="s">
        <v>1232</v>
      </c>
      <c r="OGJ2187" s="594" t="s">
        <v>1232</v>
      </c>
      <c r="OGK2187" s="594" t="s">
        <v>1232</v>
      </c>
      <c r="OGL2187" s="594" t="s">
        <v>1232</v>
      </c>
      <c r="OGM2187" s="594" t="s">
        <v>1232</v>
      </c>
      <c r="OGN2187" s="594" t="s">
        <v>1232</v>
      </c>
      <c r="OGO2187" s="594" t="s">
        <v>1232</v>
      </c>
      <c r="OGP2187" s="594" t="s">
        <v>1232</v>
      </c>
      <c r="OGQ2187" s="594" t="s">
        <v>1232</v>
      </c>
      <c r="OGR2187" s="594" t="s">
        <v>1232</v>
      </c>
      <c r="OGS2187" s="594" t="s">
        <v>1232</v>
      </c>
      <c r="OGT2187" s="594" t="s">
        <v>1232</v>
      </c>
      <c r="OGU2187" s="594" t="s">
        <v>1232</v>
      </c>
      <c r="OGV2187" s="594" t="s">
        <v>1232</v>
      </c>
      <c r="OGW2187" s="594" t="s">
        <v>1232</v>
      </c>
      <c r="OGX2187" s="594" t="s">
        <v>1232</v>
      </c>
      <c r="OGY2187" s="594" t="s">
        <v>1232</v>
      </c>
      <c r="OGZ2187" s="594" t="s">
        <v>1232</v>
      </c>
      <c r="OHA2187" s="594" t="s">
        <v>1232</v>
      </c>
      <c r="OHB2187" s="594" t="s">
        <v>1232</v>
      </c>
      <c r="OHC2187" s="594" t="s">
        <v>1232</v>
      </c>
      <c r="OHD2187" s="594" t="s">
        <v>1232</v>
      </c>
      <c r="OHE2187" s="594" t="s">
        <v>1232</v>
      </c>
      <c r="OHF2187" s="594" t="s">
        <v>1232</v>
      </c>
      <c r="OHG2187" s="594" t="s">
        <v>1232</v>
      </c>
      <c r="OHH2187" s="594" t="s">
        <v>1232</v>
      </c>
      <c r="OHI2187" s="594" t="s">
        <v>1232</v>
      </c>
      <c r="OHJ2187" s="594" t="s">
        <v>1232</v>
      </c>
      <c r="OHK2187" s="594" t="s">
        <v>1232</v>
      </c>
      <c r="OHL2187" s="594" t="s">
        <v>1232</v>
      </c>
      <c r="OHM2187" s="594" t="s">
        <v>1232</v>
      </c>
      <c r="OHN2187" s="594" t="s">
        <v>1232</v>
      </c>
      <c r="OHO2187" s="594" t="s">
        <v>1232</v>
      </c>
      <c r="OHP2187" s="594" t="s">
        <v>1232</v>
      </c>
      <c r="OHQ2187" s="594" t="s">
        <v>1232</v>
      </c>
      <c r="OHR2187" s="594" t="s">
        <v>1232</v>
      </c>
      <c r="OHS2187" s="594" t="s">
        <v>1232</v>
      </c>
      <c r="OHT2187" s="594" t="s">
        <v>1232</v>
      </c>
      <c r="OHU2187" s="594" t="s">
        <v>1232</v>
      </c>
      <c r="OHV2187" s="594" t="s">
        <v>1232</v>
      </c>
      <c r="OHW2187" s="594" t="s">
        <v>1232</v>
      </c>
      <c r="OHX2187" s="594" t="s">
        <v>1232</v>
      </c>
      <c r="OHY2187" s="594" t="s">
        <v>1232</v>
      </c>
      <c r="OHZ2187" s="594" t="s">
        <v>1232</v>
      </c>
      <c r="OIA2187" s="594" t="s">
        <v>1232</v>
      </c>
      <c r="OIB2187" s="594" t="s">
        <v>1232</v>
      </c>
      <c r="OIC2187" s="594" t="s">
        <v>1232</v>
      </c>
      <c r="OID2187" s="594" t="s">
        <v>1232</v>
      </c>
      <c r="OIE2187" s="594" t="s">
        <v>1232</v>
      </c>
      <c r="OIF2187" s="594" t="s">
        <v>1232</v>
      </c>
      <c r="OIG2187" s="594" t="s">
        <v>1232</v>
      </c>
      <c r="OIH2187" s="594" t="s">
        <v>1232</v>
      </c>
      <c r="OII2187" s="594" t="s">
        <v>1232</v>
      </c>
      <c r="OIJ2187" s="594" t="s">
        <v>1232</v>
      </c>
      <c r="OIK2187" s="594" t="s">
        <v>1232</v>
      </c>
      <c r="OIL2187" s="594" t="s">
        <v>1232</v>
      </c>
      <c r="OIM2187" s="594" t="s">
        <v>1232</v>
      </c>
      <c r="OIN2187" s="594" t="s">
        <v>1232</v>
      </c>
      <c r="OIO2187" s="594" t="s">
        <v>1232</v>
      </c>
      <c r="OIP2187" s="594" t="s">
        <v>1232</v>
      </c>
      <c r="OIQ2187" s="594" t="s">
        <v>1232</v>
      </c>
      <c r="OIR2187" s="594" t="s">
        <v>1232</v>
      </c>
      <c r="OIS2187" s="594" t="s">
        <v>1232</v>
      </c>
      <c r="OIT2187" s="594" t="s">
        <v>1232</v>
      </c>
      <c r="OIU2187" s="594" t="s">
        <v>1232</v>
      </c>
      <c r="OIV2187" s="594" t="s">
        <v>1232</v>
      </c>
      <c r="OIW2187" s="594" t="s">
        <v>1232</v>
      </c>
      <c r="OIX2187" s="594" t="s">
        <v>1232</v>
      </c>
      <c r="OIY2187" s="594" t="s">
        <v>1232</v>
      </c>
      <c r="OIZ2187" s="594" t="s">
        <v>1232</v>
      </c>
      <c r="OJA2187" s="594" t="s">
        <v>1232</v>
      </c>
      <c r="OJB2187" s="594" t="s">
        <v>1232</v>
      </c>
      <c r="OJC2187" s="594" t="s">
        <v>1232</v>
      </c>
      <c r="OJD2187" s="594" t="s">
        <v>1232</v>
      </c>
      <c r="OJE2187" s="594" t="s">
        <v>1232</v>
      </c>
      <c r="OJF2187" s="594" t="s">
        <v>1232</v>
      </c>
      <c r="OJG2187" s="594" t="s">
        <v>1232</v>
      </c>
      <c r="OJH2187" s="594" t="s">
        <v>1232</v>
      </c>
      <c r="OJI2187" s="594" t="s">
        <v>1232</v>
      </c>
      <c r="OJJ2187" s="594" t="s">
        <v>1232</v>
      </c>
      <c r="OJK2187" s="594" t="s">
        <v>1232</v>
      </c>
      <c r="OJL2187" s="594" t="s">
        <v>1232</v>
      </c>
      <c r="OJM2187" s="594" t="s">
        <v>1232</v>
      </c>
      <c r="OJN2187" s="594" t="s">
        <v>1232</v>
      </c>
      <c r="OJO2187" s="594" t="s">
        <v>1232</v>
      </c>
      <c r="OJP2187" s="594" t="s">
        <v>1232</v>
      </c>
      <c r="OJQ2187" s="594" t="s">
        <v>1232</v>
      </c>
      <c r="OJR2187" s="594" t="s">
        <v>1232</v>
      </c>
      <c r="OJS2187" s="594" t="s">
        <v>1232</v>
      </c>
      <c r="OJT2187" s="594" t="s">
        <v>1232</v>
      </c>
      <c r="OJU2187" s="594" t="s">
        <v>1232</v>
      </c>
      <c r="OJV2187" s="594" t="s">
        <v>1232</v>
      </c>
      <c r="OJW2187" s="594" t="s">
        <v>1232</v>
      </c>
      <c r="OJX2187" s="594" t="s">
        <v>1232</v>
      </c>
      <c r="OJY2187" s="594" t="s">
        <v>1232</v>
      </c>
      <c r="OJZ2187" s="594" t="s">
        <v>1232</v>
      </c>
      <c r="OKA2187" s="594" t="s">
        <v>1232</v>
      </c>
      <c r="OKB2187" s="594" t="s">
        <v>1232</v>
      </c>
      <c r="OKC2187" s="594" t="s">
        <v>1232</v>
      </c>
      <c r="OKD2187" s="594" t="s">
        <v>1232</v>
      </c>
      <c r="OKE2187" s="594" t="s">
        <v>1232</v>
      </c>
      <c r="OKF2187" s="594" t="s">
        <v>1232</v>
      </c>
      <c r="OKG2187" s="594" t="s">
        <v>1232</v>
      </c>
      <c r="OKH2187" s="594" t="s">
        <v>1232</v>
      </c>
      <c r="OKI2187" s="594" t="s">
        <v>1232</v>
      </c>
      <c r="OKJ2187" s="594" t="s">
        <v>1232</v>
      </c>
      <c r="OKK2187" s="594" t="s">
        <v>1232</v>
      </c>
      <c r="OKL2187" s="594" t="s">
        <v>1232</v>
      </c>
      <c r="OKM2187" s="594" t="s">
        <v>1232</v>
      </c>
      <c r="OKN2187" s="594" t="s">
        <v>1232</v>
      </c>
      <c r="OKO2187" s="594" t="s">
        <v>1232</v>
      </c>
      <c r="OKP2187" s="594" t="s">
        <v>1232</v>
      </c>
      <c r="OKQ2187" s="594" t="s">
        <v>1232</v>
      </c>
      <c r="OKR2187" s="594" t="s">
        <v>1232</v>
      </c>
      <c r="OKS2187" s="594" t="s">
        <v>1232</v>
      </c>
      <c r="OKT2187" s="594" t="s">
        <v>1232</v>
      </c>
      <c r="OKU2187" s="594" t="s">
        <v>1232</v>
      </c>
      <c r="OKV2187" s="594" t="s">
        <v>1232</v>
      </c>
      <c r="OKW2187" s="594" t="s">
        <v>1232</v>
      </c>
      <c r="OKX2187" s="594" t="s">
        <v>1232</v>
      </c>
      <c r="OKY2187" s="594" t="s">
        <v>1232</v>
      </c>
      <c r="OKZ2187" s="594" t="s">
        <v>1232</v>
      </c>
      <c r="OLA2187" s="594" t="s">
        <v>1232</v>
      </c>
      <c r="OLB2187" s="594" t="s">
        <v>1232</v>
      </c>
      <c r="OLC2187" s="594" t="s">
        <v>1232</v>
      </c>
      <c r="OLD2187" s="594" t="s">
        <v>1232</v>
      </c>
      <c r="OLE2187" s="594" t="s">
        <v>1232</v>
      </c>
      <c r="OLF2187" s="594" t="s">
        <v>1232</v>
      </c>
      <c r="OLG2187" s="594" t="s">
        <v>1232</v>
      </c>
      <c r="OLH2187" s="594" t="s">
        <v>1232</v>
      </c>
      <c r="OLI2187" s="594" t="s">
        <v>1232</v>
      </c>
      <c r="OLJ2187" s="594" t="s">
        <v>1232</v>
      </c>
      <c r="OLK2187" s="594" t="s">
        <v>1232</v>
      </c>
      <c r="OLL2187" s="594" t="s">
        <v>1232</v>
      </c>
      <c r="OLM2187" s="594" t="s">
        <v>1232</v>
      </c>
      <c r="OLN2187" s="594" t="s">
        <v>1232</v>
      </c>
      <c r="OLO2187" s="594" t="s">
        <v>1232</v>
      </c>
      <c r="OLP2187" s="594" t="s">
        <v>1232</v>
      </c>
      <c r="OLQ2187" s="594" t="s">
        <v>1232</v>
      </c>
      <c r="OLR2187" s="594" t="s">
        <v>1232</v>
      </c>
      <c r="OLS2187" s="594" t="s">
        <v>1232</v>
      </c>
      <c r="OLT2187" s="594" t="s">
        <v>1232</v>
      </c>
      <c r="OLU2187" s="594" t="s">
        <v>1232</v>
      </c>
      <c r="OLV2187" s="594" t="s">
        <v>1232</v>
      </c>
      <c r="OLW2187" s="594" t="s">
        <v>1232</v>
      </c>
      <c r="OLX2187" s="594" t="s">
        <v>1232</v>
      </c>
      <c r="OLY2187" s="594" t="s">
        <v>1232</v>
      </c>
      <c r="OLZ2187" s="594" t="s">
        <v>1232</v>
      </c>
      <c r="OMA2187" s="594" t="s">
        <v>1232</v>
      </c>
      <c r="OMB2187" s="594" t="s">
        <v>1232</v>
      </c>
      <c r="OMC2187" s="594" t="s">
        <v>1232</v>
      </c>
      <c r="OMD2187" s="594" t="s">
        <v>1232</v>
      </c>
      <c r="OME2187" s="594" t="s">
        <v>1232</v>
      </c>
      <c r="OMF2187" s="594" t="s">
        <v>1232</v>
      </c>
      <c r="OMG2187" s="594" t="s">
        <v>1232</v>
      </c>
      <c r="OMH2187" s="594" t="s">
        <v>1232</v>
      </c>
      <c r="OMI2187" s="594" t="s">
        <v>1232</v>
      </c>
      <c r="OMJ2187" s="594" t="s">
        <v>1232</v>
      </c>
      <c r="OMK2187" s="594" t="s">
        <v>1232</v>
      </c>
      <c r="OML2187" s="594" t="s">
        <v>1232</v>
      </c>
      <c r="OMM2187" s="594" t="s">
        <v>1232</v>
      </c>
      <c r="OMN2187" s="594" t="s">
        <v>1232</v>
      </c>
      <c r="OMO2187" s="594" t="s">
        <v>1232</v>
      </c>
      <c r="OMP2187" s="594" t="s">
        <v>1232</v>
      </c>
      <c r="OMQ2187" s="594" t="s">
        <v>1232</v>
      </c>
      <c r="OMR2187" s="594" t="s">
        <v>1232</v>
      </c>
      <c r="OMS2187" s="594" t="s">
        <v>1232</v>
      </c>
      <c r="OMT2187" s="594" t="s">
        <v>1232</v>
      </c>
      <c r="OMU2187" s="594" t="s">
        <v>1232</v>
      </c>
      <c r="OMV2187" s="594" t="s">
        <v>1232</v>
      </c>
      <c r="OMW2187" s="594" t="s">
        <v>1232</v>
      </c>
      <c r="OMX2187" s="594" t="s">
        <v>1232</v>
      </c>
      <c r="OMY2187" s="594" t="s">
        <v>1232</v>
      </c>
      <c r="OMZ2187" s="594" t="s">
        <v>1232</v>
      </c>
      <c r="ONA2187" s="594" t="s">
        <v>1232</v>
      </c>
      <c r="ONB2187" s="594" t="s">
        <v>1232</v>
      </c>
      <c r="ONC2187" s="594" t="s">
        <v>1232</v>
      </c>
      <c r="OND2187" s="594" t="s">
        <v>1232</v>
      </c>
      <c r="ONE2187" s="594" t="s">
        <v>1232</v>
      </c>
      <c r="ONF2187" s="594" t="s">
        <v>1232</v>
      </c>
      <c r="ONG2187" s="594" t="s">
        <v>1232</v>
      </c>
      <c r="ONH2187" s="594" t="s">
        <v>1232</v>
      </c>
      <c r="ONI2187" s="594" t="s">
        <v>1232</v>
      </c>
      <c r="ONJ2187" s="594" t="s">
        <v>1232</v>
      </c>
      <c r="ONK2187" s="594" t="s">
        <v>1232</v>
      </c>
      <c r="ONL2187" s="594" t="s">
        <v>1232</v>
      </c>
      <c r="ONM2187" s="594" t="s">
        <v>1232</v>
      </c>
      <c r="ONN2187" s="594" t="s">
        <v>1232</v>
      </c>
      <c r="ONO2187" s="594" t="s">
        <v>1232</v>
      </c>
      <c r="ONP2187" s="594" t="s">
        <v>1232</v>
      </c>
      <c r="ONQ2187" s="594" t="s">
        <v>1232</v>
      </c>
      <c r="ONR2187" s="594" t="s">
        <v>1232</v>
      </c>
      <c r="ONS2187" s="594" t="s">
        <v>1232</v>
      </c>
      <c r="ONT2187" s="594" t="s">
        <v>1232</v>
      </c>
      <c r="ONU2187" s="594" t="s">
        <v>1232</v>
      </c>
      <c r="ONV2187" s="594" t="s">
        <v>1232</v>
      </c>
      <c r="ONW2187" s="594" t="s">
        <v>1232</v>
      </c>
      <c r="ONX2187" s="594" t="s">
        <v>1232</v>
      </c>
      <c r="ONY2187" s="594" t="s">
        <v>1232</v>
      </c>
      <c r="ONZ2187" s="594" t="s">
        <v>1232</v>
      </c>
      <c r="OOA2187" s="594" t="s">
        <v>1232</v>
      </c>
      <c r="OOB2187" s="594" t="s">
        <v>1232</v>
      </c>
      <c r="OOC2187" s="594" t="s">
        <v>1232</v>
      </c>
      <c r="OOD2187" s="594" t="s">
        <v>1232</v>
      </c>
      <c r="OOE2187" s="594" t="s">
        <v>1232</v>
      </c>
      <c r="OOF2187" s="594" t="s">
        <v>1232</v>
      </c>
      <c r="OOG2187" s="594" t="s">
        <v>1232</v>
      </c>
      <c r="OOH2187" s="594" t="s">
        <v>1232</v>
      </c>
      <c r="OOI2187" s="594" t="s">
        <v>1232</v>
      </c>
      <c r="OOJ2187" s="594" t="s">
        <v>1232</v>
      </c>
      <c r="OOK2187" s="594" t="s">
        <v>1232</v>
      </c>
      <c r="OOL2187" s="594" t="s">
        <v>1232</v>
      </c>
      <c r="OOM2187" s="594" t="s">
        <v>1232</v>
      </c>
      <c r="OON2187" s="594" t="s">
        <v>1232</v>
      </c>
      <c r="OOO2187" s="594" t="s">
        <v>1232</v>
      </c>
      <c r="OOP2187" s="594" t="s">
        <v>1232</v>
      </c>
      <c r="OOQ2187" s="594" t="s">
        <v>1232</v>
      </c>
      <c r="OOR2187" s="594" t="s">
        <v>1232</v>
      </c>
      <c r="OOS2187" s="594" t="s">
        <v>1232</v>
      </c>
      <c r="OOT2187" s="594" t="s">
        <v>1232</v>
      </c>
      <c r="OOU2187" s="594" t="s">
        <v>1232</v>
      </c>
      <c r="OOV2187" s="594" t="s">
        <v>1232</v>
      </c>
      <c r="OOW2187" s="594" t="s">
        <v>1232</v>
      </c>
      <c r="OOX2187" s="594" t="s">
        <v>1232</v>
      </c>
      <c r="OOY2187" s="594" t="s">
        <v>1232</v>
      </c>
      <c r="OOZ2187" s="594" t="s">
        <v>1232</v>
      </c>
      <c r="OPA2187" s="594" t="s">
        <v>1232</v>
      </c>
      <c r="OPB2187" s="594" t="s">
        <v>1232</v>
      </c>
      <c r="OPC2187" s="594" t="s">
        <v>1232</v>
      </c>
      <c r="OPD2187" s="594" t="s">
        <v>1232</v>
      </c>
      <c r="OPE2187" s="594" t="s">
        <v>1232</v>
      </c>
      <c r="OPF2187" s="594" t="s">
        <v>1232</v>
      </c>
      <c r="OPG2187" s="594" t="s">
        <v>1232</v>
      </c>
      <c r="OPH2187" s="594" t="s">
        <v>1232</v>
      </c>
      <c r="OPI2187" s="594" t="s">
        <v>1232</v>
      </c>
      <c r="OPJ2187" s="594" t="s">
        <v>1232</v>
      </c>
      <c r="OPK2187" s="594" t="s">
        <v>1232</v>
      </c>
      <c r="OPL2187" s="594" t="s">
        <v>1232</v>
      </c>
      <c r="OPM2187" s="594" t="s">
        <v>1232</v>
      </c>
      <c r="OPN2187" s="594" t="s">
        <v>1232</v>
      </c>
      <c r="OPO2187" s="594" t="s">
        <v>1232</v>
      </c>
      <c r="OPP2187" s="594" t="s">
        <v>1232</v>
      </c>
      <c r="OPQ2187" s="594" t="s">
        <v>1232</v>
      </c>
      <c r="OPR2187" s="594" t="s">
        <v>1232</v>
      </c>
      <c r="OPS2187" s="594" t="s">
        <v>1232</v>
      </c>
      <c r="OPT2187" s="594" t="s">
        <v>1232</v>
      </c>
      <c r="OPU2187" s="594" t="s">
        <v>1232</v>
      </c>
      <c r="OPV2187" s="594" t="s">
        <v>1232</v>
      </c>
      <c r="OPW2187" s="594" t="s">
        <v>1232</v>
      </c>
      <c r="OPX2187" s="594" t="s">
        <v>1232</v>
      </c>
      <c r="OPY2187" s="594" t="s">
        <v>1232</v>
      </c>
      <c r="OPZ2187" s="594" t="s">
        <v>1232</v>
      </c>
      <c r="OQA2187" s="594" t="s">
        <v>1232</v>
      </c>
      <c r="OQB2187" s="594" t="s">
        <v>1232</v>
      </c>
      <c r="OQC2187" s="594" t="s">
        <v>1232</v>
      </c>
      <c r="OQD2187" s="594" t="s">
        <v>1232</v>
      </c>
      <c r="OQE2187" s="594" t="s">
        <v>1232</v>
      </c>
      <c r="OQF2187" s="594" t="s">
        <v>1232</v>
      </c>
      <c r="OQG2187" s="594" t="s">
        <v>1232</v>
      </c>
      <c r="OQH2187" s="594" t="s">
        <v>1232</v>
      </c>
      <c r="OQI2187" s="594" t="s">
        <v>1232</v>
      </c>
      <c r="OQJ2187" s="594" t="s">
        <v>1232</v>
      </c>
      <c r="OQK2187" s="594" t="s">
        <v>1232</v>
      </c>
      <c r="OQL2187" s="594" t="s">
        <v>1232</v>
      </c>
      <c r="OQM2187" s="594" t="s">
        <v>1232</v>
      </c>
      <c r="OQN2187" s="594" t="s">
        <v>1232</v>
      </c>
      <c r="OQO2187" s="594" t="s">
        <v>1232</v>
      </c>
      <c r="OQP2187" s="594" t="s">
        <v>1232</v>
      </c>
      <c r="OQQ2187" s="594" t="s">
        <v>1232</v>
      </c>
      <c r="OQR2187" s="594" t="s">
        <v>1232</v>
      </c>
      <c r="OQS2187" s="594" t="s">
        <v>1232</v>
      </c>
      <c r="OQT2187" s="594" t="s">
        <v>1232</v>
      </c>
      <c r="OQU2187" s="594" t="s">
        <v>1232</v>
      </c>
      <c r="OQV2187" s="594" t="s">
        <v>1232</v>
      </c>
      <c r="OQW2187" s="594" t="s">
        <v>1232</v>
      </c>
      <c r="OQX2187" s="594" t="s">
        <v>1232</v>
      </c>
      <c r="OQY2187" s="594" t="s">
        <v>1232</v>
      </c>
      <c r="OQZ2187" s="594" t="s">
        <v>1232</v>
      </c>
      <c r="ORA2187" s="594" t="s">
        <v>1232</v>
      </c>
      <c r="ORB2187" s="594" t="s">
        <v>1232</v>
      </c>
      <c r="ORC2187" s="594" t="s">
        <v>1232</v>
      </c>
      <c r="ORD2187" s="594" t="s">
        <v>1232</v>
      </c>
      <c r="ORE2187" s="594" t="s">
        <v>1232</v>
      </c>
      <c r="ORF2187" s="594" t="s">
        <v>1232</v>
      </c>
      <c r="ORG2187" s="594" t="s">
        <v>1232</v>
      </c>
      <c r="ORH2187" s="594" t="s">
        <v>1232</v>
      </c>
      <c r="ORI2187" s="594" t="s">
        <v>1232</v>
      </c>
      <c r="ORJ2187" s="594" t="s">
        <v>1232</v>
      </c>
      <c r="ORK2187" s="594" t="s">
        <v>1232</v>
      </c>
      <c r="ORL2187" s="594" t="s">
        <v>1232</v>
      </c>
      <c r="ORM2187" s="594" t="s">
        <v>1232</v>
      </c>
      <c r="ORN2187" s="594" t="s">
        <v>1232</v>
      </c>
      <c r="ORO2187" s="594" t="s">
        <v>1232</v>
      </c>
      <c r="ORP2187" s="594" t="s">
        <v>1232</v>
      </c>
      <c r="ORQ2187" s="594" t="s">
        <v>1232</v>
      </c>
      <c r="ORR2187" s="594" t="s">
        <v>1232</v>
      </c>
      <c r="ORS2187" s="594" t="s">
        <v>1232</v>
      </c>
      <c r="ORT2187" s="594" t="s">
        <v>1232</v>
      </c>
      <c r="ORU2187" s="594" t="s">
        <v>1232</v>
      </c>
      <c r="ORV2187" s="594" t="s">
        <v>1232</v>
      </c>
      <c r="ORW2187" s="594" t="s">
        <v>1232</v>
      </c>
      <c r="ORX2187" s="594" t="s">
        <v>1232</v>
      </c>
      <c r="ORY2187" s="594" t="s">
        <v>1232</v>
      </c>
      <c r="ORZ2187" s="594" t="s">
        <v>1232</v>
      </c>
      <c r="OSA2187" s="594" t="s">
        <v>1232</v>
      </c>
      <c r="OSB2187" s="594" t="s">
        <v>1232</v>
      </c>
      <c r="OSC2187" s="594" t="s">
        <v>1232</v>
      </c>
      <c r="OSD2187" s="594" t="s">
        <v>1232</v>
      </c>
      <c r="OSE2187" s="594" t="s">
        <v>1232</v>
      </c>
      <c r="OSF2187" s="594" t="s">
        <v>1232</v>
      </c>
      <c r="OSG2187" s="594" t="s">
        <v>1232</v>
      </c>
      <c r="OSH2187" s="594" t="s">
        <v>1232</v>
      </c>
      <c r="OSI2187" s="594" t="s">
        <v>1232</v>
      </c>
      <c r="OSJ2187" s="594" t="s">
        <v>1232</v>
      </c>
      <c r="OSK2187" s="594" t="s">
        <v>1232</v>
      </c>
      <c r="OSL2187" s="594" t="s">
        <v>1232</v>
      </c>
      <c r="OSM2187" s="594" t="s">
        <v>1232</v>
      </c>
      <c r="OSN2187" s="594" t="s">
        <v>1232</v>
      </c>
      <c r="OSO2187" s="594" t="s">
        <v>1232</v>
      </c>
      <c r="OSP2187" s="594" t="s">
        <v>1232</v>
      </c>
      <c r="OSQ2187" s="594" t="s">
        <v>1232</v>
      </c>
      <c r="OSR2187" s="594" t="s">
        <v>1232</v>
      </c>
      <c r="OSS2187" s="594" t="s">
        <v>1232</v>
      </c>
      <c r="OST2187" s="594" t="s">
        <v>1232</v>
      </c>
      <c r="OSU2187" s="594" t="s">
        <v>1232</v>
      </c>
      <c r="OSV2187" s="594" t="s">
        <v>1232</v>
      </c>
      <c r="OSW2187" s="594" t="s">
        <v>1232</v>
      </c>
      <c r="OSX2187" s="594" t="s">
        <v>1232</v>
      </c>
      <c r="OSY2187" s="594" t="s">
        <v>1232</v>
      </c>
      <c r="OSZ2187" s="594" t="s">
        <v>1232</v>
      </c>
      <c r="OTA2187" s="594" t="s">
        <v>1232</v>
      </c>
      <c r="OTB2187" s="594" t="s">
        <v>1232</v>
      </c>
      <c r="OTC2187" s="594" t="s">
        <v>1232</v>
      </c>
      <c r="OTD2187" s="594" t="s">
        <v>1232</v>
      </c>
      <c r="OTE2187" s="594" t="s">
        <v>1232</v>
      </c>
      <c r="OTF2187" s="594" t="s">
        <v>1232</v>
      </c>
      <c r="OTG2187" s="594" t="s">
        <v>1232</v>
      </c>
      <c r="OTH2187" s="594" t="s">
        <v>1232</v>
      </c>
      <c r="OTI2187" s="594" t="s">
        <v>1232</v>
      </c>
      <c r="OTJ2187" s="594" t="s">
        <v>1232</v>
      </c>
      <c r="OTK2187" s="594" t="s">
        <v>1232</v>
      </c>
      <c r="OTL2187" s="594" t="s">
        <v>1232</v>
      </c>
      <c r="OTM2187" s="594" t="s">
        <v>1232</v>
      </c>
      <c r="OTN2187" s="594" t="s">
        <v>1232</v>
      </c>
      <c r="OTO2187" s="594" t="s">
        <v>1232</v>
      </c>
      <c r="OTP2187" s="594" t="s">
        <v>1232</v>
      </c>
      <c r="OTQ2187" s="594" t="s">
        <v>1232</v>
      </c>
      <c r="OTR2187" s="594" t="s">
        <v>1232</v>
      </c>
      <c r="OTS2187" s="594" t="s">
        <v>1232</v>
      </c>
      <c r="OTT2187" s="594" t="s">
        <v>1232</v>
      </c>
      <c r="OTU2187" s="594" t="s">
        <v>1232</v>
      </c>
      <c r="OTV2187" s="594" t="s">
        <v>1232</v>
      </c>
      <c r="OTW2187" s="594" t="s">
        <v>1232</v>
      </c>
      <c r="OTX2187" s="594" t="s">
        <v>1232</v>
      </c>
      <c r="OTY2187" s="594" t="s">
        <v>1232</v>
      </c>
      <c r="OTZ2187" s="594" t="s">
        <v>1232</v>
      </c>
      <c r="OUA2187" s="594" t="s">
        <v>1232</v>
      </c>
      <c r="OUB2187" s="594" t="s">
        <v>1232</v>
      </c>
      <c r="OUC2187" s="594" t="s">
        <v>1232</v>
      </c>
      <c r="OUD2187" s="594" t="s">
        <v>1232</v>
      </c>
      <c r="OUE2187" s="594" t="s">
        <v>1232</v>
      </c>
      <c r="OUF2187" s="594" t="s">
        <v>1232</v>
      </c>
      <c r="OUG2187" s="594" t="s">
        <v>1232</v>
      </c>
      <c r="OUH2187" s="594" t="s">
        <v>1232</v>
      </c>
      <c r="OUI2187" s="594" t="s">
        <v>1232</v>
      </c>
      <c r="OUJ2187" s="594" t="s">
        <v>1232</v>
      </c>
      <c r="OUK2187" s="594" t="s">
        <v>1232</v>
      </c>
      <c r="OUL2187" s="594" t="s">
        <v>1232</v>
      </c>
      <c r="OUM2187" s="594" t="s">
        <v>1232</v>
      </c>
      <c r="OUN2187" s="594" t="s">
        <v>1232</v>
      </c>
      <c r="OUO2187" s="594" t="s">
        <v>1232</v>
      </c>
      <c r="OUP2187" s="594" t="s">
        <v>1232</v>
      </c>
      <c r="OUQ2187" s="594" t="s">
        <v>1232</v>
      </c>
      <c r="OUR2187" s="594" t="s">
        <v>1232</v>
      </c>
      <c r="OUS2187" s="594" t="s">
        <v>1232</v>
      </c>
      <c r="OUT2187" s="594" t="s">
        <v>1232</v>
      </c>
      <c r="OUU2187" s="594" t="s">
        <v>1232</v>
      </c>
      <c r="OUV2187" s="594" t="s">
        <v>1232</v>
      </c>
      <c r="OUW2187" s="594" t="s">
        <v>1232</v>
      </c>
      <c r="OUX2187" s="594" t="s">
        <v>1232</v>
      </c>
      <c r="OUY2187" s="594" t="s">
        <v>1232</v>
      </c>
      <c r="OUZ2187" s="594" t="s">
        <v>1232</v>
      </c>
      <c r="OVA2187" s="594" t="s">
        <v>1232</v>
      </c>
      <c r="OVB2187" s="594" t="s">
        <v>1232</v>
      </c>
      <c r="OVC2187" s="594" t="s">
        <v>1232</v>
      </c>
      <c r="OVD2187" s="594" t="s">
        <v>1232</v>
      </c>
      <c r="OVE2187" s="594" t="s">
        <v>1232</v>
      </c>
      <c r="OVF2187" s="594" t="s">
        <v>1232</v>
      </c>
      <c r="OVG2187" s="594" t="s">
        <v>1232</v>
      </c>
      <c r="OVH2187" s="594" t="s">
        <v>1232</v>
      </c>
      <c r="OVI2187" s="594" t="s">
        <v>1232</v>
      </c>
      <c r="OVJ2187" s="594" t="s">
        <v>1232</v>
      </c>
      <c r="OVK2187" s="594" t="s">
        <v>1232</v>
      </c>
      <c r="OVL2187" s="594" t="s">
        <v>1232</v>
      </c>
      <c r="OVM2187" s="594" t="s">
        <v>1232</v>
      </c>
      <c r="OVN2187" s="594" t="s">
        <v>1232</v>
      </c>
      <c r="OVO2187" s="594" t="s">
        <v>1232</v>
      </c>
      <c r="OVP2187" s="594" t="s">
        <v>1232</v>
      </c>
      <c r="OVQ2187" s="594" t="s">
        <v>1232</v>
      </c>
      <c r="OVR2187" s="594" t="s">
        <v>1232</v>
      </c>
      <c r="OVS2187" s="594" t="s">
        <v>1232</v>
      </c>
      <c r="OVT2187" s="594" t="s">
        <v>1232</v>
      </c>
      <c r="OVU2187" s="594" t="s">
        <v>1232</v>
      </c>
      <c r="OVV2187" s="594" t="s">
        <v>1232</v>
      </c>
      <c r="OVW2187" s="594" t="s">
        <v>1232</v>
      </c>
      <c r="OVX2187" s="594" t="s">
        <v>1232</v>
      </c>
      <c r="OVY2187" s="594" t="s">
        <v>1232</v>
      </c>
      <c r="OVZ2187" s="594" t="s">
        <v>1232</v>
      </c>
      <c r="OWA2187" s="594" t="s">
        <v>1232</v>
      </c>
      <c r="OWB2187" s="594" t="s">
        <v>1232</v>
      </c>
      <c r="OWC2187" s="594" t="s">
        <v>1232</v>
      </c>
      <c r="OWD2187" s="594" t="s">
        <v>1232</v>
      </c>
      <c r="OWE2187" s="594" t="s">
        <v>1232</v>
      </c>
      <c r="OWF2187" s="594" t="s">
        <v>1232</v>
      </c>
      <c r="OWG2187" s="594" t="s">
        <v>1232</v>
      </c>
      <c r="OWH2187" s="594" t="s">
        <v>1232</v>
      </c>
      <c r="OWI2187" s="594" t="s">
        <v>1232</v>
      </c>
      <c r="OWJ2187" s="594" t="s">
        <v>1232</v>
      </c>
      <c r="OWK2187" s="594" t="s">
        <v>1232</v>
      </c>
      <c r="OWL2187" s="594" t="s">
        <v>1232</v>
      </c>
      <c r="OWM2187" s="594" t="s">
        <v>1232</v>
      </c>
      <c r="OWN2187" s="594" t="s">
        <v>1232</v>
      </c>
      <c r="OWO2187" s="594" t="s">
        <v>1232</v>
      </c>
      <c r="OWP2187" s="594" t="s">
        <v>1232</v>
      </c>
      <c r="OWQ2187" s="594" t="s">
        <v>1232</v>
      </c>
      <c r="OWR2187" s="594" t="s">
        <v>1232</v>
      </c>
      <c r="OWS2187" s="594" t="s">
        <v>1232</v>
      </c>
      <c r="OWT2187" s="594" t="s">
        <v>1232</v>
      </c>
      <c r="OWU2187" s="594" t="s">
        <v>1232</v>
      </c>
      <c r="OWV2187" s="594" t="s">
        <v>1232</v>
      </c>
      <c r="OWW2187" s="594" t="s">
        <v>1232</v>
      </c>
      <c r="OWX2187" s="594" t="s">
        <v>1232</v>
      </c>
      <c r="OWY2187" s="594" t="s">
        <v>1232</v>
      </c>
      <c r="OWZ2187" s="594" t="s">
        <v>1232</v>
      </c>
      <c r="OXA2187" s="594" t="s">
        <v>1232</v>
      </c>
      <c r="OXB2187" s="594" t="s">
        <v>1232</v>
      </c>
      <c r="OXC2187" s="594" t="s">
        <v>1232</v>
      </c>
      <c r="OXD2187" s="594" t="s">
        <v>1232</v>
      </c>
      <c r="OXE2187" s="594" t="s">
        <v>1232</v>
      </c>
      <c r="OXF2187" s="594" t="s">
        <v>1232</v>
      </c>
      <c r="OXG2187" s="594" t="s">
        <v>1232</v>
      </c>
      <c r="OXH2187" s="594" t="s">
        <v>1232</v>
      </c>
      <c r="OXI2187" s="594" t="s">
        <v>1232</v>
      </c>
      <c r="OXJ2187" s="594" t="s">
        <v>1232</v>
      </c>
      <c r="OXK2187" s="594" t="s">
        <v>1232</v>
      </c>
      <c r="OXL2187" s="594" t="s">
        <v>1232</v>
      </c>
      <c r="OXM2187" s="594" t="s">
        <v>1232</v>
      </c>
      <c r="OXN2187" s="594" t="s">
        <v>1232</v>
      </c>
      <c r="OXO2187" s="594" t="s">
        <v>1232</v>
      </c>
      <c r="OXP2187" s="594" t="s">
        <v>1232</v>
      </c>
      <c r="OXQ2187" s="594" t="s">
        <v>1232</v>
      </c>
      <c r="OXR2187" s="594" t="s">
        <v>1232</v>
      </c>
      <c r="OXS2187" s="594" t="s">
        <v>1232</v>
      </c>
      <c r="OXT2187" s="594" t="s">
        <v>1232</v>
      </c>
      <c r="OXU2187" s="594" t="s">
        <v>1232</v>
      </c>
      <c r="OXV2187" s="594" t="s">
        <v>1232</v>
      </c>
      <c r="OXW2187" s="594" t="s">
        <v>1232</v>
      </c>
      <c r="OXX2187" s="594" t="s">
        <v>1232</v>
      </c>
      <c r="OXY2187" s="594" t="s">
        <v>1232</v>
      </c>
      <c r="OXZ2187" s="594" t="s">
        <v>1232</v>
      </c>
      <c r="OYA2187" s="594" t="s">
        <v>1232</v>
      </c>
      <c r="OYB2187" s="594" t="s">
        <v>1232</v>
      </c>
      <c r="OYC2187" s="594" t="s">
        <v>1232</v>
      </c>
      <c r="OYD2187" s="594" t="s">
        <v>1232</v>
      </c>
      <c r="OYE2187" s="594" t="s">
        <v>1232</v>
      </c>
      <c r="OYF2187" s="594" t="s">
        <v>1232</v>
      </c>
      <c r="OYG2187" s="594" t="s">
        <v>1232</v>
      </c>
      <c r="OYH2187" s="594" t="s">
        <v>1232</v>
      </c>
      <c r="OYI2187" s="594" t="s">
        <v>1232</v>
      </c>
      <c r="OYJ2187" s="594" t="s">
        <v>1232</v>
      </c>
      <c r="OYK2187" s="594" t="s">
        <v>1232</v>
      </c>
      <c r="OYL2187" s="594" t="s">
        <v>1232</v>
      </c>
      <c r="OYM2187" s="594" t="s">
        <v>1232</v>
      </c>
      <c r="OYN2187" s="594" t="s">
        <v>1232</v>
      </c>
      <c r="OYO2187" s="594" t="s">
        <v>1232</v>
      </c>
      <c r="OYP2187" s="594" t="s">
        <v>1232</v>
      </c>
      <c r="OYQ2187" s="594" t="s">
        <v>1232</v>
      </c>
      <c r="OYR2187" s="594" t="s">
        <v>1232</v>
      </c>
      <c r="OYS2187" s="594" t="s">
        <v>1232</v>
      </c>
      <c r="OYT2187" s="594" t="s">
        <v>1232</v>
      </c>
      <c r="OYU2187" s="594" t="s">
        <v>1232</v>
      </c>
      <c r="OYV2187" s="594" t="s">
        <v>1232</v>
      </c>
      <c r="OYW2187" s="594" t="s">
        <v>1232</v>
      </c>
      <c r="OYX2187" s="594" t="s">
        <v>1232</v>
      </c>
      <c r="OYY2187" s="594" t="s">
        <v>1232</v>
      </c>
      <c r="OYZ2187" s="594" t="s">
        <v>1232</v>
      </c>
      <c r="OZA2187" s="594" t="s">
        <v>1232</v>
      </c>
      <c r="OZB2187" s="594" t="s">
        <v>1232</v>
      </c>
      <c r="OZC2187" s="594" t="s">
        <v>1232</v>
      </c>
      <c r="OZD2187" s="594" t="s">
        <v>1232</v>
      </c>
      <c r="OZE2187" s="594" t="s">
        <v>1232</v>
      </c>
      <c r="OZF2187" s="594" t="s">
        <v>1232</v>
      </c>
      <c r="OZG2187" s="594" t="s">
        <v>1232</v>
      </c>
      <c r="OZH2187" s="594" t="s">
        <v>1232</v>
      </c>
      <c r="OZI2187" s="594" t="s">
        <v>1232</v>
      </c>
      <c r="OZJ2187" s="594" t="s">
        <v>1232</v>
      </c>
      <c r="OZK2187" s="594" t="s">
        <v>1232</v>
      </c>
      <c r="OZL2187" s="594" t="s">
        <v>1232</v>
      </c>
      <c r="OZM2187" s="594" t="s">
        <v>1232</v>
      </c>
      <c r="OZN2187" s="594" t="s">
        <v>1232</v>
      </c>
      <c r="OZO2187" s="594" t="s">
        <v>1232</v>
      </c>
      <c r="OZP2187" s="594" t="s">
        <v>1232</v>
      </c>
      <c r="OZQ2187" s="594" t="s">
        <v>1232</v>
      </c>
      <c r="OZR2187" s="594" t="s">
        <v>1232</v>
      </c>
      <c r="OZS2187" s="594" t="s">
        <v>1232</v>
      </c>
      <c r="OZT2187" s="594" t="s">
        <v>1232</v>
      </c>
      <c r="OZU2187" s="594" t="s">
        <v>1232</v>
      </c>
      <c r="OZV2187" s="594" t="s">
        <v>1232</v>
      </c>
      <c r="OZW2187" s="594" t="s">
        <v>1232</v>
      </c>
      <c r="OZX2187" s="594" t="s">
        <v>1232</v>
      </c>
      <c r="OZY2187" s="594" t="s">
        <v>1232</v>
      </c>
      <c r="OZZ2187" s="594" t="s">
        <v>1232</v>
      </c>
      <c r="PAA2187" s="594" t="s">
        <v>1232</v>
      </c>
      <c r="PAB2187" s="594" t="s">
        <v>1232</v>
      </c>
      <c r="PAC2187" s="594" t="s">
        <v>1232</v>
      </c>
      <c r="PAD2187" s="594" t="s">
        <v>1232</v>
      </c>
      <c r="PAE2187" s="594" t="s">
        <v>1232</v>
      </c>
      <c r="PAF2187" s="594" t="s">
        <v>1232</v>
      </c>
      <c r="PAG2187" s="594" t="s">
        <v>1232</v>
      </c>
      <c r="PAH2187" s="594" t="s">
        <v>1232</v>
      </c>
      <c r="PAI2187" s="594" t="s">
        <v>1232</v>
      </c>
      <c r="PAJ2187" s="594" t="s">
        <v>1232</v>
      </c>
      <c r="PAK2187" s="594" t="s">
        <v>1232</v>
      </c>
      <c r="PAL2187" s="594" t="s">
        <v>1232</v>
      </c>
      <c r="PAM2187" s="594" t="s">
        <v>1232</v>
      </c>
      <c r="PAN2187" s="594" t="s">
        <v>1232</v>
      </c>
      <c r="PAO2187" s="594" t="s">
        <v>1232</v>
      </c>
      <c r="PAP2187" s="594" t="s">
        <v>1232</v>
      </c>
      <c r="PAQ2187" s="594" t="s">
        <v>1232</v>
      </c>
      <c r="PAR2187" s="594" t="s">
        <v>1232</v>
      </c>
      <c r="PAS2187" s="594" t="s">
        <v>1232</v>
      </c>
      <c r="PAT2187" s="594" t="s">
        <v>1232</v>
      </c>
      <c r="PAU2187" s="594" t="s">
        <v>1232</v>
      </c>
      <c r="PAV2187" s="594" t="s">
        <v>1232</v>
      </c>
      <c r="PAW2187" s="594" t="s">
        <v>1232</v>
      </c>
      <c r="PAX2187" s="594" t="s">
        <v>1232</v>
      </c>
      <c r="PAY2187" s="594" t="s">
        <v>1232</v>
      </c>
      <c r="PAZ2187" s="594" t="s">
        <v>1232</v>
      </c>
      <c r="PBA2187" s="594" t="s">
        <v>1232</v>
      </c>
      <c r="PBB2187" s="594" t="s">
        <v>1232</v>
      </c>
      <c r="PBC2187" s="594" t="s">
        <v>1232</v>
      </c>
      <c r="PBD2187" s="594" t="s">
        <v>1232</v>
      </c>
      <c r="PBE2187" s="594" t="s">
        <v>1232</v>
      </c>
      <c r="PBF2187" s="594" t="s">
        <v>1232</v>
      </c>
      <c r="PBG2187" s="594" t="s">
        <v>1232</v>
      </c>
      <c r="PBH2187" s="594" t="s">
        <v>1232</v>
      </c>
      <c r="PBI2187" s="594" t="s">
        <v>1232</v>
      </c>
      <c r="PBJ2187" s="594" t="s">
        <v>1232</v>
      </c>
      <c r="PBK2187" s="594" t="s">
        <v>1232</v>
      </c>
      <c r="PBL2187" s="594" t="s">
        <v>1232</v>
      </c>
      <c r="PBM2187" s="594" t="s">
        <v>1232</v>
      </c>
      <c r="PBN2187" s="594" t="s">
        <v>1232</v>
      </c>
      <c r="PBO2187" s="594" t="s">
        <v>1232</v>
      </c>
      <c r="PBP2187" s="594" t="s">
        <v>1232</v>
      </c>
      <c r="PBQ2187" s="594" t="s">
        <v>1232</v>
      </c>
      <c r="PBR2187" s="594" t="s">
        <v>1232</v>
      </c>
      <c r="PBS2187" s="594" t="s">
        <v>1232</v>
      </c>
      <c r="PBT2187" s="594" t="s">
        <v>1232</v>
      </c>
      <c r="PBU2187" s="594" t="s">
        <v>1232</v>
      </c>
      <c r="PBV2187" s="594" t="s">
        <v>1232</v>
      </c>
      <c r="PBW2187" s="594" t="s">
        <v>1232</v>
      </c>
      <c r="PBX2187" s="594" t="s">
        <v>1232</v>
      </c>
      <c r="PBY2187" s="594" t="s">
        <v>1232</v>
      </c>
      <c r="PBZ2187" s="594" t="s">
        <v>1232</v>
      </c>
      <c r="PCA2187" s="594" t="s">
        <v>1232</v>
      </c>
      <c r="PCB2187" s="594" t="s">
        <v>1232</v>
      </c>
      <c r="PCC2187" s="594" t="s">
        <v>1232</v>
      </c>
      <c r="PCD2187" s="594" t="s">
        <v>1232</v>
      </c>
      <c r="PCE2187" s="594" t="s">
        <v>1232</v>
      </c>
      <c r="PCF2187" s="594" t="s">
        <v>1232</v>
      </c>
      <c r="PCG2187" s="594" t="s">
        <v>1232</v>
      </c>
      <c r="PCH2187" s="594" t="s">
        <v>1232</v>
      </c>
      <c r="PCI2187" s="594" t="s">
        <v>1232</v>
      </c>
      <c r="PCJ2187" s="594" t="s">
        <v>1232</v>
      </c>
      <c r="PCK2187" s="594" t="s">
        <v>1232</v>
      </c>
      <c r="PCL2187" s="594" t="s">
        <v>1232</v>
      </c>
      <c r="PCM2187" s="594" t="s">
        <v>1232</v>
      </c>
      <c r="PCN2187" s="594" t="s">
        <v>1232</v>
      </c>
      <c r="PCO2187" s="594" t="s">
        <v>1232</v>
      </c>
      <c r="PCP2187" s="594" t="s">
        <v>1232</v>
      </c>
      <c r="PCQ2187" s="594" t="s">
        <v>1232</v>
      </c>
      <c r="PCR2187" s="594" t="s">
        <v>1232</v>
      </c>
      <c r="PCS2187" s="594" t="s">
        <v>1232</v>
      </c>
      <c r="PCT2187" s="594" t="s">
        <v>1232</v>
      </c>
      <c r="PCU2187" s="594" t="s">
        <v>1232</v>
      </c>
      <c r="PCV2187" s="594" t="s">
        <v>1232</v>
      </c>
      <c r="PCW2187" s="594" t="s">
        <v>1232</v>
      </c>
      <c r="PCX2187" s="594" t="s">
        <v>1232</v>
      </c>
      <c r="PCY2187" s="594" t="s">
        <v>1232</v>
      </c>
      <c r="PCZ2187" s="594" t="s">
        <v>1232</v>
      </c>
      <c r="PDA2187" s="594" t="s">
        <v>1232</v>
      </c>
      <c r="PDB2187" s="594" t="s">
        <v>1232</v>
      </c>
      <c r="PDC2187" s="594" t="s">
        <v>1232</v>
      </c>
      <c r="PDD2187" s="594" t="s">
        <v>1232</v>
      </c>
      <c r="PDE2187" s="594" t="s">
        <v>1232</v>
      </c>
      <c r="PDF2187" s="594" t="s">
        <v>1232</v>
      </c>
      <c r="PDG2187" s="594" t="s">
        <v>1232</v>
      </c>
      <c r="PDH2187" s="594" t="s">
        <v>1232</v>
      </c>
      <c r="PDI2187" s="594" t="s">
        <v>1232</v>
      </c>
      <c r="PDJ2187" s="594" t="s">
        <v>1232</v>
      </c>
      <c r="PDK2187" s="594" t="s">
        <v>1232</v>
      </c>
      <c r="PDL2187" s="594" t="s">
        <v>1232</v>
      </c>
      <c r="PDM2187" s="594" t="s">
        <v>1232</v>
      </c>
      <c r="PDN2187" s="594" t="s">
        <v>1232</v>
      </c>
      <c r="PDO2187" s="594" t="s">
        <v>1232</v>
      </c>
      <c r="PDP2187" s="594" t="s">
        <v>1232</v>
      </c>
      <c r="PDQ2187" s="594" t="s">
        <v>1232</v>
      </c>
      <c r="PDR2187" s="594" t="s">
        <v>1232</v>
      </c>
      <c r="PDS2187" s="594" t="s">
        <v>1232</v>
      </c>
      <c r="PDT2187" s="594" t="s">
        <v>1232</v>
      </c>
      <c r="PDU2187" s="594" t="s">
        <v>1232</v>
      </c>
      <c r="PDV2187" s="594" t="s">
        <v>1232</v>
      </c>
      <c r="PDW2187" s="594" t="s">
        <v>1232</v>
      </c>
      <c r="PDX2187" s="594" t="s">
        <v>1232</v>
      </c>
      <c r="PDY2187" s="594" t="s">
        <v>1232</v>
      </c>
      <c r="PDZ2187" s="594" t="s">
        <v>1232</v>
      </c>
      <c r="PEA2187" s="594" t="s">
        <v>1232</v>
      </c>
      <c r="PEB2187" s="594" t="s">
        <v>1232</v>
      </c>
      <c r="PEC2187" s="594" t="s">
        <v>1232</v>
      </c>
      <c r="PED2187" s="594" t="s">
        <v>1232</v>
      </c>
      <c r="PEE2187" s="594" t="s">
        <v>1232</v>
      </c>
      <c r="PEF2187" s="594" t="s">
        <v>1232</v>
      </c>
      <c r="PEG2187" s="594" t="s">
        <v>1232</v>
      </c>
      <c r="PEH2187" s="594" t="s">
        <v>1232</v>
      </c>
      <c r="PEI2187" s="594" t="s">
        <v>1232</v>
      </c>
      <c r="PEJ2187" s="594" t="s">
        <v>1232</v>
      </c>
      <c r="PEK2187" s="594" t="s">
        <v>1232</v>
      </c>
      <c r="PEL2187" s="594" t="s">
        <v>1232</v>
      </c>
      <c r="PEM2187" s="594" t="s">
        <v>1232</v>
      </c>
      <c r="PEN2187" s="594" t="s">
        <v>1232</v>
      </c>
      <c r="PEO2187" s="594" t="s">
        <v>1232</v>
      </c>
      <c r="PEP2187" s="594" t="s">
        <v>1232</v>
      </c>
      <c r="PEQ2187" s="594" t="s">
        <v>1232</v>
      </c>
      <c r="PER2187" s="594" t="s">
        <v>1232</v>
      </c>
      <c r="PES2187" s="594" t="s">
        <v>1232</v>
      </c>
      <c r="PET2187" s="594" t="s">
        <v>1232</v>
      </c>
      <c r="PEU2187" s="594" t="s">
        <v>1232</v>
      </c>
      <c r="PEV2187" s="594" t="s">
        <v>1232</v>
      </c>
      <c r="PEW2187" s="594" t="s">
        <v>1232</v>
      </c>
      <c r="PEX2187" s="594" t="s">
        <v>1232</v>
      </c>
      <c r="PEY2187" s="594" t="s">
        <v>1232</v>
      </c>
      <c r="PEZ2187" s="594" t="s">
        <v>1232</v>
      </c>
      <c r="PFA2187" s="594" t="s">
        <v>1232</v>
      </c>
      <c r="PFB2187" s="594" t="s">
        <v>1232</v>
      </c>
      <c r="PFC2187" s="594" t="s">
        <v>1232</v>
      </c>
      <c r="PFD2187" s="594" t="s">
        <v>1232</v>
      </c>
      <c r="PFE2187" s="594" t="s">
        <v>1232</v>
      </c>
      <c r="PFF2187" s="594" t="s">
        <v>1232</v>
      </c>
      <c r="PFG2187" s="594" t="s">
        <v>1232</v>
      </c>
      <c r="PFH2187" s="594" t="s">
        <v>1232</v>
      </c>
      <c r="PFI2187" s="594" t="s">
        <v>1232</v>
      </c>
      <c r="PFJ2187" s="594" t="s">
        <v>1232</v>
      </c>
      <c r="PFK2187" s="594" t="s">
        <v>1232</v>
      </c>
      <c r="PFL2187" s="594" t="s">
        <v>1232</v>
      </c>
      <c r="PFM2187" s="594" t="s">
        <v>1232</v>
      </c>
      <c r="PFN2187" s="594" t="s">
        <v>1232</v>
      </c>
      <c r="PFO2187" s="594" t="s">
        <v>1232</v>
      </c>
      <c r="PFP2187" s="594" t="s">
        <v>1232</v>
      </c>
      <c r="PFQ2187" s="594" t="s">
        <v>1232</v>
      </c>
      <c r="PFR2187" s="594" t="s">
        <v>1232</v>
      </c>
      <c r="PFS2187" s="594" t="s">
        <v>1232</v>
      </c>
      <c r="PFT2187" s="594" t="s">
        <v>1232</v>
      </c>
      <c r="PFU2187" s="594" t="s">
        <v>1232</v>
      </c>
      <c r="PFV2187" s="594" t="s">
        <v>1232</v>
      </c>
      <c r="PFW2187" s="594" t="s">
        <v>1232</v>
      </c>
      <c r="PFX2187" s="594" t="s">
        <v>1232</v>
      </c>
      <c r="PFY2187" s="594" t="s">
        <v>1232</v>
      </c>
      <c r="PFZ2187" s="594" t="s">
        <v>1232</v>
      </c>
      <c r="PGA2187" s="594" t="s">
        <v>1232</v>
      </c>
      <c r="PGB2187" s="594" t="s">
        <v>1232</v>
      </c>
      <c r="PGC2187" s="594" t="s">
        <v>1232</v>
      </c>
      <c r="PGD2187" s="594" t="s">
        <v>1232</v>
      </c>
      <c r="PGE2187" s="594" t="s">
        <v>1232</v>
      </c>
      <c r="PGF2187" s="594" t="s">
        <v>1232</v>
      </c>
      <c r="PGG2187" s="594" t="s">
        <v>1232</v>
      </c>
      <c r="PGH2187" s="594" t="s">
        <v>1232</v>
      </c>
      <c r="PGI2187" s="594" t="s">
        <v>1232</v>
      </c>
      <c r="PGJ2187" s="594" t="s">
        <v>1232</v>
      </c>
      <c r="PGK2187" s="594" t="s">
        <v>1232</v>
      </c>
      <c r="PGL2187" s="594" t="s">
        <v>1232</v>
      </c>
      <c r="PGM2187" s="594" t="s">
        <v>1232</v>
      </c>
      <c r="PGN2187" s="594" t="s">
        <v>1232</v>
      </c>
      <c r="PGO2187" s="594" t="s">
        <v>1232</v>
      </c>
      <c r="PGP2187" s="594" t="s">
        <v>1232</v>
      </c>
      <c r="PGQ2187" s="594" t="s">
        <v>1232</v>
      </c>
      <c r="PGR2187" s="594" t="s">
        <v>1232</v>
      </c>
      <c r="PGS2187" s="594" t="s">
        <v>1232</v>
      </c>
      <c r="PGT2187" s="594" t="s">
        <v>1232</v>
      </c>
      <c r="PGU2187" s="594" t="s">
        <v>1232</v>
      </c>
      <c r="PGV2187" s="594" t="s">
        <v>1232</v>
      </c>
      <c r="PGW2187" s="594" t="s">
        <v>1232</v>
      </c>
      <c r="PGX2187" s="594" t="s">
        <v>1232</v>
      </c>
      <c r="PGY2187" s="594" t="s">
        <v>1232</v>
      </c>
      <c r="PGZ2187" s="594" t="s">
        <v>1232</v>
      </c>
      <c r="PHA2187" s="594" t="s">
        <v>1232</v>
      </c>
      <c r="PHB2187" s="594" t="s">
        <v>1232</v>
      </c>
      <c r="PHC2187" s="594" t="s">
        <v>1232</v>
      </c>
      <c r="PHD2187" s="594" t="s">
        <v>1232</v>
      </c>
      <c r="PHE2187" s="594" t="s">
        <v>1232</v>
      </c>
      <c r="PHF2187" s="594" t="s">
        <v>1232</v>
      </c>
      <c r="PHG2187" s="594" t="s">
        <v>1232</v>
      </c>
      <c r="PHH2187" s="594" t="s">
        <v>1232</v>
      </c>
      <c r="PHI2187" s="594" t="s">
        <v>1232</v>
      </c>
      <c r="PHJ2187" s="594" t="s">
        <v>1232</v>
      </c>
      <c r="PHK2187" s="594" t="s">
        <v>1232</v>
      </c>
      <c r="PHL2187" s="594" t="s">
        <v>1232</v>
      </c>
      <c r="PHM2187" s="594" t="s">
        <v>1232</v>
      </c>
      <c r="PHN2187" s="594" t="s">
        <v>1232</v>
      </c>
      <c r="PHO2187" s="594" t="s">
        <v>1232</v>
      </c>
      <c r="PHP2187" s="594" t="s">
        <v>1232</v>
      </c>
      <c r="PHQ2187" s="594" t="s">
        <v>1232</v>
      </c>
      <c r="PHR2187" s="594" t="s">
        <v>1232</v>
      </c>
      <c r="PHS2187" s="594" t="s">
        <v>1232</v>
      </c>
      <c r="PHT2187" s="594" t="s">
        <v>1232</v>
      </c>
      <c r="PHU2187" s="594" t="s">
        <v>1232</v>
      </c>
      <c r="PHV2187" s="594" t="s">
        <v>1232</v>
      </c>
      <c r="PHW2187" s="594" t="s">
        <v>1232</v>
      </c>
      <c r="PHX2187" s="594" t="s">
        <v>1232</v>
      </c>
      <c r="PHY2187" s="594" t="s">
        <v>1232</v>
      </c>
      <c r="PHZ2187" s="594" t="s">
        <v>1232</v>
      </c>
      <c r="PIA2187" s="594" t="s">
        <v>1232</v>
      </c>
      <c r="PIB2187" s="594" t="s">
        <v>1232</v>
      </c>
      <c r="PIC2187" s="594" t="s">
        <v>1232</v>
      </c>
      <c r="PID2187" s="594" t="s">
        <v>1232</v>
      </c>
      <c r="PIE2187" s="594" t="s">
        <v>1232</v>
      </c>
      <c r="PIF2187" s="594" t="s">
        <v>1232</v>
      </c>
      <c r="PIG2187" s="594" t="s">
        <v>1232</v>
      </c>
      <c r="PIH2187" s="594" t="s">
        <v>1232</v>
      </c>
      <c r="PII2187" s="594" t="s">
        <v>1232</v>
      </c>
      <c r="PIJ2187" s="594" t="s">
        <v>1232</v>
      </c>
      <c r="PIK2187" s="594" t="s">
        <v>1232</v>
      </c>
      <c r="PIL2187" s="594" t="s">
        <v>1232</v>
      </c>
      <c r="PIM2187" s="594" t="s">
        <v>1232</v>
      </c>
      <c r="PIN2187" s="594" t="s">
        <v>1232</v>
      </c>
      <c r="PIO2187" s="594" t="s">
        <v>1232</v>
      </c>
      <c r="PIP2187" s="594" t="s">
        <v>1232</v>
      </c>
      <c r="PIQ2187" s="594" t="s">
        <v>1232</v>
      </c>
      <c r="PIR2187" s="594" t="s">
        <v>1232</v>
      </c>
      <c r="PIS2187" s="594" t="s">
        <v>1232</v>
      </c>
      <c r="PIT2187" s="594" t="s">
        <v>1232</v>
      </c>
      <c r="PIU2187" s="594" t="s">
        <v>1232</v>
      </c>
      <c r="PIV2187" s="594" t="s">
        <v>1232</v>
      </c>
      <c r="PIW2187" s="594" t="s">
        <v>1232</v>
      </c>
      <c r="PIX2187" s="594" t="s">
        <v>1232</v>
      </c>
      <c r="PIY2187" s="594" t="s">
        <v>1232</v>
      </c>
      <c r="PIZ2187" s="594" t="s">
        <v>1232</v>
      </c>
      <c r="PJA2187" s="594" t="s">
        <v>1232</v>
      </c>
      <c r="PJB2187" s="594" t="s">
        <v>1232</v>
      </c>
      <c r="PJC2187" s="594" t="s">
        <v>1232</v>
      </c>
      <c r="PJD2187" s="594" t="s">
        <v>1232</v>
      </c>
      <c r="PJE2187" s="594" t="s">
        <v>1232</v>
      </c>
      <c r="PJF2187" s="594" t="s">
        <v>1232</v>
      </c>
      <c r="PJG2187" s="594" t="s">
        <v>1232</v>
      </c>
      <c r="PJH2187" s="594" t="s">
        <v>1232</v>
      </c>
      <c r="PJI2187" s="594" t="s">
        <v>1232</v>
      </c>
      <c r="PJJ2187" s="594" t="s">
        <v>1232</v>
      </c>
      <c r="PJK2187" s="594" t="s">
        <v>1232</v>
      </c>
      <c r="PJL2187" s="594" t="s">
        <v>1232</v>
      </c>
      <c r="PJM2187" s="594" t="s">
        <v>1232</v>
      </c>
      <c r="PJN2187" s="594" t="s">
        <v>1232</v>
      </c>
      <c r="PJO2187" s="594" t="s">
        <v>1232</v>
      </c>
      <c r="PJP2187" s="594" t="s">
        <v>1232</v>
      </c>
      <c r="PJQ2187" s="594" t="s">
        <v>1232</v>
      </c>
      <c r="PJR2187" s="594" t="s">
        <v>1232</v>
      </c>
      <c r="PJS2187" s="594" t="s">
        <v>1232</v>
      </c>
      <c r="PJT2187" s="594" t="s">
        <v>1232</v>
      </c>
      <c r="PJU2187" s="594" t="s">
        <v>1232</v>
      </c>
      <c r="PJV2187" s="594" t="s">
        <v>1232</v>
      </c>
      <c r="PJW2187" s="594" t="s">
        <v>1232</v>
      </c>
      <c r="PJX2187" s="594" t="s">
        <v>1232</v>
      </c>
      <c r="PJY2187" s="594" t="s">
        <v>1232</v>
      </c>
      <c r="PJZ2187" s="594" t="s">
        <v>1232</v>
      </c>
      <c r="PKA2187" s="594" t="s">
        <v>1232</v>
      </c>
      <c r="PKB2187" s="594" t="s">
        <v>1232</v>
      </c>
      <c r="PKC2187" s="594" t="s">
        <v>1232</v>
      </c>
      <c r="PKD2187" s="594" t="s">
        <v>1232</v>
      </c>
      <c r="PKE2187" s="594" t="s">
        <v>1232</v>
      </c>
      <c r="PKF2187" s="594" t="s">
        <v>1232</v>
      </c>
      <c r="PKG2187" s="594" t="s">
        <v>1232</v>
      </c>
      <c r="PKH2187" s="594" t="s">
        <v>1232</v>
      </c>
      <c r="PKI2187" s="594" t="s">
        <v>1232</v>
      </c>
      <c r="PKJ2187" s="594" t="s">
        <v>1232</v>
      </c>
      <c r="PKK2187" s="594" t="s">
        <v>1232</v>
      </c>
      <c r="PKL2187" s="594" t="s">
        <v>1232</v>
      </c>
      <c r="PKM2187" s="594" t="s">
        <v>1232</v>
      </c>
      <c r="PKN2187" s="594" t="s">
        <v>1232</v>
      </c>
      <c r="PKO2187" s="594" t="s">
        <v>1232</v>
      </c>
      <c r="PKP2187" s="594" t="s">
        <v>1232</v>
      </c>
      <c r="PKQ2187" s="594" t="s">
        <v>1232</v>
      </c>
      <c r="PKR2187" s="594" t="s">
        <v>1232</v>
      </c>
      <c r="PKS2187" s="594" t="s">
        <v>1232</v>
      </c>
      <c r="PKT2187" s="594" t="s">
        <v>1232</v>
      </c>
      <c r="PKU2187" s="594" t="s">
        <v>1232</v>
      </c>
      <c r="PKV2187" s="594" t="s">
        <v>1232</v>
      </c>
      <c r="PKW2187" s="594" t="s">
        <v>1232</v>
      </c>
      <c r="PKX2187" s="594" t="s">
        <v>1232</v>
      </c>
      <c r="PKY2187" s="594" t="s">
        <v>1232</v>
      </c>
      <c r="PKZ2187" s="594" t="s">
        <v>1232</v>
      </c>
      <c r="PLA2187" s="594" t="s">
        <v>1232</v>
      </c>
      <c r="PLB2187" s="594" t="s">
        <v>1232</v>
      </c>
      <c r="PLC2187" s="594" t="s">
        <v>1232</v>
      </c>
      <c r="PLD2187" s="594" t="s">
        <v>1232</v>
      </c>
      <c r="PLE2187" s="594" t="s">
        <v>1232</v>
      </c>
      <c r="PLF2187" s="594" t="s">
        <v>1232</v>
      </c>
      <c r="PLG2187" s="594" t="s">
        <v>1232</v>
      </c>
      <c r="PLH2187" s="594" t="s">
        <v>1232</v>
      </c>
      <c r="PLI2187" s="594" t="s">
        <v>1232</v>
      </c>
      <c r="PLJ2187" s="594" t="s">
        <v>1232</v>
      </c>
      <c r="PLK2187" s="594" t="s">
        <v>1232</v>
      </c>
      <c r="PLL2187" s="594" t="s">
        <v>1232</v>
      </c>
      <c r="PLM2187" s="594" t="s">
        <v>1232</v>
      </c>
      <c r="PLN2187" s="594" t="s">
        <v>1232</v>
      </c>
      <c r="PLO2187" s="594" t="s">
        <v>1232</v>
      </c>
      <c r="PLP2187" s="594" t="s">
        <v>1232</v>
      </c>
      <c r="PLQ2187" s="594" t="s">
        <v>1232</v>
      </c>
      <c r="PLR2187" s="594" t="s">
        <v>1232</v>
      </c>
      <c r="PLS2187" s="594" t="s">
        <v>1232</v>
      </c>
      <c r="PLT2187" s="594" t="s">
        <v>1232</v>
      </c>
      <c r="PLU2187" s="594" t="s">
        <v>1232</v>
      </c>
      <c r="PLV2187" s="594" t="s">
        <v>1232</v>
      </c>
      <c r="PLW2187" s="594" t="s">
        <v>1232</v>
      </c>
      <c r="PLX2187" s="594" t="s">
        <v>1232</v>
      </c>
      <c r="PLY2187" s="594" t="s">
        <v>1232</v>
      </c>
      <c r="PLZ2187" s="594" t="s">
        <v>1232</v>
      </c>
      <c r="PMA2187" s="594" t="s">
        <v>1232</v>
      </c>
      <c r="PMB2187" s="594" t="s">
        <v>1232</v>
      </c>
      <c r="PMC2187" s="594" t="s">
        <v>1232</v>
      </c>
      <c r="PMD2187" s="594" t="s">
        <v>1232</v>
      </c>
      <c r="PME2187" s="594" t="s">
        <v>1232</v>
      </c>
      <c r="PMF2187" s="594" t="s">
        <v>1232</v>
      </c>
      <c r="PMG2187" s="594" t="s">
        <v>1232</v>
      </c>
      <c r="PMH2187" s="594" t="s">
        <v>1232</v>
      </c>
      <c r="PMI2187" s="594" t="s">
        <v>1232</v>
      </c>
      <c r="PMJ2187" s="594" t="s">
        <v>1232</v>
      </c>
      <c r="PMK2187" s="594" t="s">
        <v>1232</v>
      </c>
      <c r="PML2187" s="594" t="s">
        <v>1232</v>
      </c>
      <c r="PMM2187" s="594" t="s">
        <v>1232</v>
      </c>
      <c r="PMN2187" s="594" t="s">
        <v>1232</v>
      </c>
      <c r="PMO2187" s="594" t="s">
        <v>1232</v>
      </c>
      <c r="PMP2187" s="594" t="s">
        <v>1232</v>
      </c>
      <c r="PMQ2187" s="594" t="s">
        <v>1232</v>
      </c>
      <c r="PMR2187" s="594" t="s">
        <v>1232</v>
      </c>
      <c r="PMS2187" s="594" t="s">
        <v>1232</v>
      </c>
      <c r="PMT2187" s="594" t="s">
        <v>1232</v>
      </c>
      <c r="PMU2187" s="594" t="s">
        <v>1232</v>
      </c>
      <c r="PMV2187" s="594" t="s">
        <v>1232</v>
      </c>
      <c r="PMW2187" s="594" t="s">
        <v>1232</v>
      </c>
      <c r="PMX2187" s="594" t="s">
        <v>1232</v>
      </c>
      <c r="PMY2187" s="594" t="s">
        <v>1232</v>
      </c>
      <c r="PMZ2187" s="594" t="s">
        <v>1232</v>
      </c>
      <c r="PNA2187" s="594" t="s">
        <v>1232</v>
      </c>
      <c r="PNB2187" s="594" t="s">
        <v>1232</v>
      </c>
      <c r="PNC2187" s="594" t="s">
        <v>1232</v>
      </c>
      <c r="PND2187" s="594" t="s">
        <v>1232</v>
      </c>
      <c r="PNE2187" s="594" t="s">
        <v>1232</v>
      </c>
      <c r="PNF2187" s="594" t="s">
        <v>1232</v>
      </c>
      <c r="PNG2187" s="594" t="s">
        <v>1232</v>
      </c>
      <c r="PNH2187" s="594" t="s">
        <v>1232</v>
      </c>
      <c r="PNI2187" s="594" t="s">
        <v>1232</v>
      </c>
      <c r="PNJ2187" s="594" t="s">
        <v>1232</v>
      </c>
      <c r="PNK2187" s="594" t="s">
        <v>1232</v>
      </c>
      <c r="PNL2187" s="594" t="s">
        <v>1232</v>
      </c>
      <c r="PNM2187" s="594" t="s">
        <v>1232</v>
      </c>
      <c r="PNN2187" s="594" t="s">
        <v>1232</v>
      </c>
      <c r="PNO2187" s="594" t="s">
        <v>1232</v>
      </c>
      <c r="PNP2187" s="594" t="s">
        <v>1232</v>
      </c>
      <c r="PNQ2187" s="594" t="s">
        <v>1232</v>
      </c>
      <c r="PNR2187" s="594" t="s">
        <v>1232</v>
      </c>
      <c r="PNS2187" s="594" t="s">
        <v>1232</v>
      </c>
      <c r="PNT2187" s="594" t="s">
        <v>1232</v>
      </c>
      <c r="PNU2187" s="594" t="s">
        <v>1232</v>
      </c>
      <c r="PNV2187" s="594" t="s">
        <v>1232</v>
      </c>
      <c r="PNW2187" s="594" t="s">
        <v>1232</v>
      </c>
      <c r="PNX2187" s="594" t="s">
        <v>1232</v>
      </c>
      <c r="PNY2187" s="594" t="s">
        <v>1232</v>
      </c>
      <c r="PNZ2187" s="594" t="s">
        <v>1232</v>
      </c>
      <c r="POA2187" s="594" t="s">
        <v>1232</v>
      </c>
      <c r="POB2187" s="594" t="s">
        <v>1232</v>
      </c>
      <c r="POC2187" s="594" t="s">
        <v>1232</v>
      </c>
      <c r="POD2187" s="594" t="s">
        <v>1232</v>
      </c>
      <c r="POE2187" s="594" t="s">
        <v>1232</v>
      </c>
      <c r="POF2187" s="594" t="s">
        <v>1232</v>
      </c>
      <c r="POG2187" s="594" t="s">
        <v>1232</v>
      </c>
      <c r="POH2187" s="594" t="s">
        <v>1232</v>
      </c>
      <c r="POI2187" s="594" t="s">
        <v>1232</v>
      </c>
      <c r="POJ2187" s="594" t="s">
        <v>1232</v>
      </c>
      <c r="POK2187" s="594" t="s">
        <v>1232</v>
      </c>
      <c r="POL2187" s="594" t="s">
        <v>1232</v>
      </c>
      <c r="POM2187" s="594" t="s">
        <v>1232</v>
      </c>
      <c r="PON2187" s="594" t="s">
        <v>1232</v>
      </c>
      <c r="POO2187" s="594" t="s">
        <v>1232</v>
      </c>
      <c r="POP2187" s="594" t="s">
        <v>1232</v>
      </c>
      <c r="POQ2187" s="594" t="s">
        <v>1232</v>
      </c>
      <c r="POR2187" s="594" t="s">
        <v>1232</v>
      </c>
      <c r="POS2187" s="594" t="s">
        <v>1232</v>
      </c>
      <c r="POT2187" s="594" t="s">
        <v>1232</v>
      </c>
      <c r="POU2187" s="594" t="s">
        <v>1232</v>
      </c>
      <c r="POV2187" s="594" t="s">
        <v>1232</v>
      </c>
      <c r="POW2187" s="594" t="s">
        <v>1232</v>
      </c>
      <c r="POX2187" s="594" t="s">
        <v>1232</v>
      </c>
      <c r="POY2187" s="594" t="s">
        <v>1232</v>
      </c>
      <c r="POZ2187" s="594" t="s">
        <v>1232</v>
      </c>
      <c r="PPA2187" s="594" t="s">
        <v>1232</v>
      </c>
      <c r="PPB2187" s="594" t="s">
        <v>1232</v>
      </c>
      <c r="PPC2187" s="594" t="s">
        <v>1232</v>
      </c>
      <c r="PPD2187" s="594" t="s">
        <v>1232</v>
      </c>
      <c r="PPE2187" s="594" t="s">
        <v>1232</v>
      </c>
      <c r="PPF2187" s="594" t="s">
        <v>1232</v>
      </c>
      <c r="PPG2187" s="594" t="s">
        <v>1232</v>
      </c>
      <c r="PPH2187" s="594" t="s">
        <v>1232</v>
      </c>
      <c r="PPI2187" s="594" t="s">
        <v>1232</v>
      </c>
      <c r="PPJ2187" s="594" t="s">
        <v>1232</v>
      </c>
      <c r="PPK2187" s="594" t="s">
        <v>1232</v>
      </c>
      <c r="PPL2187" s="594" t="s">
        <v>1232</v>
      </c>
      <c r="PPM2187" s="594" t="s">
        <v>1232</v>
      </c>
      <c r="PPN2187" s="594" t="s">
        <v>1232</v>
      </c>
      <c r="PPO2187" s="594" t="s">
        <v>1232</v>
      </c>
      <c r="PPP2187" s="594" t="s">
        <v>1232</v>
      </c>
      <c r="PPQ2187" s="594" t="s">
        <v>1232</v>
      </c>
      <c r="PPR2187" s="594" t="s">
        <v>1232</v>
      </c>
      <c r="PPS2187" s="594" t="s">
        <v>1232</v>
      </c>
      <c r="PPT2187" s="594" t="s">
        <v>1232</v>
      </c>
      <c r="PPU2187" s="594" t="s">
        <v>1232</v>
      </c>
      <c r="PPV2187" s="594" t="s">
        <v>1232</v>
      </c>
      <c r="PPW2187" s="594" t="s">
        <v>1232</v>
      </c>
      <c r="PPX2187" s="594" t="s">
        <v>1232</v>
      </c>
      <c r="PPY2187" s="594" t="s">
        <v>1232</v>
      </c>
      <c r="PPZ2187" s="594" t="s">
        <v>1232</v>
      </c>
      <c r="PQA2187" s="594" t="s">
        <v>1232</v>
      </c>
      <c r="PQB2187" s="594" t="s">
        <v>1232</v>
      </c>
      <c r="PQC2187" s="594" t="s">
        <v>1232</v>
      </c>
      <c r="PQD2187" s="594" t="s">
        <v>1232</v>
      </c>
      <c r="PQE2187" s="594" t="s">
        <v>1232</v>
      </c>
      <c r="PQF2187" s="594" t="s">
        <v>1232</v>
      </c>
      <c r="PQG2187" s="594" t="s">
        <v>1232</v>
      </c>
      <c r="PQH2187" s="594" t="s">
        <v>1232</v>
      </c>
      <c r="PQI2187" s="594" t="s">
        <v>1232</v>
      </c>
      <c r="PQJ2187" s="594" t="s">
        <v>1232</v>
      </c>
      <c r="PQK2187" s="594" t="s">
        <v>1232</v>
      </c>
      <c r="PQL2187" s="594" t="s">
        <v>1232</v>
      </c>
      <c r="PQM2187" s="594" t="s">
        <v>1232</v>
      </c>
      <c r="PQN2187" s="594" t="s">
        <v>1232</v>
      </c>
      <c r="PQO2187" s="594" t="s">
        <v>1232</v>
      </c>
      <c r="PQP2187" s="594" t="s">
        <v>1232</v>
      </c>
      <c r="PQQ2187" s="594" t="s">
        <v>1232</v>
      </c>
      <c r="PQR2187" s="594" t="s">
        <v>1232</v>
      </c>
      <c r="PQS2187" s="594" t="s">
        <v>1232</v>
      </c>
      <c r="PQT2187" s="594" t="s">
        <v>1232</v>
      </c>
      <c r="PQU2187" s="594" t="s">
        <v>1232</v>
      </c>
      <c r="PQV2187" s="594" t="s">
        <v>1232</v>
      </c>
      <c r="PQW2187" s="594" t="s">
        <v>1232</v>
      </c>
      <c r="PQX2187" s="594" t="s">
        <v>1232</v>
      </c>
      <c r="PQY2187" s="594" t="s">
        <v>1232</v>
      </c>
      <c r="PQZ2187" s="594" t="s">
        <v>1232</v>
      </c>
      <c r="PRA2187" s="594" t="s">
        <v>1232</v>
      </c>
      <c r="PRB2187" s="594" t="s">
        <v>1232</v>
      </c>
      <c r="PRC2187" s="594" t="s">
        <v>1232</v>
      </c>
      <c r="PRD2187" s="594" t="s">
        <v>1232</v>
      </c>
      <c r="PRE2187" s="594" t="s">
        <v>1232</v>
      </c>
      <c r="PRF2187" s="594" t="s">
        <v>1232</v>
      </c>
      <c r="PRG2187" s="594" t="s">
        <v>1232</v>
      </c>
      <c r="PRH2187" s="594" t="s">
        <v>1232</v>
      </c>
      <c r="PRI2187" s="594" t="s">
        <v>1232</v>
      </c>
      <c r="PRJ2187" s="594" t="s">
        <v>1232</v>
      </c>
      <c r="PRK2187" s="594" t="s">
        <v>1232</v>
      </c>
      <c r="PRL2187" s="594" t="s">
        <v>1232</v>
      </c>
      <c r="PRM2187" s="594" t="s">
        <v>1232</v>
      </c>
      <c r="PRN2187" s="594" t="s">
        <v>1232</v>
      </c>
      <c r="PRO2187" s="594" t="s">
        <v>1232</v>
      </c>
      <c r="PRP2187" s="594" t="s">
        <v>1232</v>
      </c>
      <c r="PRQ2187" s="594" t="s">
        <v>1232</v>
      </c>
      <c r="PRR2187" s="594" t="s">
        <v>1232</v>
      </c>
      <c r="PRS2187" s="594" t="s">
        <v>1232</v>
      </c>
      <c r="PRT2187" s="594" t="s">
        <v>1232</v>
      </c>
      <c r="PRU2187" s="594" t="s">
        <v>1232</v>
      </c>
      <c r="PRV2187" s="594" t="s">
        <v>1232</v>
      </c>
      <c r="PRW2187" s="594" t="s">
        <v>1232</v>
      </c>
      <c r="PRX2187" s="594" t="s">
        <v>1232</v>
      </c>
      <c r="PRY2187" s="594" t="s">
        <v>1232</v>
      </c>
      <c r="PRZ2187" s="594" t="s">
        <v>1232</v>
      </c>
      <c r="PSA2187" s="594" t="s">
        <v>1232</v>
      </c>
      <c r="PSB2187" s="594" t="s">
        <v>1232</v>
      </c>
      <c r="PSC2187" s="594" t="s">
        <v>1232</v>
      </c>
      <c r="PSD2187" s="594" t="s">
        <v>1232</v>
      </c>
      <c r="PSE2187" s="594" t="s">
        <v>1232</v>
      </c>
      <c r="PSF2187" s="594" t="s">
        <v>1232</v>
      </c>
      <c r="PSG2187" s="594" t="s">
        <v>1232</v>
      </c>
      <c r="PSH2187" s="594" t="s">
        <v>1232</v>
      </c>
      <c r="PSI2187" s="594" t="s">
        <v>1232</v>
      </c>
      <c r="PSJ2187" s="594" t="s">
        <v>1232</v>
      </c>
      <c r="PSK2187" s="594" t="s">
        <v>1232</v>
      </c>
      <c r="PSL2187" s="594" t="s">
        <v>1232</v>
      </c>
      <c r="PSM2187" s="594" t="s">
        <v>1232</v>
      </c>
      <c r="PSN2187" s="594" t="s">
        <v>1232</v>
      </c>
      <c r="PSO2187" s="594" t="s">
        <v>1232</v>
      </c>
      <c r="PSP2187" s="594" t="s">
        <v>1232</v>
      </c>
      <c r="PSQ2187" s="594" t="s">
        <v>1232</v>
      </c>
      <c r="PSR2187" s="594" t="s">
        <v>1232</v>
      </c>
      <c r="PSS2187" s="594" t="s">
        <v>1232</v>
      </c>
      <c r="PST2187" s="594" t="s">
        <v>1232</v>
      </c>
      <c r="PSU2187" s="594" t="s">
        <v>1232</v>
      </c>
      <c r="PSV2187" s="594" t="s">
        <v>1232</v>
      </c>
      <c r="PSW2187" s="594" t="s">
        <v>1232</v>
      </c>
      <c r="PSX2187" s="594" t="s">
        <v>1232</v>
      </c>
      <c r="PSY2187" s="594" t="s">
        <v>1232</v>
      </c>
      <c r="PSZ2187" s="594" t="s">
        <v>1232</v>
      </c>
      <c r="PTA2187" s="594" t="s">
        <v>1232</v>
      </c>
      <c r="PTB2187" s="594" t="s">
        <v>1232</v>
      </c>
      <c r="PTC2187" s="594" t="s">
        <v>1232</v>
      </c>
      <c r="PTD2187" s="594" t="s">
        <v>1232</v>
      </c>
      <c r="PTE2187" s="594" t="s">
        <v>1232</v>
      </c>
      <c r="PTF2187" s="594" t="s">
        <v>1232</v>
      </c>
      <c r="PTG2187" s="594" t="s">
        <v>1232</v>
      </c>
      <c r="PTH2187" s="594" t="s">
        <v>1232</v>
      </c>
      <c r="PTI2187" s="594" t="s">
        <v>1232</v>
      </c>
      <c r="PTJ2187" s="594" t="s">
        <v>1232</v>
      </c>
      <c r="PTK2187" s="594" t="s">
        <v>1232</v>
      </c>
      <c r="PTL2187" s="594" t="s">
        <v>1232</v>
      </c>
      <c r="PTM2187" s="594" t="s">
        <v>1232</v>
      </c>
      <c r="PTN2187" s="594" t="s">
        <v>1232</v>
      </c>
      <c r="PTO2187" s="594" t="s">
        <v>1232</v>
      </c>
      <c r="PTP2187" s="594" t="s">
        <v>1232</v>
      </c>
      <c r="PTQ2187" s="594" t="s">
        <v>1232</v>
      </c>
      <c r="PTR2187" s="594" t="s">
        <v>1232</v>
      </c>
      <c r="PTS2187" s="594" t="s">
        <v>1232</v>
      </c>
      <c r="PTT2187" s="594" t="s">
        <v>1232</v>
      </c>
      <c r="PTU2187" s="594" t="s">
        <v>1232</v>
      </c>
      <c r="PTV2187" s="594" t="s">
        <v>1232</v>
      </c>
      <c r="PTW2187" s="594" t="s">
        <v>1232</v>
      </c>
      <c r="PTX2187" s="594" t="s">
        <v>1232</v>
      </c>
      <c r="PTY2187" s="594" t="s">
        <v>1232</v>
      </c>
      <c r="PTZ2187" s="594" t="s">
        <v>1232</v>
      </c>
      <c r="PUA2187" s="594" t="s">
        <v>1232</v>
      </c>
      <c r="PUB2187" s="594" t="s">
        <v>1232</v>
      </c>
      <c r="PUC2187" s="594" t="s">
        <v>1232</v>
      </c>
      <c r="PUD2187" s="594" t="s">
        <v>1232</v>
      </c>
      <c r="PUE2187" s="594" t="s">
        <v>1232</v>
      </c>
      <c r="PUF2187" s="594" t="s">
        <v>1232</v>
      </c>
      <c r="PUG2187" s="594" t="s">
        <v>1232</v>
      </c>
      <c r="PUH2187" s="594" t="s">
        <v>1232</v>
      </c>
      <c r="PUI2187" s="594" t="s">
        <v>1232</v>
      </c>
      <c r="PUJ2187" s="594" t="s">
        <v>1232</v>
      </c>
      <c r="PUK2187" s="594" t="s">
        <v>1232</v>
      </c>
      <c r="PUL2187" s="594" t="s">
        <v>1232</v>
      </c>
      <c r="PUM2187" s="594" t="s">
        <v>1232</v>
      </c>
      <c r="PUN2187" s="594" t="s">
        <v>1232</v>
      </c>
      <c r="PUO2187" s="594" t="s">
        <v>1232</v>
      </c>
      <c r="PUP2187" s="594" t="s">
        <v>1232</v>
      </c>
      <c r="PUQ2187" s="594" t="s">
        <v>1232</v>
      </c>
      <c r="PUR2187" s="594" t="s">
        <v>1232</v>
      </c>
      <c r="PUS2187" s="594" t="s">
        <v>1232</v>
      </c>
      <c r="PUT2187" s="594" t="s">
        <v>1232</v>
      </c>
      <c r="PUU2187" s="594" t="s">
        <v>1232</v>
      </c>
      <c r="PUV2187" s="594" t="s">
        <v>1232</v>
      </c>
      <c r="PUW2187" s="594" t="s">
        <v>1232</v>
      </c>
      <c r="PUX2187" s="594" t="s">
        <v>1232</v>
      </c>
      <c r="PUY2187" s="594" t="s">
        <v>1232</v>
      </c>
      <c r="PUZ2187" s="594" t="s">
        <v>1232</v>
      </c>
      <c r="PVA2187" s="594" t="s">
        <v>1232</v>
      </c>
      <c r="PVB2187" s="594" t="s">
        <v>1232</v>
      </c>
      <c r="PVC2187" s="594" t="s">
        <v>1232</v>
      </c>
      <c r="PVD2187" s="594" t="s">
        <v>1232</v>
      </c>
      <c r="PVE2187" s="594" t="s">
        <v>1232</v>
      </c>
      <c r="PVF2187" s="594" t="s">
        <v>1232</v>
      </c>
      <c r="PVG2187" s="594" t="s">
        <v>1232</v>
      </c>
      <c r="PVH2187" s="594" t="s">
        <v>1232</v>
      </c>
      <c r="PVI2187" s="594" t="s">
        <v>1232</v>
      </c>
      <c r="PVJ2187" s="594" t="s">
        <v>1232</v>
      </c>
      <c r="PVK2187" s="594" t="s">
        <v>1232</v>
      </c>
      <c r="PVL2187" s="594" t="s">
        <v>1232</v>
      </c>
      <c r="PVM2187" s="594" t="s">
        <v>1232</v>
      </c>
      <c r="PVN2187" s="594" t="s">
        <v>1232</v>
      </c>
      <c r="PVO2187" s="594" t="s">
        <v>1232</v>
      </c>
      <c r="PVP2187" s="594" t="s">
        <v>1232</v>
      </c>
      <c r="PVQ2187" s="594" t="s">
        <v>1232</v>
      </c>
      <c r="PVR2187" s="594" t="s">
        <v>1232</v>
      </c>
      <c r="PVS2187" s="594" t="s">
        <v>1232</v>
      </c>
      <c r="PVT2187" s="594" t="s">
        <v>1232</v>
      </c>
      <c r="PVU2187" s="594" t="s">
        <v>1232</v>
      </c>
      <c r="PVV2187" s="594" t="s">
        <v>1232</v>
      </c>
      <c r="PVW2187" s="594" t="s">
        <v>1232</v>
      </c>
      <c r="PVX2187" s="594" t="s">
        <v>1232</v>
      </c>
      <c r="PVY2187" s="594" t="s">
        <v>1232</v>
      </c>
      <c r="PVZ2187" s="594" t="s">
        <v>1232</v>
      </c>
      <c r="PWA2187" s="594" t="s">
        <v>1232</v>
      </c>
      <c r="PWB2187" s="594" t="s">
        <v>1232</v>
      </c>
      <c r="PWC2187" s="594" t="s">
        <v>1232</v>
      </c>
      <c r="PWD2187" s="594" t="s">
        <v>1232</v>
      </c>
      <c r="PWE2187" s="594" t="s">
        <v>1232</v>
      </c>
      <c r="PWF2187" s="594" t="s">
        <v>1232</v>
      </c>
      <c r="PWG2187" s="594" t="s">
        <v>1232</v>
      </c>
      <c r="PWH2187" s="594" t="s">
        <v>1232</v>
      </c>
      <c r="PWI2187" s="594" t="s">
        <v>1232</v>
      </c>
      <c r="PWJ2187" s="594" t="s">
        <v>1232</v>
      </c>
      <c r="PWK2187" s="594" t="s">
        <v>1232</v>
      </c>
      <c r="PWL2187" s="594" t="s">
        <v>1232</v>
      </c>
      <c r="PWM2187" s="594" t="s">
        <v>1232</v>
      </c>
      <c r="PWN2187" s="594" t="s">
        <v>1232</v>
      </c>
      <c r="PWO2187" s="594" t="s">
        <v>1232</v>
      </c>
      <c r="PWP2187" s="594" t="s">
        <v>1232</v>
      </c>
      <c r="PWQ2187" s="594" t="s">
        <v>1232</v>
      </c>
      <c r="PWR2187" s="594" t="s">
        <v>1232</v>
      </c>
      <c r="PWS2187" s="594" t="s">
        <v>1232</v>
      </c>
      <c r="PWT2187" s="594" t="s">
        <v>1232</v>
      </c>
      <c r="PWU2187" s="594" t="s">
        <v>1232</v>
      </c>
      <c r="PWV2187" s="594" t="s">
        <v>1232</v>
      </c>
      <c r="PWW2187" s="594" t="s">
        <v>1232</v>
      </c>
      <c r="PWX2187" s="594" t="s">
        <v>1232</v>
      </c>
      <c r="PWY2187" s="594" t="s">
        <v>1232</v>
      </c>
      <c r="PWZ2187" s="594" t="s">
        <v>1232</v>
      </c>
      <c r="PXA2187" s="594" t="s">
        <v>1232</v>
      </c>
      <c r="PXB2187" s="594" t="s">
        <v>1232</v>
      </c>
      <c r="PXC2187" s="594" t="s">
        <v>1232</v>
      </c>
      <c r="PXD2187" s="594" t="s">
        <v>1232</v>
      </c>
      <c r="PXE2187" s="594" t="s">
        <v>1232</v>
      </c>
      <c r="PXF2187" s="594" t="s">
        <v>1232</v>
      </c>
      <c r="PXG2187" s="594" t="s">
        <v>1232</v>
      </c>
      <c r="PXH2187" s="594" t="s">
        <v>1232</v>
      </c>
      <c r="PXI2187" s="594" t="s">
        <v>1232</v>
      </c>
      <c r="PXJ2187" s="594" t="s">
        <v>1232</v>
      </c>
      <c r="PXK2187" s="594" t="s">
        <v>1232</v>
      </c>
      <c r="PXL2187" s="594" t="s">
        <v>1232</v>
      </c>
      <c r="PXM2187" s="594" t="s">
        <v>1232</v>
      </c>
      <c r="PXN2187" s="594" t="s">
        <v>1232</v>
      </c>
      <c r="PXO2187" s="594" t="s">
        <v>1232</v>
      </c>
      <c r="PXP2187" s="594" t="s">
        <v>1232</v>
      </c>
      <c r="PXQ2187" s="594" t="s">
        <v>1232</v>
      </c>
      <c r="PXR2187" s="594" t="s">
        <v>1232</v>
      </c>
      <c r="PXS2187" s="594" t="s">
        <v>1232</v>
      </c>
      <c r="PXT2187" s="594" t="s">
        <v>1232</v>
      </c>
      <c r="PXU2187" s="594" t="s">
        <v>1232</v>
      </c>
      <c r="PXV2187" s="594" t="s">
        <v>1232</v>
      </c>
      <c r="PXW2187" s="594" t="s">
        <v>1232</v>
      </c>
      <c r="PXX2187" s="594" t="s">
        <v>1232</v>
      </c>
      <c r="PXY2187" s="594" t="s">
        <v>1232</v>
      </c>
      <c r="PXZ2187" s="594" t="s">
        <v>1232</v>
      </c>
      <c r="PYA2187" s="594" t="s">
        <v>1232</v>
      </c>
      <c r="PYB2187" s="594" t="s">
        <v>1232</v>
      </c>
      <c r="PYC2187" s="594" t="s">
        <v>1232</v>
      </c>
      <c r="PYD2187" s="594" t="s">
        <v>1232</v>
      </c>
      <c r="PYE2187" s="594" t="s">
        <v>1232</v>
      </c>
      <c r="PYF2187" s="594" t="s">
        <v>1232</v>
      </c>
      <c r="PYG2187" s="594" t="s">
        <v>1232</v>
      </c>
      <c r="PYH2187" s="594" t="s">
        <v>1232</v>
      </c>
      <c r="PYI2187" s="594" t="s">
        <v>1232</v>
      </c>
      <c r="PYJ2187" s="594" t="s">
        <v>1232</v>
      </c>
      <c r="PYK2187" s="594" t="s">
        <v>1232</v>
      </c>
      <c r="PYL2187" s="594" t="s">
        <v>1232</v>
      </c>
      <c r="PYM2187" s="594" t="s">
        <v>1232</v>
      </c>
      <c r="PYN2187" s="594" t="s">
        <v>1232</v>
      </c>
      <c r="PYO2187" s="594" t="s">
        <v>1232</v>
      </c>
      <c r="PYP2187" s="594" t="s">
        <v>1232</v>
      </c>
      <c r="PYQ2187" s="594" t="s">
        <v>1232</v>
      </c>
      <c r="PYR2187" s="594" t="s">
        <v>1232</v>
      </c>
      <c r="PYS2187" s="594" t="s">
        <v>1232</v>
      </c>
      <c r="PYT2187" s="594" t="s">
        <v>1232</v>
      </c>
      <c r="PYU2187" s="594" t="s">
        <v>1232</v>
      </c>
      <c r="PYV2187" s="594" t="s">
        <v>1232</v>
      </c>
      <c r="PYW2187" s="594" t="s">
        <v>1232</v>
      </c>
      <c r="PYX2187" s="594" t="s">
        <v>1232</v>
      </c>
      <c r="PYY2187" s="594" t="s">
        <v>1232</v>
      </c>
      <c r="PYZ2187" s="594" t="s">
        <v>1232</v>
      </c>
      <c r="PZA2187" s="594" t="s">
        <v>1232</v>
      </c>
      <c r="PZB2187" s="594" t="s">
        <v>1232</v>
      </c>
      <c r="PZC2187" s="594" t="s">
        <v>1232</v>
      </c>
      <c r="PZD2187" s="594" t="s">
        <v>1232</v>
      </c>
      <c r="PZE2187" s="594" t="s">
        <v>1232</v>
      </c>
      <c r="PZF2187" s="594" t="s">
        <v>1232</v>
      </c>
      <c r="PZG2187" s="594" t="s">
        <v>1232</v>
      </c>
      <c r="PZH2187" s="594" t="s">
        <v>1232</v>
      </c>
      <c r="PZI2187" s="594" t="s">
        <v>1232</v>
      </c>
      <c r="PZJ2187" s="594" t="s">
        <v>1232</v>
      </c>
      <c r="PZK2187" s="594" t="s">
        <v>1232</v>
      </c>
      <c r="PZL2187" s="594" t="s">
        <v>1232</v>
      </c>
      <c r="PZM2187" s="594" t="s">
        <v>1232</v>
      </c>
      <c r="PZN2187" s="594" t="s">
        <v>1232</v>
      </c>
      <c r="PZO2187" s="594" t="s">
        <v>1232</v>
      </c>
      <c r="PZP2187" s="594" t="s">
        <v>1232</v>
      </c>
      <c r="PZQ2187" s="594" t="s">
        <v>1232</v>
      </c>
      <c r="PZR2187" s="594" t="s">
        <v>1232</v>
      </c>
      <c r="PZS2187" s="594" t="s">
        <v>1232</v>
      </c>
      <c r="PZT2187" s="594" t="s">
        <v>1232</v>
      </c>
      <c r="PZU2187" s="594" t="s">
        <v>1232</v>
      </c>
      <c r="PZV2187" s="594" t="s">
        <v>1232</v>
      </c>
      <c r="PZW2187" s="594" t="s">
        <v>1232</v>
      </c>
      <c r="PZX2187" s="594" t="s">
        <v>1232</v>
      </c>
      <c r="PZY2187" s="594" t="s">
        <v>1232</v>
      </c>
      <c r="PZZ2187" s="594" t="s">
        <v>1232</v>
      </c>
      <c r="QAA2187" s="594" t="s">
        <v>1232</v>
      </c>
      <c r="QAB2187" s="594" t="s">
        <v>1232</v>
      </c>
      <c r="QAC2187" s="594" t="s">
        <v>1232</v>
      </c>
      <c r="QAD2187" s="594" t="s">
        <v>1232</v>
      </c>
      <c r="QAE2187" s="594" t="s">
        <v>1232</v>
      </c>
      <c r="QAF2187" s="594" t="s">
        <v>1232</v>
      </c>
      <c r="QAG2187" s="594" t="s">
        <v>1232</v>
      </c>
      <c r="QAH2187" s="594" t="s">
        <v>1232</v>
      </c>
      <c r="QAI2187" s="594" t="s">
        <v>1232</v>
      </c>
      <c r="QAJ2187" s="594" t="s">
        <v>1232</v>
      </c>
      <c r="QAK2187" s="594" t="s">
        <v>1232</v>
      </c>
      <c r="QAL2187" s="594" t="s">
        <v>1232</v>
      </c>
      <c r="QAM2187" s="594" t="s">
        <v>1232</v>
      </c>
      <c r="QAN2187" s="594" t="s">
        <v>1232</v>
      </c>
      <c r="QAO2187" s="594" t="s">
        <v>1232</v>
      </c>
      <c r="QAP2187" s="594" t="s">
        <v>1232</v>
      </c>
      <c r="QAQ2187" s="594" t="s">
        <v>1232</v>
      </c>
      <c r="QAR2187" s="594" t="s">
        <v>1232</v>
      </c>
      <c r="QAS2187" s="594" t="s">
        <v>1232</v>
      </c>
      <c r="QAT2187" s="594" t="s">
        <v>1232</v>
      </c>
      <c r="QAU2187" s="594" t="s">
        <v>1232</v>
      </c>
      <c r="QAV2187" s="594" t="s">
        <v>1232</v>
      </c>
      <c r="QAW2187" s="594" t="s">
        <v>1232</v>
      </c>
      <c r="QAX2187" s="594" t="s">
        <v>1232</v>
      </c>
      <c r="QAY2187" s="594" t="s">
        <v>1232</v>
      </c>
      <c r="QAZ2187" s="594" t="s">
        <v>1232</v>
      </c>
      <c r="QBA2187" s="594" t="s">
        <v>1232</v>
      </c>
      <c r="QBB2187" s="594" t="s">
        <v>1232</v>
      </c>
      <c r="QBC2187" s="594" t="s">
        <v>1232</v>
      </c>
      <c r="QBD2187" s="594" t="s">
        <v>1232</v>
      </c>
      <c r="QBE2187" s="594" t="s">
        <v>1232</v>
      </c>
      <c r="QBF2187" s="594" t="s">
        <v>1232</v>
      </c>
      <c r="QBG2187" s="594" t="s">
        <v>1232</v>
      </c>
      <c r="QBH2187" s="594" t="s">
        <v>1232</v>
      </c>
      <c r="QBI2187" s="594" t="s">
        <v>1232</v>
      </c>
      <c r="QBJ2187" s="594" t="s">
        <v>1232</v>
      </c>
      <c r="QBK2187" s="594" t="s">
        <v>1232</v>
      </c>
      <c r="QBL2187" s="594" t="s">
        <v>1232</v>
      </c>
      <c r="QBM2187" s="594" t="s">
        <v>1232</v>
      </c>
      <c r="QBN2187" s="594" t="s">
        <v>1232</v>
      </c>
      <c r="QBO2187" s="594" t="s">
        <v>1232</v>
      </c>
      <c r="QBP2187" s="594" t="s">
        <v>1232</v>
      </c>
      <c r="QBQ2187" s="594" t="s">
        <v>1232</v>
      </c>
      <c r="QBR2187" s="594" t="s">
        <v>1232</v>
      </c>
      <c r="QBS2187" s="594" t="s">
        <v>1232</v>
      </c>
      <c r="QBT2187" s="594" t="s">
        <v>1232</v>
      </c>
      <c r="QBU2187" s="594" t="s">
        <v>1232</v>
      </c>
      <c r="QBV2187" s="594" t="s">
        <v>1232</v>
      </c>
      <c r="QBW2187" s="594" t="s">
        <v>1232</v>
      </c>
      <c r="QBX2187" s="594" t="s">
        <v>1232</v>
      </c>
      <c r="QBY2187" s="594" t="s">
        <v>1232</v>
      </c>
      <c r="QBZ2187" s="594" t="s">
        <v>1232</v>
      </c>
      <c r="QCA2187" s="594" t="s">
        <v>1232</v>
      </c>
      <c r="QCB2187" s="594" t="s">
        <v>1232</v>
      </c>
      <c r="QCC2187" s="594" t="s">
        <v>1232</v>
      </c>
      <c r="QCD2187" s="594" t="s">
        <v>1232</v>
      </c>
      <c r="QCE2187" s="594" t="s">
        <v>1232</v>
      </c>
      <c r="QCF2187" s="594" t="s">
        <v>1232</v>
      </c>
      <c r="QCG2187" s="594" t="s">
        <v>1232</v>
      </c>
      <c r="QCH2187" s="594" t="s">
        <v>1232</v>
      </c>
      <c r="QCI2187" s="594" t="s">
        <v>1232</v>
      </c>
      <c r="QCJ2187" s="594" t="s">
        <v>1232</v>
      </c>
      <c r="QCK2187" s="594" t="s">
        <v>1232</v>
      </c>
      <c r="QCL2187" s="594" t="s">
        <v>1232</v>
      </c>
      <c r="QCM2187" s="594" t="s">
        <v>1232</v>
      </c>
      <c r="QCN2187" s="594" t="s">
        <v>1232</v>
      </c>
      <c r="QCO2187" s="594" t="s">
        <v>1232</v>
      </c>
      <c r="QCP2187" s="594" t="s">
        <v>1232</v>
      </c>
      <c r="QCQ2187" s="594" t="s">
        <v>1232</v>
      </c>
      <c r="QCR2187" s="594" t="s">
        <v>1232</v>
      </c>
      <c r="QCS2187" s="594" t="s">
        <v>1232</v>
      </c>
      <c r="QCT2187" s="594" t="s">
        <v>1232</v>
      </c>
      <c r="QCU2187" s="594" t="s">
        <v>1232</v>
      </c>
      <c r="QCV2187" s="594" t="s">
        <v>1232</v>
      </c>
      <c r="QCW2187" s="594" t="s">
        <v>1232</v>
      </c>
      <c r="QCX2187" s="594" t="s">
        <v>1232</v>
      </c>
      <c r="QCY2187" s="594" t="s">
        <v>1232</v>
      </c>
      <c r="QCZ2187" s="594" t="s">
        <v>1232</v>
      </c>
      <c r="QDA2187" s="594" t="s">
        <v>1232</v>
      </c>
      <c r="QDB2187" s="594" t="s">
        <v>1232</v>
      </c>
      <c r="QDC2187" s="594" t="s">
        <v>1232</v>
      </c>
      <c r="QDD2187" s="594" t="s">
        <v>1232</v>
      </c>
      <c r="QDE2187" s="594" t="s">
        <v>1232</v>
      </c>
      <c r="QDF2187" s="594" t="s">
        <v>1232</v>
      </c>
      <c r="QDG2187" s="594" t="s">
        <v>1232</v>
      </c>
      <c r="QDH2187" s="594" t="s">
        <v>1232</v>
      </c>
      <c r="QDI2187" s="594" t="s">
        <v>1232</v>
      </c>
      <c r="QDJ2187" s="594" t="s">
        <v>1232</v>
      </c>
      <c r="QDK2187" s="594" t="s">
        <v>1232</v>
      </c>
      <c r="QDL2187" s="594" t="s">
        <v>1232</v>
      </c>
      <c r="QDM2187" s="594" t="s">
        <v>1232</v>
      </c>
      <c r="QDN2187" s="594" t="s">
        <v>1232</v>
      </c>
      <c r="QDO2187" s="594" t="s">
        <v>1232</v>
      </c>
      <c r="QDP2187" s="594" t="s">
        <v>1232</v>
      </c>
      <c r="QDQ2187" s="594" t="s">
        <v>1232</v>
      </c>
      <c r="QDR2187" s="594" t="s">
        <v>1232</v>
      </c>
      <c r="QDS2187" s="594" t="s">
        <v>1232</v>
      </c>
      <c r="QDT2187" s="594" t="s">
        <v>1232</v>
      </c>
      <c r="QDU2187" s="594" t="s">
        <v>1232</v>
      </c>
      <c r="QDV2187" s="594" t="s">
        <v>1232</v>
      </c>
      <c r="QDW2187" s="594" t="s">
        <v>1232</v>
      </c>
      <c r="QDX2187" s="594" t="s">
        <v>1232</v>
      </c>
      <c r="QDY2187" s="594" t="s">
        <v>1232</v>
      </c>
      <c r="QDZ2187" s="594" t="s">
        <v>1232</v>
      </c>
      <c r="QEA2187" s="594" t="s">
        <v>1232</v>
      </c>
      <c r="QEB2187" s="594" t="s">
        <v>1232</v>
      </c>
      <c r="QEC2187" s="594" t="s">
        <v>1232</v>
      </c>
      <c r="QED2187" s="594" t="s">
        <v>1232</v>
      </c>
      <c r="QEE2187" s="594" t="s">
        <v>1232</v>
      </c>
      <c r="QEF2187" s="594" t="s">
        <v>1232</v>
      </c>
      <c r="QEG2187" s="594" t="s">
        <v>1232</v>
      </c>
      <c r="QEH2187" s="594" t="s">
        <v>1232</v>
      </c>
      <c r="QEI2187" s="594" t="s">
        <v>1232</v>
      </c>
      <c r="QEJ2187" s="594" t="s">
        <v>1232</v>
      </c>
      <c r="QEK2187" s="594" t="s">
        <v>1232</v>
      </c>
      <c r="QEL2187" s="594" t="s">
        <v>1232</v>
      </c>
      <c r="QEM2187" s="594" t="s">
        <v>1232</v>
      </c>
      <c r="QEN2187" s="594" t="s">
        <v>1232</v>
      </c>
      <c r="QEO2187" s="594" t="s">
        <v>1232</v>
      </c>
      <c r="QEP2187" s="594" t="s">
        <v>1232</v>
      </c>
      <c r="QEQ2187" s="594" t="s">
        <v>1232</v>
      </c>
      <c r="QER2187" s="594" t="s">
        <v>1232</v>
      </c>
      <c r="QES2187" s="594" t="s">
        <v>1232</v>
      </c>
      <c r="QET2187" s="594" t="s">
        <v>1232</v>
      </c>
      <c r="QEU2187" s="594" t="s">
        <v>1232</v>
      </c>
      <c r="QEV2187" s="594" t="s">
        <v>1232</v>
      </c>
      <c r="QEW2187" s="594" t="s">
        <v>1232</v>
      </c>
      <c r="QEX2187" s="594" t="s">
        <v>1232</v>
      </c>
      <c r="QEY2187" s="594" t="s">
        <v>1232</v>
      </c>
      <c r="QEZ2187" s="594" t="s">
        <v>1232</v>
      </c>
      <c r="QFA2187" s="594" t="s">
        <v>1232</v>
      </c>
      <c r="QFB2187" s="594" t="s">
        <v>1232</v>
      </c>
      <c r="QFC2187" s="594" t="s">
        <v>1232</v>
      </c>
      <c r="QFD2187" s="594" t="s">
        <v>1232</v>
      </c>
      <c r="QFE2187" s="594" t="s">
        <v>1232</v>
      </c>
      <c r="QFF2187" s="594" t="s">
        <v>1232</v>
      </c>
      <c r="QFG2187" s="594" t="s">
        <v>1232</v>
      </c>
      <c r="QFH2187" s="594" t="s">
        <v>1232</v>
      </c>
      <c r="QFI2187" s="594" t="s">
        <v>1232</v>
      </c>
      <c r="QFJ2187" s="594" t="s">
        <v>1232</v>
      </c>
      <c r="QFK2187" s="594" t="s">
        <v>1232</v>
      </c>
      <c r="QFL2187" s="594" t="s">
        <v>1232</v>
      </c>
      <c r="QFM2187" s="594" t="s">
        <v>1232</v>
      </c>
      <c r="QFN2187" s="594" t="s">
        <v>1232</v>
      </c>
      <c r="QFO2187" s="594" t="s">
        <v>1232</v>
      </c>
      <c r="QFP2187" s="594" t="s">
        <v>1232</v>
      </c>
      <c r="QFQ2187" s="594" t="s">
        <v>1232</v>
      </c>
      <c r="QFR2187" s="594" t="s">
        <v>1232</v>
      </c>
      <c r="QFS2187" s="594" t="s">
        <v>1232</v>
      </c>
      <c r="QFT2187" s="594" t="s">
        <v>1232</v>
      </c>
      <c r="QFU2187" s="594" t="s">
        <v>1232</v>
      </c>
      <c r="QFV2187" s="594" t="s">
        <v>1232</v>
      </c>
      <c r="QFW2187" s="594" t="s">
        <v>1232</v>
      </c>
      <c r="QFX2187" s="594" t="s">
        <v>1232</v>
      </c>
      <c r="QFY2187" s="594" t="s">
        <v>1232</v>
      </c>
      <c r="QFZ2187" s="594" t="s">
        <v>1232</v>
      </c>
      <c r="QGA2187" s="594" t="s">
        <v>1232</v>
      </c>
      <c r="QGB2187" s="594" t="s">
        <v>1232</v>
      </c>
      <c r="QGC2187" s="594" t="s">
        <v>1232</v>
      </c>
      <c r="QGD2187" s="594" t="s">
        <v>1232</v>
      </c>
      <c r="QGE2187" s="594" t="s">
        <v>1232</v>
      </c>
      <c r="QGF2187" s="594" t="s">
        <v>1232</v>
      </c>
      <c r="QGG2187" s="594" t="s">
        <v>1232</v>
      </c>
      <c r="QGH2187" s="594" t="s">
        <v>1232</v>
      </c>
      <c r="QGI2187" s="594" t="s">
        <v>1232</v>
      </c>
      <c r="QGJ2187" s="594" t="s">
        <v>1232</v>
      </c>
      <c r="QGK2187" s="594" t="s">
        <v>1232</v>
      </c>
      <c r="QGL2187" s="594" t="s">
        <v>1232</v>
      </c>
      <c r="QGM2187" s="594" t="s">
        <v>1232</v>
      </c>
      <c r="QGN2187" s="594" t="s">
        <v>1232</v>
      </c>
      <c r="QGO2187" s="594" t="s">
        <v>1232</v>
      </c>
      <c r="QGP2187" s="594" t="s">
        <v>1232</v>
      </c>
      <c r="QGQ2187" s="594" t="s">
        <v>1232</v>
      </c>
      <c r="QGR2187" s="594" t="s">
        <v>1232</v>
      </c>
      <c r="QGS2187" s="594" t="s">
        <v>1232</v>
      </c>
      <c r="QGT2187" s="594" t="s">
        <v>1232</v>
      </c>
      <c r="QGU2187" s="594" t="s">
        <v>1232</v>
      </c>
      <c r="QGV2187" s="594" t="s">
        <v>1232</v>
      </c>
      <c r="QGW2187" s="594" t="s">
        <v>1232</v>
      </c>
      <c r="QGX2187" s="594" t="s">
        <v>1232</v>
      </c>
      <c r="QGY2187" s="594" t="s">
        <v>1232</v>
      </c>
      <c r="QGZ2187" s="594" t="s">
        <v>1232</v>
      </c>
      <c r="QHA2187" s="594" t="s">
        <v>1232</v>
      </c>
      <c r="QHB2187" s="594" t="s">
        <v>1232</v>
      </c>
      <c r="QHC2187" s="594" t="s">
        <v>1232</v>
      </c>
      <c r="QHD2187" s="594" t="s">
        <v>1232</v>
      </c>
      <c r="QHE2187" s="594" t="s">
        <v>1232</v>
      </c>
      <c r="QHF2187" s="594" t="s">
        <v>1232</v>
      </c>
      <c r="QHG2187" s="594" t="s">
        <v>1232</v>
      </c>
      <c r="QHH2187" s="594" t="s">
        <v>1232</v>
      </c>
      <c r="QHI2187" s="594" t="s">
        <v>1232</v>
      </c>
      <c r="QHJ2187" s="594" t="s">
        <v>1232</v>
      </c>
      <c r="QHK2187" s="594" t="s">
        <v>1232</v>
      </c>
      <c r="QHL2187" s="594" t="s">
        <v>1232</v>
      </c>
      <c r="QHM2187" s="594" t="s">
        <v>1232</v>
      </c>
      <c r="QHN2187" s="594" t="s">
        <v>1232</v>
      </c>
      <c r="QHO2187" s="594" t="s">
        <v>1232</v>
      </c>
      <c r="QHP2187" s="594" t="s">
        <v>1232</v>
      </c>
      <c r="QHQ2187" s="594" t="s">
        <v>1232</v>
      </c>
      <c r="QHR2187" s="594" t="s">
        <v>1232</v>
      </c>
      <c r="QHS2187" s="594" t="s">
        <v>1232</v>
      </c>
      <c r="QHT2187" s="594" t="s">
        <v>1232</v>
      </c>
      <c r="QHU2187" s="594" t="s">
        <v>1232</v>
      </c>
      <c r="QHV2187" s="594" t="s">
        <v>1232</v>
      </c>
      <c r="QHW2187" s="594" t="s">
        <v>1232</v>
      </c>
      <c r="QHX2187" s="594" t="s">
        <v>1232</v>
      </c>
      <c r="QHY2187" s="594" t="s">
        <v>1232</v>
      </c>
      <c r="QHZ2187" s="594" t="s">
        <v>1232</v>
      </c>
      <c r="QIA2187" s="594" t="s">
        <v>1232</v>
      </c>
      <c r="QIB2187" s="594" t="s">
        <v>1232</v>
      </c>
      <c r="QIC2187" s="594" t="s">
        <v>1232</v>
      </c>
      <c r="QID2187" s="594" t="s">
        <v>1232</v>
      </c>
      <c r="QIE2187" s="594" t="s">
        <v>1232</v>
      </c>
      <c r="QIF2187" s="594" t="s">
        <v>1232</v>
      </c>
      <c r="QIG2187" s="594" t="s">
        <v>1232</v>
      </c>
      <c r="QIH2187" s="594" t="s">
        <v>1232</v>
      </c>
      <c r="QII2187" s="594" t="s">
        <v>1232</v>
      </c>
      <c r="QIJ2187" s="594" t="s">
        <v>1232</v>
      </c>
      <c r="QIK2187" s="594" t="s">
        <v>1232</v>
      </c>
      <c r="QIL2187" s="594" t="s">
        <v>1232</v>
      </c>
      <c r="QIM2187" s="594" t="s">
        <v>1232</v>
      </c>
      <c r="QIN2187" s="594" t="s">
        <v>1232</v>
      </c>
      <c r="QIO2187" s="594" t="s">
        <v>1232</v>
      </c>
      <c r="QIP2187" s="594" t="s">
        <v>1232</v>
      </c>
      <c r="QIQ2187" s="594" t="s">
        <v>1232</v>
      </c>
      <c r="QIR2187" s="594" t="s">
        <v>1232</v>
      </c>
      <c r="QIS2187" s="594" t="s">
        <v>1232</v>
      </c>
      <c r="QIT2187" s="594" t="s">
        <v>1232</v>
      </c>
      <c r="QIU2187" s="594" t="s">
        <v>1232</v>
      </c>
      <c r="QIV2187" s="594" t="s">
        <v>1232</v>
      </c>
      <c r="QIW2187" s="594" t="s">
        <v>1232</v>
      </c>
      <c r="QIX2187" s="594" t="s">
        <v>1232</v>
      </c>
      <c r="QIY2187" s="594" t="s">
        <v>1232</v>
      </c>
      <c r="QIZ2187" s="594" t="s">
        <v>1232</v>
      </c>
      <c r="QJA2187" s="594" t="s">
        <v>1232</v>
      </c>
      <c r="QJB2187" s="594" t="s">
        <v>1232</v>
      </c>
      <c r="QJC2187" s="594" t="s">
        <v>1232</v>
      </c>
      <c r="QJD2187" s="594" t="s">
        <v>1232</v>
      </c>
      <c r="QJE2187" s="594" t="s">
        <v>1232</v>
      </c>
      <c r="QJF2187" s="594" t="s">
        <v>1232</v>
      </c>
      <c r="QJG2187" s="594" t="s">
        <v>1232</v>
      </c>
      <c r="QJH2187" s="594" t="s">
        <v>1232</v>
      </c>
      <c r="QJI2187" s="594" t="s">
        <v>1232</v>
      </c>
      <c r="QJJ2187" s="594" t="s">
        <v>1232</v>
      </c>
      <c r="QJK2187" s="594" t="s">
        <v>1232</v>
      </c>
      <c r="QJL2187" s="594" t="s">
        <v>1232</v>
      </c>
      <c r="QJM2187" s="594" t="s">
        <v>1232</v>
      </c>
      <c r="QJN2187" s="594" t="s">
        <v>1232</v>
      </c>
      <c r="QJO2187" s="594" t="s">
        <v>1232</v>
      </c>
      <c r="QJP2187" s="594" t="s">
        <v>1232</v>
      </c>
      <c r="QJQ2187" s="594" t="s">
        <v>1232</v>
      </c>
      <c r="QJR2187" s="594" t="s">
        <v>1232</v>
      </c>
      <c r="QJS2187" s="594" t="s">
        <v>1232</v>
      </c>
      <c r="QJT2187" s="594" t="s">
        <v>1232</v>
      </c>
      <c r="QJU2187" s="594" t="s">
        <v>1232</v>
      </c>
      <c r="QJV2187" s="594" t="s">
        <v>1232</v>
      </c>
      <c r="QJW2187" s="594" t="s">
        <v>1232</v>
      </c>
      <c r="QJX2187" s="594" t="s">
        <v>1232</v>
      </c>
      <c r="QJY2187" s="594" t="s">
        <v>1232</v>
      </c>
      <c r="QJZ2187" s="594" t="s">
        <v>1232</v>
      </c>
      <c r="QKA2187" s="594" t="s">
        <v>1232</v>
      </c>
      <c r="QKB2187" s="594" t="s">
        <v>1232</v>
      </c>
      <c r="QKC2187" s="594" t="s">
        <v>1232</v>
      </c>
      <c r="QKD2187" s="594" t="s">
        <v>1232</v>
      </c>
      <c r="QKE2187" s="594" t="s">
        <v>1232</v>
      </c>
      <c r="QKF2187" s="594" t="s">
        <v>1232</v>
      </c>
      <c r="QKG2187" s="594" t="s">
        <v>1232</v>
      </c>
      <c r="QKH2187" s="594" t="s">
        <v>1232</v>
      </c>
      <c r="QKI2187" s="594" t="s">
        <v>1232</v>
      </c>
      <c r="QKJ2187" s="594" t="s">
        <v>1232</v>
      </c>
      <c r="QKK2187" s="594" t="s">
        <v>1232</v>
      </c>
      <c r="QKL2187" s="594" t="s">
        <v>1232</v>
      </c>
      <c r="QKM2187" s="594" t="s">
        <v>1232</v>
      </c>
      <c r="QKN2187" s="594" t="s">
        <v>1232</v>
      </c>
      <c r="QKO2187" s="594" t="s">
        <v>1232</v>
      </c>
      <c r="QKP2187" s="594" t="s">
        <v>1232</v>
      </c>
      <c r="QKQ2187" s="594" t="s">
        <v>1232</v>
      </c>
      <c r="QKR2187" s="594" t="s">
        <v>1232</v>
      </c>
      <c r="QKS2187" s="594" t="s">
        <v>1232</v>
      </c>
      <c r="QKT2187" s="594" t="s">
        <v>1232</v>
      </c>
      <c r="QKU2187" s="594" t="s">
        <v>1232</v>
      </c>
      <c r="QKV2187" s="594" t="s">
        <v>1232</v>
      </c>
      <c r="QKW2187" s="594" t="s">
        <v>1232</v>
      </c>
      <c r="QKX2187" s="594" t="s">
        <v>1232</v>
      </c>
      <c r="QKY2187" s="594" t="s">
        <v>1232</v>
      </c>
      <c r="QKZ2187" s="594" t="s">
        <v>1232</v>
      </c>
      <c r="QLA2187" s="594" t="s">
        <v>1232</v>
      </c>
      <c r="QLB2187" s="594" t="s">
        <v>1232</v>
      </c>
      <c r="QLC2187" s="594" t="s">
        <v>1232</v>
      </c>
      <c r="QLD2187" s="594" t="s">
        <v>1232</v>
      </c>
      <c r="QLE2187" s="594" t="s">
        <v>1232</v>
      </c>
      <c r="QLF2187" s="594" t="s">
        <v>1232</v>
      </c>
      <c r="QLG2187" s="594" t="s">
        <v>1232</v>
      </c>
      <c r="QLH2187" s="594" t="s">
        <v>1232</v>
      </c>
      <c r="QLI2187" s="594" t="s">
        <v>1232</v>
      </c>
      <c r="QLJ2187" s="594" t="s">
        <v>1232</v>
      </c>
      <c r="QLK2187" s="594" t="s">
        <v>1232</v>
      </c>
      <c r="QLL2187" s="594" t="s">
        <v>1232</v>
      </c>
      <c r="QLM2187" s="594" t="s">
        <v>1232</v>
      </c>
      <c r="QLN2187" s="594" t="s">
        <v>1232</v>
      </c>
      <c r="QLO2187" s="594" t="s">
        <v>1232</v>
      </c>
      <c r="QLP2187" s="594" t="s">
        <v>1232</v>
      </c>
      <c r="QLQ2187" s="594" t="s">
        <v>1232</v>
      </c>
      <c r="QLR2187" s="594" t="s">
        <v>1232</v>
      </c>
      <c r="QLS2187" s="594" t="s">
        <v>1232</v>
      </c>
      <c r="QLT2187" s="594" t="s">
        <v>1232</v>
      </c>
      <c r="QLU2187" s="594" t="s">
        <v>1232</v>
      </c>
      <c r="QLV2187" s="594" t="s">
        <v>1232</v>
      </c>
      <c r="QLW2187" s="594" t="s">
        <v>1232</v>
      </c>
      <c r="QLX2187" s="594" t="s">
        <v>1232</v>
      </c>
      <c r="QLY2187" s="594" t="s">
        <v>1232</v>
      </c>
      <c r="QLZ2187" s="594" t="s">
        <v>1232</v>
      </c>
      <c r="QMA2187" s="594" t="s">
        <v>1232</v>
      </c>
      <c r="QMB2187" s="594" t="s">
        <v>1232</v>
      </c>
      <c r="QMC2187" s="594" t="s">
        <v>1232</v>
      </c>
      <c r="QMD2187" s="594" t="s">
        <v>1232</v>
      </c>
      <c r="QME2187" s="594" t="s">
        <v>1232</v>
      </c>
      <c r="QMF2187" s="594" t="s">
        <v>1232</v>
      </c>
      <c r="QMG2187" s="594" t="s">
        <v>1232</v>
      </c>
      <c r="QMH2187" s="594" t="s">
        <v>1232</v>
      </c>
      <c r="QMI2187" s="594" t="s">
        <v>1232</v>
      </c>
      <c r="QMJ2187" s="594" t="s">
        <v>1232</v>
      </c>
      <c r="QMK2187" s="594" t="s">
        <v>1232</v>
      </c>
      <c r="QML2187" s="594" t="s">
        <v>1232</v>
      </c>
      <c r="QMM2187" s="594" t="s">
        <v>1232</v>
      </c>
      <c r="QMN2187" s="594" t="s">
        <v>1232</v>
      </c>
      <c r="QMO2187" s="594" t="s">
        <v>1232</v>
      </c>
      <c r="QMP2187" s="594" t="s">
        <v>1232</v>
      </c>
      <c r="QMQ2187" s="594" t="s">
        <v>1232</v>
      </c>
      <c r="QMR2187" s="594" t="s">
        <v>1232</v>
      </c>
      <c r="QMS2187" s="594" t="s">
        <v>1232</v>
      </c>
      <c r="QMT2187" s="594" t="s">
        <v>1232</v>
      </c>
      <c r="QMU2187" s="594" t="s">
        <v>1232</v>
      </c>
      <c r="QMV2187" s="594" t="s">
        <v>1232</v>
      </c>
      <c r="QMW2187" s="594" t="s">
        <v>1232</v>
      </c>
      <c r="QMX2187" s="594" t="s">
        <v>1232</v>
      </c>
      <c r="QMY2187" s="594" t="s">
        <v>1232</v>
      </c>
      <c r="QMZ2187" s="594" t="s">
        <v>1232</v>
      </c>
      <c r="QNA2187" s="594" t="s">
        <v>1232</v>
      </c>
      <c r="QNB2187" s="594" t="s">
        <v>1232</v>
      </c>
      <c r="QNC2187" s="594" t="s">
        <v>1232</v>
      </c>
      <c r="QND2187" s="594" t="s">
        <v>1232</v>
      </c>
      <c r="QNE2187" s="594" t="s">
        <v>1232</v>
      </c>
      <c r="QNF2187" s="594" t="s">
        <v>1232</v>
      </c>
      <c r="QNG2187" s="594" t="s">
        <v>1232</v>
      </c>
      <c r="QNH2187" s="594" t="s">
        <v>1232</v>
      </c>
      <c r="QNI2187" s="594" t="s">
        <v>1232</v>
      </c>
      <c r="QNJ2187" s="594" t="s">
        <v>1232</v>
      </c>
      <c r="QNK2187" s="594" t="s">
        <v>1232</v>
      </c>
      <c r="QNL2187" s="594" t="s">
        <v>1232</v>
      </c>
      <c r="QNM2187" s="594" t="s">
        <v>1232</v>
      </c>
      <c r="QNN2187" s="594" t="s">
        <v>1232</v>
      </c>
      <c r="QNO2187" s="594" t="s">
        <v>1232</v>
      </c>
      <c r="QNP2187" s="594" t="s">
        <v>1232</v>
      </c>
      <c r="QNQ2187" s="594" t="s">
        <v>1232</v>
      </c>
      <c r="QNR2187" s="594" t="s">
        <v>1232</v>
      </c>
      <c r="QNS2187" s="594" t="s">
        <v>1232</v>
      </c>
      <c r="QNT2187" s="594" t="s">
        <v>1232</v>
      </c>
      <c r="QNU2187" s="594" t="s">
        <v>1232</v>
      </c>
      <c r="QNV2187" s="594" t="s">
        <v>1232</v>
      </c>
      <c r="QNW2187" s="594" t="s">
        <v>1232</v>
      </c>
      <c r="QNX2187" s="594" t="s">
        <v>1232</v>
      </c>
      <c r="QNY2187" s="594" t="s">
        <v>1232</v>
      </c>
      <c r="QNZ2187" s="594" t="s">
        <v>1232</v>
      </c>
      <c r="QOA2187" s="594" t="s">
        <v>1232</v>
      </c>
      <c r="QOB2187" s="594" t="s">
        <v>1232</v>
      </c>
      <c r="QOC2187" s="594" t="s">
        <v>1232</v>
      </c>
      <c r="QOD2187" s="594" t="s">
        <v>1232</v>
      </c>
      <c r="QOE2187" s="594" t="s">
        <v>1232</v>
      </c>
      <c r="QOF2187" s="594" t="s">
        <v>1232</v>
      </c>
      <c r="QOG2187" s="594" t="s">
        <v>1232</v>
      </c>
      <c r="QOH2187" s="594" t="s">
        <v>1232</v>
      </c>
      <c r="QOI2187" s="594" t="s">
        <v>1232</v>
      </c>
      <c r="QOJ2187" s="594" t="s">
        <v>1232</v>
      </c>
      <c r="QOK2187" s="594" t="s">
        <v>1232</v>
      </c>
      <c r="QOL2187" s="594" t="s">
        <v>1232</v>
      </c>
      <c r="QOM2187" s="594" t="s">
        <v>1232</v>
      </c>
      <c r="QON2187" s="594" t="s">
        <v>1232</v>
      </c>
      <c r="QOO2187" s="594" t="s">
        <v>1232</v>
      </c>
      <c r="QOP2187" s="594" t="s">
        <v>1232</v>
      </c>
      <c r="QOQ2187" s="594" t="s">
        <v>1232</v>
      </c>
      <c r="QOR2187" s="594" t="s">
        <v>1232</v>
      </c>
      <c r="QOS2187" s="594" t="s">
        <v>1232</v>
      </c>
      <c r="QOT2187" s="594" t="s">
        <v>1232</v>
      </c>
      <c r="QOU2187" s="594" t="s">
        <v>1232</v>
      </c>
      <c r="QOV2187" s="594" t="s">
        <v>1232</v>
      </c>
      <c r="QOW2187" s="594" t="s">
        <v>1232</v>
      </c>
      <c r="QOX2187" s="594" t="s">
        <v>1232</v>
      </c>
      <c r="QOY2187" s="594" t="s">
        <v>1232</v>
      </c>
      <c r="QOZ2187" s="594" t="s">
        <v>1232</v>
      </c>
      <c r="QPA2187" s="594" t="s">
        <v>1232</v>
      </c>
      <c r="QPB2187" s="594" t="s">
        <v>1232</v>
      </c>
      <c r="QPC2187" s="594" t="s">
        <v>1232</v>
      </c>
      <c r="QPD2187" s="594" t="s">
        <v>1232</v>
      </c>
      <c r="QPE2187" s="594" t="s">
        <v>1232</v>
      </c>
      <c r="QPF2187" s="594" t="s">
        <v>1232</v>
      </c>
      <c r="QPG2187" s="594" t="s">
        <v>1232</v>
      </c>
      <c r="QPH2187" s="594" t="s">
        <v>1232</v>
      </c>
      <c r="QPI2187" s="594" t="s">
        <v>1232</v>
      </c>
      <c r="QPJ2187" s="594" t="s">
        <v>1232</v>
      </c>
      <c r="QPK2187" s="594" t="s">
        <v>1232</v>
      </c>
      <c r="QPL2187" s="594" t="s">
        <v>1232</v>
      </c>
      <c r="QPM2187" s="594" t="s">
        <v>1232</v>
      </c>
      <c r="QPN2187" s="594" t="s">
        <v>1232</v>
      </c>
      <c r="QPO2187" s="594" t="s">
        <v>1232</v>
      </c>
      <c r="QPP2187" s="594" t="s">
        <v>1232</v>
      </c>
      <c r="QPQ2187" s="594" t="s">
        <v>1232</v>
      </c>
      <c r="QPR2187" s="594" t="s">
        <v>1232</v>
      </c>
      <c r="QPS2187" s="594" t="s">
        <v>1232</v>
      </c>
      <c r="QPT2187" s="594" t="s">
        <v>1232</v>
      </c>
      <c r="QPU2187" s="594" t="s">
        <v>1232</v>
      </c>
      <c r="QPV2187" s="594" t="s">
        <v>1232</v>
      </c>
      <c r="QPW2187" s="594" t="s">
        <v>1232</v>
      </c>
      <c r="QPX2187" s="594" t="s">
        <v>1232</v>
      </c>
      <c r="QPY2187" s="594" t="s">
        <v>1232</v>
      </c>
      <c r="QPZ2187" s="594" t="s">
        <v>1232</v>
      </c>
      <c r="QQA2187" s="594" t="s">
        <v>1232</v>
      </c>
      <c r="QQB2187" s="594" t="s">
        <v>1232</v>
      </c>
      <c r="QQC2187" s="594" t="s">
        <v>1232</v>
      </c>
      <c r="QQD2187" s="594" t="s">
        <v>1232</v>
      </c>
      <c r="QQE2187" s="594" t="s">
        <v>1232</v>
      </c>
      <c r="QQF2187" s="594" t="s">
        <v>1232</v>
      </c>
      <c r="QQG2187" s="594" t="s">
        <v>1232</v>
      </c>
      <c r="QQH2187" s="594" t="s">
        <v>1232</v>
      </c>
      <c r="QQI2187" s="594" t="s">
        <v>1232</v>
      </c>
      <c r="QQJ2187" s="594" t="s">
        <v>1232</v>
      </c>
      <c r="QQK2187" s="594" t="s">
        <v>1232</v>
      </c>
      <c r="QQL2187" s="594" t="s">
        <v>1232</v>
      </c>
      <c r="QQM2187" s="594" t="s">
        <v>1232</v>
      </c>
      <c r="QQN2187" s="594" t="s">
        <v>1232</v>
      </c>
      <c r="QQO2187" s="594" t="s">
        <v>1232</v>
      </c>
      <c r="QQP2187" s="594" t="s">
        <v>1232</v>
      </c>
      <c r="QQQ2187" s="594" t="s">
        <v>1232</v>
      </c>
      <c r="QQR2187" s="594" t="s">
        <v>1232</v>
      </c>
      <c r="QQS2187" s="594" t="s">
        <v>1232</v>
      </c>
      <c r="QQT2187" s="594" t="s">
        <v>1232</v>
      </c>
      <c r="QQU2187" s="594" t="s">
        <v>1232</v>
      </c>
      <c r="QQV2187" s="594" t="s">
        <v>1232</v>
      </c>
      <c r="QQW2187" s="594" t="s">
        <v>1232</v>
      </c>
      <c r="QQX2187" s="594" t="s">
        <v>1232</v>
      </c>
      <c r="QQY2187" s="594" t="s">
        <v>1232</v>
      </c>
      <c r="QQZ2187" s="594" t="s">
        <v>1232</v>
      </c>
      <c r="QRA2187" s="594" t="s">
        <v>1232</v>
      </c>
      <c r="QRB2187" s="594" t="s">
        <v>1232</v>
      </c>
      <c r="QRC2187" s="594" t="s">
        <v>1232</v>
      </c>
      <c r="QRD2187" s="594" t="s">
        <v>1232</v>
      </c>
      <c r="QRE2187" s="594" t="s">
        <v>1232</v>
      </c>
      <c r="QRF2187" s="594" t="s">
        <v>1232</v>
      </c>
      <c r="QRG2187" s="594" t="s">
        <v>1232</v>
      </c>
      <c r="QRH2187" s="594" t="s">
        <v>1232</v>
      </c>
      <c r="QRI2187" s="594" t="s">
        <v>1232</v>
      </c>
      <c r="QRJ2187" s="594" t="s">
        <v>1232</v>
      </c>
      <c r="QRK2187" s="594" t="s">
        <v>1232</v>
      </c>
      <c r="QRL2187" s="594" t="s">
        <v>1232</v>
      </c>
      <c r="QRM2187" s="594" t="s">
        <v>1232</v>
      </c>
      <c r="QRN2187" s="594" t="s">
        <v>1232</v>
      </c>
      <c r="QRO2187" s="594" t="s">
        <v>1232</v>
      </c>
      <c r="QRP2187" s="594" t="s">
        <v>1232</v>
      </c>
      <c r="QRQ2187" s="594" t="s">
        <v>1232</v>
      </c>
      <c r="QRR2187" s="594" t="s">
        <v>1232</v>
      </c>
      <c r="QRS2187" s="594" t="s">
        <v>1232</v>
      </c>
      <c r="QRT2187" s="594" t="s">
        <v>1232</v>
      </c>
      <c r="QRU2187" s="594" t="s">
        <v>1232</v>
      </c>
      <c r="QRV2187" s="594" t="s">
        <v>1232</v>
      </c>
      <c r="QRW2187" s="594" t="s">
        <v>1232</v>
      </c>
      <c r="QRX2187" s="594" t="s">
        <v>1232</v>
      </c>
      <c r="QRY2187" s="594" t="s">
        <v>1232</v>
      </c>
      <c r="QRZ2187" s="594" t="s">
        <v>1232</v>
      </c>
      <c r="QSA2187" s="594" t="s">
        <v>1232</v>
      </c>
      <c r="QSB2187" s="594" t="s">
        <v>1232</v>
      </c>
      <c r="QSC2187" s="594" t="s">
        <v>1232</v>
      </c>
      <c r="QSD2187" s="594" t="s">
        <v>1232</v>
      </c>
      <c r="QSE2187" s="594" t="s">
        <v>1232</v>
      </c>
      <c r="QSF2187" s="594" t="s">
        <v>1232</v>
      </c>
      <c r="QSG2187" s="594" t="s">
        <v>1232</v>
      </c>
      <c r="QSH2187" s="594" t="s">
        <v>1232</v>
      </c>
      <c r="QSI2187" s="594" t="s">
        <v>1232</v>
      </c>
      <c r="QSJ2187" s="594" t="s">
        <v>1232</v>
      </c>
      <c r="QSK2187" s="594" t="s">
        <v>1232</v>
      </c>
      <c r="QSL2187" s="594" t="s">
        <v>1232</v>
      </c>
      <c r="QSM2187" s="594" t="s">
        <v>1232</v>
      </c>
      <c r="QSN2187" s="594" t="s">
        <v>1232</v>
      </c>
      <c r="QSO2187" s="594" t="s">
        <v>1232</v>
      </c>
      <c r="QSP2187" s="594" t="s">
        <v>1232</v>
      </c>
      <c r="QSQ2187" s="594" t="s">
        <v>1232</v>
      </c>
      <c r="QSR2187" s="594" t="s">
        <v>1232</v>
      </c>
      <c r="QSS2187" s="594" t="s">
        <v>1232</v>
      </c>
      <c r="QST2187" s="594" t="s">
        <v>1232</v>
      </c>
      <c r="QSU2187" s="594" t="s">
        <v>1232</v>
      </c>
      <c r="QSV2187" s="594" t="s">
        <v>1232</v>
      </c>
      <c r="QSW2187" s="594" t="s">
        <v>1232</v>
      </c>
      <c r="QSX2187" s="594" t="s">
        <v>1232</v>
      </c>
      <c r="QSY2187" s="594" t="s">
        <v>1232</v>
      </c>
      <c r="QSZ2187" s="594" t="s">
        <v>1232</v>
      </c>
      <c r="QTA2187" s="594" t="s">
        <v>1232</v>
      </c>
      <c r="QTB2187" s="594" t="s">
        <v>1232</v>
      </c>
      <c r="QTC2187" s="594" t="s">
        <v>1232</v>
      </c>
      <c r="QTD2187" s="594" t="s">
        <v>1232</v>
      </c>
      <c r="QTE2187" s="594" t="s">
        <v>1232</v>
      </c>
      <c r="QTF2187" s="594" t="s">
        <v>1232</v>
      </c>
      <c r="QTG2187" s="594" t="s">
        <v>1232</v>
      </c>
      <c r="QTH2187" s="594" t="s">
        <v>1232</v>
      </c>
      <c r="QTI2187" s="594" t="s">
        <v>1232</v>
      </c>
      <c r="QTJ2187" s="594" t="s">
        <v>1232</v>
      </c>
      <c r="QTK2187" s="594" t="s">
        <v>1232</v>
      </c>
      <c r="QTL2187" s="594" t="s">
        <v>1232</v>
      </c>
      <c r="QTM2187" s="594" t="s">
        <v>1232</v>
      </c>
      <c r="QTN2187" s="594" t="s">
        <v>1232</v>
      </c>
      <c r="QTO2187" s="594" t="s">
        <v>1232</v>
      </c>
      <c r="QTP2187" s="594" t="s">
        <v>1232</v>
      </c>
      <c r="QTQ2187" s="594" t="s">
        <v>1232</v>
      </c>
      <c r="QTR2187" s="594" t="s">
        <v>1232</v>
      </c>
      <c r="QTS2187" s="594" t="s">
        <v>1232</v>
      </c>
      <c r="QTT2187" s="594" t="s">
        <v>1232</v>
      </c>
      <c r="QTU2187" s="594" t="s">
        <v>1232</v>
      </c>
      <c r="QTV2187" s="594" t="s">
        <v>1232</v>
      </c>
      <c r="QTW2187" s="594" t="s">
        <v>1232</v>
      </c>
      <c r="QTX2187" s="594" t="s">
        <v>1232</v>
      </c>
      <c r="QTY2187" s="594" t="s">
        <v>1232</v>
      </c>
      <c r="QTZ2187" s="594" t="s">
        <v>1232</v>
      </c>
      <c r="QUA2187" s="594" t="s">
        <v>1232</v>
      </c>
      <c r="QUB2187" s="594" t="s">
        <v>1232</v>
      </c>
      <c r="QUC2187" s="594" t="s">
        <v>1232</v>
      </c>
      <c r="QUD2187" s="594" t="s">
        <v>1232</v>
      </c>
      <c r="QUE2187" s="594" t="s">
        <v>1232</v>
      </c>
      <c r="QUF2187" s="594" t="s">
        <v>1232</v>
      </c>
      <c r="QUG2187" s="594" t="s">
        <v>1232</v>
      </c>
      <c r="QUH2187" s="594" t="s">
        <v>1232</v>
      </c>
      <c r="QUI2187" s="594" t="s">
        <v>1232</v>
      </c>
      <c r="QUJ2187" s="594" t="s">
        <v>1232</v>
      </c>
      <c r="QUK2187" s="594" t="s">
        <v>1232</v>
      </c>
      <c r="QUL2187" s="594" t="s">
        <v>1232</v>
      </c>
      <c r="QUM2187" s="594" t="s">
        <v>1232</v>
      </c>
      <c r="QUN2187" s="594" t="s">
        <v>1232</v>
      </c>
      <c r="QUO2187" s="594" t="s">
        <v>1232</v>
      </c>
      <c r="QUP2187" s="594" t="s">
        <v>1232</v>
      </c>
      <c r="QUQ2187" s="594" t="s">
        <v>1232</v>
      </c>
      <c r="QUR2187" s="594" t="s">
        <v>1232</v>
      </c>
      <c r="QUS2187" s="594" t="s">
        <v>1232</v>
      </c>
      <c r="QUT2187" s="594" t="s">
        <v>1232</v>
      </c>
      <c r="QUU2187" s="594" t="s">
        <v>1232</v>
      </c>
      <c r="QUV2187" s="594" t="s">
        <v>1232</v>
      </c>
      <c r="QUW2187" s="594" t="s">
        <v>1232</v>
      </c>
      <c r="QUX2187" s="594" t="s">
        <v>1232</v>
      </c>
      <c r="QUY2187" s="594" t="s">
        <v>1232</v>
      </c>
      <c r="QUZ2187" s="594" t="s">
        <v>1232</v>
      </c>
      <c r="QVA2187" s="594" t="s">
        <v>1232</v>
      </c>
      <c r="QVB2187" s="594" t="s">
        <v>1232</v>
      </c>
      <c r="QVC2187" s="594" t="s">
        <v>1232</v>
      </c>
      <c r="QVD2187" s="594" t="s">
        <v>1232</v>
      </c>
      <c r="QVE2187" s="594" t="s">
        <v>1232</v>
      </c>
      <c r="QVF2187" s="594" t="s">
        <v>1232</v>
      </c>
      <c r="QVG2187" s="594" t="s">
        <v>1232</v>
      </c>
      <c r="QVH2187" s="594" t="s">
        <v>1232</v>
      </c>
      <c r="QVI2187" s="594" t="s">
        <v>1232</v>
      </c>
      <c r="QVJ2187" s="594" t="s">
        <v>1232</v>
      </c>
      <c r="QVK2187" s="594" t="s">
        <v>1232</v>
      </c>
      <c r="QVL2187" s="594" t="s">
        <v>1232</v>
      </c>
      <c r="QVM2187" s="594" t="s">
        <v>1232</v>
      </c>
      <c r="QVN2187" s="594" t="s">
        <v>1232</v>
      </c>
      <c r="QVO2187" s="594" t="s">
        <v>1232</v>
      </c>
      <c r="QVP2187" s="594" t="s">
        <v>1232</v>
      </c>
      <c r="QVQ2187" s="594" t="s">
        <v>1232</v>
      </c>
      <c r="QVR2187" s="594" t="s">
        <v>1232</v>
      </c>
      <c r="QVS2187" s="594" t="s">
        <v>1232</v>
      </c>
      <c r="QVT2187" s="594" t="s">
        <v>1232</v>
      </c>
      <c r="QVU2187" s="594" t="s">
        <v>1232</v>
      </c>
      <c r="QVV2187" s="594" t="s">
        <v>1232</v>
      </c>
      <c r="QVW2187" s="594" t="s">
        <v>1232</v>
      </c>
      <c r="QVX2187" s="594" t="s">
        <v>1232</v>
      </c>
      <c r="QVY2187" s="594" t="s">
        <v>1232</v>
      </c>
      <c r="QVZ2187" s="594" t="s">
        <v>1232</v>
      </c>
      <c r="QWA2187" s="594" t="s">
        <v>1232</v>
      </c>
      <c r="QWB2187" s="594" t="s">
        <v>1232</v>
      </c>
      <c r="QWC2187" s="594" t="s">
        <v>1232</v>
      </c>
      <c r="QWD2187" s="594" t="s">
        <v>1232</v>
      </c>
      <c r="QWE2187" s="594" t="s">
        <v>1232</v>
      </c>
      <c r="QWF2187" s="594" t="s">
        <v>1232</v>
      </c>
      <c r="QWG2187" s="594" t="s">
        <v>1232</v>
      </c>
      <c r="QWH2187" s="594" t="s">
        <v>1232</v>
      </c>
      <c r="QWI2187" s="594" t="s">
        <v>1232</v>
      </c>
      <c r="QWJ2187" s="594" t="s">
        <v>1232</v>
      </c>
      <c r="QWK2187" s="594" t="s">
        <v>1232</v>
      </c>
      <c r="QWL2187" s="594" t="s">
        <v>1232</v>
      </c>
      <c r="QWM2187" s="594" t="s">
        <v>1232</v>
      </c>
      <c r="QWN2187" s="594" t="s">
        <v>1232</v>
      </c>
      <c r="QWO2187" s="594" t="s">
        <v>1232</v>
      </c>
      <c r="QWP2187" s="594" t="s">
        <v>1232</v>
      </c>
      <c r="QWQ2187" s="594" t="s">
        <v>1232</v>
      </c>
      <c r="QWR2187" s="594" t="s">
        <v>1232</v>
      </c>
      <c r="QWS2187" s="594" t="s">
        <v>1232</v>
      </c>
      <c r="QWT2187" s="594" t="s">
        <v>1232</v>
      </c>
      <c r="QWU2187" s="594" t="s">
        <v>1232</v>
      </c>
      <c r="QWV2187" s="594" t="s">
        <v>1232</v>
      </c>
      <c r="QWW2187" s="594" t="s">
        <v>1232</v>
      </c>
      <c r="QWX2187" s="594" t="s">
        <v>1232</v>
      </c>
      <c r="QWY2187" s="594" t="s">
        <v>1232</v>
      </c>
      <c r="QWZ2187" s="594" t="s">
        <v>1232</v>
      </c>
      <c r="QXA2187" s="594" t="s">
        <v>1232</v>
      </c>
      <c r="QXB2187" s="594" t="s">
        <v>1232</v>
      </c>
      <c r="QXC2187" s="594" t="s">
        <v>1232</v>
      </c>
      <c r="QXD2187" s="594" t="s">
        <v>1232</v>
      </c>
      <c r="QXE2187" s="594" t="s">
        <v>1232</v>
      </c>
      <c r="QXF2187" s="594" t="s">
        <v>1232</v>
      </c>
      <c r="QXG2187" s="594" t="s">
        <v>1232</v>
      </c>
      <c r="QXH2187" s="594" t="s">
        <v>1232</v>
      </c>
      <c r="QXI2187" s="594" t="s">
        <v>1232</v>
      </c>
      <c r="QXJ2187" s="594" t="s">
        <v>1232</v>
      </c>
      <c r="QXK2187" s="594" t="s">
        <v>1232</v>
      </c>
      <c r="QXL2187" s="594" t="s">
        <v>1232</v>
      </c>
      <c r="QXM2187" s="594" t="s">
        <v>1232</v>
      </c>
      <c r="QXN2187" s="594" t="s">
        <v>1232</v>
      </c>
      <c r="QXO2187" s="594" t="s">
        <v>1232</v>
      </c>
      <c r="QXP2187" s="594" t="s">
        <v>1232</v>
      </c>
      <c r="QXQ2187" s="594" t="s">
        <v>1232</v>
      </c>
      <c r="QXR2187" s="594" t="s">
        <v>1232</v>
      </c>
      <c r="QXS2187" s="594" t="s">
        <v>1232</v>
      </c>
      <c r="QXT2187" s="594" t="s">
        <v>1232</v>
      </c>
      <c r="QXU2187" s="594" t="s">
        <v>1232</v>
      </c>
      <c r="QXV2187" s="594" t="s">
        <v>1232</v>
      </c>
      <c r="QXW2187" s="594" t="s">
        <v>1232</v>
      </c>
      <c r="QXX2187" s="594" t="s">
        <v>1232</v>
      </c>
      <c r="QXY2187" s="594" t="s">
        <v>1232</v>
      </c>
      <c r="QXZ2187" s="594" t="s">
        <v>1232</v>
      </c>
      <c r="QYA2187" s="594" t="s">
        <v>1232</v>
      </c>
      <c r="QYB2187" s="594" t="s">
        <v>1232</v>
      </c>
      <c r="QYC2187" s="594" t="s">
        <v>1232</v>
      </c>
      <c r="QYD2187" s="594" t="s">
        <v>1232</v>
      </c>
      <c r="QYE2187" s="594" t="s">
        <v>1232</v>
      </c>
      <c r="QYF2187" s="594" t="s">
        <v>1232</v>
      </c>
      <c r="QYG2187" s="594" t="s">
        <v>1232</v>
      </c>
      <c r="QYH2187" s="594" t="s">
        <v>1232</v>
      </c>
      <c r="QYI2187" s="594" t="s">
        <v>1232</v>
      </c>
      <c r="QYJ2187" s="594" t="s">
        <v>1232</v>
      </c>
      <c r="QYK2187" s="594" t="s">
        <v>1232</v>
      </c>
      <c r="QYL2187" s="594" t="s">
        <v>1232</v>
      </c>
      <c r="QYM2187" s="594" t="s">
        <v>1232</v>
      </c>
      <c r="QYN2187" s="594" t="s">
        <v>1232</v>
      </c>
      <c r="QYO2187" s="594" t="s">
        <v>1232</v>
      </c>
      <c r="QYP2187" s="594" t="s">
        <v>1232</v>
      </c>
      <c r="QYQ2187" s="594" t="s">
        <v>1232</v>
      </c>
      <c r="QYR2187" s="594" t="s">
        <v>1232</v>
      </c>
      <c r="QYS2187" s="594" t="s">
        <v>1232</v>
      </c>
      <c r="QYT2187" s="594" t="s">
        <v>1232</v>
      </c>
      <c r="QYU2187" s="594" t="s">
        <v>1232</v>
      </c>
      <c r="QYV2187" s="594" t="s">
        <v>1232</v>
      </c>
      <c r="QYW2187" s="594" t="s">
        <v>1232</v>
      </c>
      <c r="QYX2187" s="594" t="s">
        <v>1232</v>
      </c>
      <c r="QYY2187" s="594" t="s">
        <v>1232</v>
      </c>
      <c r="QYZ2187" s="594" t="s">
        <v>1232</v>
      </c>
      <c r="QZA2187" s="594" t="s">
        <v>1232</v>
      </c>
      <c r="QZB2187" s="594" t="s">
        <v>1232</v>
      </c>
      <c r="QZC2187" s="594" t="s">
        <v>1232</v>
      </c>
      <c r="QZD2187" s="594" t="s">
        <v>1232</v>
      </c>
      <c r="QZE2187" s="594" t="s">
        <v>1232</v>
      </c>
      <c r="QZF2187" s="594" t="s">
        <v>1232</v>
      </c>
      <c r="QZG2187" s="594" t="s">
        <v>1232</v>
      </c>
      <c r="QZH2187" s="594" t="s">
        <v>1232</v>
      </c>
      <c r="QZI2187" s="594" t="s">
        <v>1232</v>
      </c>
      <c r="QZJ2187" s="594" t="s">
        <v>1232</v>
      </c>
      <c r="QZK2187" s="594" t="s">
        <v>1232</v>
      </c>
      <c r="QZL2187" s="594" t="s">
        <v>1232</v>
      </c>
      <c r="QZM2187" s="594" t="s">
        <v>1232</v>
      </c>
      <c r="QZN2187" s="594" t="s">
        <v>1232</v>
      </c>
      <c r="QZO2187" s="594" t="s">
        <v>1232</v>
      </c>
      <c r="QZP2187" s="594" t="s">
        <v>1232</v>
      </c>
      <c r="QZQ2187" s="594" t="s">
        <v>1232</v>
      </c>
      <c r="QZR2187" s="594" t="s">
        <v>1232</v>
      </c>
      <c r="QZS2187" s="594" t="s">
        <v>1232</v>
      </c>
      <c r="QZT2187" s="594" t="s">
        <v>1232</v>
      </c>
      <c r="QZU2187" s="594" t="s">
        <v>1232</v>
      </c>
      <c r="QZV2187" s="594" t="s">
        <v>1232</v>
      </c>
      <c r="QZW2187" s="594" t="s">
        <v>1232</v>
      </c>
      <c r="QZX2187" s="594" t="s">
        <v>1232</v>
      </c>
      <c r="QZY2187" s="594" t="s">
        <v>1232</v>
      </c>
      <c r="QZZ2187" s="594" t="s">
        <v>1232</v>
      </c>
      <c r="RAA2187" s="594" t="s">
        <v>1232</v>
      </c>
      <c r="RAB2187" s="594" t="s">
        <v>1232</v>
      </c>
      <c r="RAC2187" s="594" t="s">
        <v>1232</v>
      </c>
      <c r="RAD2187" s="594" t="s">
        <v>1232</v>
      </c>
      <c r="RAE2187" s="594" t="s">
        <v>1232</v>
      </c>
      <c r="RAF2187" s="594" t="s">
        <v>1232</v>
      </c>
      <c r="RAG2187" s="594" t="s">
        <v>1232</v>
      </c>
      <c r="RAH2187" s="594" t="s">
        <v>1232</v>
      </c>
      <c r="RAI2187" s="594" t="s">
        <v>1232</v>
      </c>
      <c r="RAJ2187" s="594" t="s">
        <v>1232</v>
      </c>
      <c r="RAK2187" s="594" t="s">
        <v>1232</v>
      </c>
      <c r="RAL2187" s="594" t="s">
        <v>1232</v>
      </c>
      <c r="RAM2187" s="594" t="s">
        <v>1232</v>
      </c>
      <c r="RAN2187" s="594" t="s">
        <v>1232</v>
      </c>
      <c r="RAO2187" s="594" t="s">
        <v>1232</v>
      </c>
      <c r="RAP2187" s="594" t="s">
        <v>1232</v>
      </c>
      <c r="RAQ2187" s="594" t="s">
        <v>1232</v>
      </c>
      <c r="RAR2187" s="594" t="s">
        <v>1232</v>
      </c>
      <c r="RAS2187" s="594" t="s">
        <v>1232</v>
      </c>
      <c r="RAT2187" s="594" t="s">
        <v>1232</v>
      </c>
      <c r="RAU2187" s="594" t="s">
        <v>1232</v>
      </c>
      <c r="RAV2187" s="594" t="s">
        <v>1232</v>
      </c>
      <c r="RAW2187" s="594" t="s">
        <v>1232</v>
      </c>
      <c r="RAX2187" s="594" t="s">
        <v>1232</v>
      </c>
      <c r="RAY2187" s="594" t="s">
        <v>1232</v>
      </c>
      <c r="RAZ2187" s="594" t="s">
        <v>1232</v>
      </c>
      <c r="RBA2187" s="594" t="s">
        <v>1232</v>
      </c>
      <c r="RBB2187" s="594" t="s">
        <v>1232</v>
      </c>
      <c r="RBC2187" s="594" t="s">
        <v>1232</v>
      </c>
      <c r="RBD2187" s="594" t="s">
        <v>1232</v>
      </c>
      <c r="RBE2187" s="594" t="s">
        <v>1232</v>
      </c>
      <c r="RBF2187" s="594" t="s">
        <v>1232</v>
      </c>
      <c r="RBG2187" s="594" t="s">
        <v>1232</v>
      </c>
      <c r="RBH2187" s="594" t="s">
        <v>1232</v>
      </c>
      <c r="RBI2187" s="594" t="s">
        <v>1232</v>
      </c>
      <c r="RBJ2187" s="594" t="s">
        <v>1232</v>
      </c>
      <c r="RBK2187" s="594" t="s">
        <v>1232</v>
      </c>
      <c r="RBL2187" s="594" t="s">
        <v>1232</v>
      </c>
      <c r="RBM2187" s="594" t="s">
        <v>1232</v>
      </c>
      <c r="RBN2187" s="594" t="s">
        <v>1232</v>
      </c>
      <c r="RBO2187" s="594" t="s">
        <v>1232</v>
      </c>
      <c r="RBP2187" s="594" t="s">
        <v>1232</v>
      </c>
      <c r="RBQ2187" s="594" t="s">
        <v>1232</v>
      </c>
      <c r="RBR2187" s="594" t="s">
        <v>1232</v>
      </c>
      <c r="RBS2187" s="594" t="s">
        <v>1232</v>
      </c>
      <c r="RBT2187" s="594" t="s">
        <v>1232</v>
      </c>
      <c r="RBU2187" s="594" t="s">
        <v>1232</v>
      </c>
      <c r="RBV2187" s="594" t="s">
        <v>1232</v>
      </c>
      <c r="RBW2187" s="594" t="s">
        <v>1232</v>
      </c>
      <c r="RBX2187" s="594" t="s">
        <v>1232</v>
      </c>
      <c r="RBY2187" s="594" t="s">
        <v>1232</v>
      </c>
      <c r="RBZ2187" s="594" t="s">
        <v>1232</v>
      </c>
      <c r="RCA2187" s="594" t="s">
        <v>1232</v>
      </c>
      <c r="RCB2187" s="594" t="s">
        <v>1232</v>
      </c>
      <c r="RCC2187" s="594" t="s">
        <v>1232</v>
      </c>
      <c r="RCD2187" s="594" t="s">
        <v>1232</v>
      </c>
      <c r="RCE2187" s="594" t="s">
        <v>1232</v>
      </c>
      <c r="RCF2187" s="594" t="s">
        <v>1232</v>
      </c>
      <c r="RCG2187" s="594" t="s">
        <v>1232</v>
      </c>
      <c r="RCH2187" s="594" t="s">
        <v>1232</v>
      </c>
      <c r="RCI2187" s="594" t="s">
        <v>1232</v>
      </c>
      <c r="RCJ2187" s="594" t="s">
        <v>1232</v>
      </c>
      <c r="RCK2187" s="594" t="s">
        <v>1232</v>
      </c>
      <c r="RCL2187" s="594" t="s">
        <v>1232</v>
      </c>
      <c r="RCM2187" s="594" t="s">
        <v>1232</v>
      </c>
      <c r="RCN2187" s="594" t="s">
        <v>1232</v>
      </c>
      <c r="RCO2187" s="594" t="s">
        <v>1232</v>
      </c>
      <c r="RCP2187" s="594" t="s">
        <v>1232</v>
      </c>
      <c r="RCQ2187" s="594" t="s">
        <v>1232</v>
      </c>
      <c r="RCR2187" s="594" t="s">
        <v>1232</v>
      </c>
      <c r="RCS2187" s="594" t="s">
        <v>1232</v>
      </c>
      <c r="RCT2187" s="594" t="s">
        <v>1232</v>
      </c>
      <c r="RCU2187" s="594" t="s">
        <v>1232</v>
      </c>
      <c r="RCV2187" s="594" t="s">
        <v>1232</v>
      </c>
      <c r="RCW2187" s="594" t="s">
        <v>1232</v>
      </c>
      <c r="RCX2187" s="594" t="s">
        <v>1232</v>
      </c>
      <c r="RCY2187" s="594" t="s">
        <v>1232</v>
      </c>
      <c r="RCZ2187" s="594" t="s">
        <v>1232</v>
      </c>
      <c r="RDA2187" s="594" t="s">
        <v>1232</v>
      </c>
      <c r="RDB2187" s="594" t="s">
        <v>1232</v>
      </c>
      <c r="RDC2187" s="594" t="s">
        <v>1232</v>
      </c>
      <c r="RDD2187" s="594" t="s">
        <v>1232</v>
      </c>
      <c r="RDE2187" s="594" t="s">
        <v>1232</v>
      </c>
      <c r="RDF2187" s="594" t="s">
        <v>1232</v>
      </c>
      <c r="RDG2187" s="594" t="s">
        <v>1232</v>
      </c>
      <c r="RDH2187" s="594" t="s">
        <v>1232</v>
      </c>
      <c r="RDI2187" s="594" t="s">
        <v>1232</v>
      </c>
      <c r="RDJ2187" s="594" t="s">
        <v>1232</v>
      </c>
      <c r="RDK2187" s="594" t="s">
        <v>1232</v>
      </c>
      <c r="RDL2187" s="594" t="s">
        <v>1232</v>
      </c>
      <c r="RDM2187" s="594" t="s">
        <v>1232</v>
      </c>
      <c r="RDN2187" s="594" t="s">
        <v>1232</v>
      </c>
      <c r="RDO2187" s="594" t="s">
        <v>1232</v>
      </c>
      <c r="RDP2187" s="594" t="s">
        <v>1232</v>
      </c>
      <c r="RDQ2187" s="594" t="s">
        <v>1232</v>
      </c>
      <c r="RDR2187" s="594" t="s">
        <v>1232</v>
      </c>
      <c r="RDS2187" s="594" t="s">
        <v>1232</v>
      </c>
      <c r="RDT2187" s="594" t="s">
        <v>1232</v>
      </c>
      <c r="RDU2187" s="594" t="s">
        <v>1232</v>
      </c>
      <c r="RDV2187" s="594" t="s">
        <v>1232</v>
      </c>
      <c r="RDW2187" s="594" t="s">
        <v>1232</v>
      </c>
      <c r="RDX2187" s="594" t="s">
        <v>1232</v>
      </c>
      <c r="RDY2187" s="594" t="s">
        <v>1232</v>
      </c>
      <c r="RDZ2187" s="594" t="s">
        <v>1232</v>
      </c>
      <c r="REA2187" s="594" t="s">
        <v>1232</v>
      </c>
      <c r="REB2187" s="594" t="s">
        <v>1232</v>
      </c>
      <c r="REC2187" s="594" t="s">
        <v>1232</v>
      </c>
      <c r="RED2187" s="594" t="s">
        <v>1232</v>
      </c>
      <c r="REE2187" s="594" t="s">
        <v>1232</v>
      </c>
      <c r="REF2187" s="594" t="s">
        <v>1232</v>
      </c>
      <c r="REG2187" s="594" t="s">
        <v>1232</v>
      </c>
      <c r="REH2187" s="594" t="s">
        <v>1232</v>
      </c>
      <c r="REI2187" s="594" t="s">
        <v>1232</v>
      </c>
      <c r="REJ2187" s="594" t="s">
        <v>1232</v>
      </c>
      <c r="REK2187" s="594" t="s">
        <v>1232</v>
      </c>
      <c r="REL2187" s="594" t="s">
        <v>1232</v>
      </c>
      <c r="REM2187" s="594" t="s">
        <v>1232</v>
      </c>
      <c r="REN2187" s="594" t="s">
        <v>1232</v>
      </c>
      <c r="REO2187" s="594" t="s">
        <v>1232</v>
      </c>
      <c r="REP2187" s="594" t="s">
        <v>1232</v>
      </c>
      <c r="REQ2187" s="594" t="s">
        <v>1232</v>
      </c>
      <c r="RER2187" s="594" t="s">
        <v>1232</v>
      </c>
      <c r="RES2187" s="594" t="s">
        <v>1232</v>
      </c>
      <c r="RET2187" s="594" t="s">
        <v>1232</v>
      </c>
      <c r="REU2187" s="594" t="s">
        <v>1232</v>
      </c>
      <c r="REV2187" s="594" t="s">
        <v>1232</v>
      </c>
      <c r="REW2187" s="594" t="s">
        <v>1232</v>
      </c>
      <c r="REX2187" s="594" t="s">
        <v>1232</v>
      </c>
      <c r="REY2187" s="594" t="s">
        <v>1232</v>
      </c>
      <c r="REZ2187" s="594" t="s">
        <v>1232</v>
      </c>
      <c r="RFA2187" s="594" t="s">
        <v>1232</v>
      </c>
      <c r="RFB2187" s="594" t="s">
        <v>1232</v>
      </c>
      <c r="RFC2187" s="594" t="s">
        <v>1232</v>
      </c>
      <c r="RFD2187" s="594" t="s">
        <v>1232</v>
      </c>
      <c r="RFE2187" s="594" t="s">
        <v>1232</v>
      </c>
      <c r="RFF2187" s="594" t="s">
        <v>1232</v>
      </c>
      <c r="RFG2187" s="594" t="s">
        <v>1232</v>
      </c>
      <c r="RFH2187" s="594" t="s">
        <v>1232</v>
      </c>
      <c r="RFI2187" s="594" t="s">
        <v>1232</v>
      </c>
      <c r="RFJ2187" s="594" t="s">
        <v>1232</v>
      </c>
      <c r="RFK2187" s="594" t="s">
        <v>1232</v>
      </c>
      <c r="RFL2187" s="594" t="s">
        <v>1232</v>
      </c>
      <c r="RFM2187" s="594" t="s">
        <v>1232</v>
      </c>
      <c r="RFN2187" s="594" t="s">
        <v>1232</v>
      </c>
      <c r="RFO2187" s="594" t="s">
        <v>1232</v>
      </c>
      <c r="RFP2187" s="594" t="s">
        <v>1232</v>
      </c>
      <c r="RFQ2187" s="594" t="s">
        <v>1232</v>
      </c>
      <c r="RFR2187" s="594" t="s">
        <v>1232</v>
      </c>
      <c r="RFS2187" s="594" t="s">
        <v>1232</v>
      </c>
      <c r="RFT2187" s="594" t="s">
        <v>1232</v>
      </c>
      <c r="RFU2187" s="594" t="s">
        <v>1232</v>
      </c>
      <c r="RFV2187" s="594" t="s">
        <v>1232</v>
      </c>
      <c r="RFW2187" s="594" t="s">
        <v>1232</v>
      </c>
      <c r="RFX2187" s="594" t="s">
        <v>1232</v>
      </c>
      <c r="RFY2187" s="594" t="s">
        <v>1232</v>
      </c>
      <c r="RFZ2187" s="594" t="s">
        <v>1232</v>
      </c>
      <c r="RGA2187" s="594" t="s">
        <v>1232</v>
      </c>
      <c r="RGB2187" s="594" t="s">
        <v>1232</v>
      </c>
      <c r="RGC2187" s="594" t="s">
        <v>1232</v>
      </c>
      <c r="RGD2187" s="594" t="s">
        <v>1232</v>
      </c>
      <c r="RGE2187" s="594" t="s">
        <v>1232</v>
      </c>
      <c r="RGF2187" s="594" t="s">
        <v>1232</v>
      </c>
      <c r="RGG2187" s="594" t="s">
        <v>1232</v>
      </c>
      <c r="RGH2187" s="594" t="s">
        <v>1232</v>
      </c>
      <c r="RGI2187" s="594" t="s">
        <v>1232</v>
      </c>
      <c r="RGJ2187" s="594" t="s">
        <v>1232</v>
      </c>
      <c r="RGK2187" s="594" t="s">
        <v>1232</v>
      </c>
      <c r="RGL2187" s="594" t="s">
        <v>1232</v>
      </c>
      <c r="RGM2187" s="594" t="s">
        <v>1232</v>
      </c>
      <c r="RGN2187" s="594" t="s">
        <v>1232</v>
      </c>
      <c r="RGO2187" s="594" t="s">
        <v>1232</v>
      </c>
      <c r="RGP2187" s="594" t="s">
        <v>1232</v>
      </c>
      <c r="RGQ2187" s="594" t="s">
        <v>1232</v>
      </c>
      <c r="RGR2187" s="594" t="s">
        <v>1232</v>
      </c>
      <c r="RGS2187" s="594" t="s">
        <v>1232</v>
      </c>
      <c r="RGT2187" s="594" t="s">
        <v>1232</v>
      </c>
      <c r="RGU2187" s="594" t="s">
        <v>1232</v>
      </c>
      <c r="RGV2187" s="594" t="s">
        <v>1232</v>
      </c>
      <c r="RGW2187" s="594" t="s">
        <v>1232</v>
      </c>
      <c r="RGX2187" s="594" t="s">
        <v>1232</v>
      </c>
      <c r="RGY2187" s="594" t="s">
        <v>1232</v>
      </c>
      <c r="RGZ2187" s="594" t="s">
        <v>1232</v>
      </c>
      <c r="RHA2187" s="594" t="s">
        <v>1232</v>
      </c>
      <c r="RHB2187" s="594" t="s">
        <v>1232</v>
      </c>
      <c r="RHC2187" s="594" t="s">
        <v>1232</v>
      </c>
      <c r="RHD2187" s="594" t="s">
        <v>1232</v>
      </c>
      <c r="RHE2187" s="594" t="s">
        <v>1232</v>
      </c>
      <c r="RHF2187" s="594" t="s">
        <v>1232</v>
      </c>
      <c r="RHG2187" s="594" t="s">
        <v>1232</v>
      </c>
      <c r="RHH2187" s="594" t="s">
        <v>1232</v>
      </c>
      <c r="RHI2187" s="594" t="s">
        <v>1232</v>
      </c>
      <c r="RHJ2187" s="594" t="s">
        <v>1232</v>
      </c>
      <c r="RHK2187" s="594" t="s">
        <v>1232</v>
      </c>
      <c r="RHL2187" s="594" t="s">
        <v>1232</v>
      </c>
      <c r="RHM2187" s="594" t="s">
        <v>1232</v>
      </c>
      <c r="RHN2187" s="594" t="s">
        <v>1232</v>
      </c>
      <c r="RHO2187" s="594" t="s">
        <v>1232</v>
      </c>
      <c r="RHP2187" s="594" t="s">
        <v>1232</v>
      </c>
      <c r="RHQ2187" s="594" t="s">
        <v>1232</v>
      </c>
      <c r="RHR2187" s="594" t="s">
        <v>1232</v>
      </c>
      <c r="RHS2187" s="594" t="s">
        <v>1232</v>
      </c>
      <c r="RHT2187" s="594" t="s">
        <v>1232</v>
      </c>
      <c r="RHU2187" s="594" t="s">
        <v>1232</v>
      </c>
      <c r="RHV2187" s="594" t="s">
        <v>1232</v>
      </c>
      <c r="RHW2187" s="594" t="s">
        <v>1232</v>
      </c>
      <c r="RHX2187" s="594" t="s">
        <v>1232</v>
      </c>
      <c r="RHY2187" s="594" t="s">
        <v>1232</v>
      </c>
      <c r="RHZ2187" s="594" t="s">
        <v>1232</v>
      </c>
      <c r="RIA2187" s="594" t="s">
        <v>1232</v>
      </c>
      <c r="RIB2187" s="594" t="s">
        <v>1232</v>
      </c>
      <c r="RIC2187" s="594" t="s">
        <v>1232</v>
      </c>
      <c r="RID2187" s="594" t="s">
        <v>1232</v>
      </c>
      <c r="RIE2187" s="594" t="s">
        <v>1232</v>
      </c>
      <c r="RIF2187" s="594" t="s">
        <v>1232</v>
      </c>
      <c r="RIG2187" s="594" t="s">
        <v>1232</v>
      </c>
      <c r="RIH2187" s="594" t="s">
        <v>1232</v>
      </c>
      <c r="RII2187" s="594" t="s">
        <v>1232</v>
      </c>
      <c r="RIJ2187" s="594" t="s">
        <v>1232</v>
      </c>
      <c r="RIK2187" s="594" t="s">
        <v>1232</v>
      </c>
      <c r="RIL2187" s="594" t="s">
        <v>1232</v>
      </c>
      <c r="RIM2187" s="594" t="s">
        <v>1232</v>
      </c>
      <c r="RIN2187" s="594" t="s">
        <v>1232</v>
      </c>
      <c r="RIO2187" s="594" t="s">
        <v>1232</v>
      </c>
      <c r="RIP2187" s="594" t="s">
        <v>1232</v>
      </c>
      <c r="RIQ2187" s="594" t="s">
        <v>1232</v>
      </c>
      <c r="RIR2187" s="594" t="s">
        <v>1232</v>
      </c>
      <c r="RIS2187" s="594" t="s">
        <v>1232</v>
      </c>
      <c r="RIT2187" s="594" t="s">
        <v>1232</v>
      </c>
      <c r="RIU2187" s="594" t="s">
        <v>1232</v>
      </c>
      <c r="RIV2187" s="594" t="s">
        <v>1232</v>
      </c>
      <c r="RIW2187" s="594" t="s">
        <v>1232</v>
      </c>
      <c r="RIX2187" s="594" t="s">
        <v>1232</v>
      </c>
      <c r="RIY2187" s="594" t="s">
        <v>1232</v>
      </c>
      <c r="RIZ2187" s="594" t="s">
        <v>1232</v>
      </c>
      <c r="RJA2187" s="594" t="s">
        <v>1232</v>
      </c>
      <c r="RJB2187" s="594" t="s">
        <v>1232</v>
      </c>
      <c r="RJC2187" s="594" t="s">
        <v>1232</v>
      </c>
      <c r="RJD2187" s="594" t="s">
        <v>1232</v>
      </c>
      <c r="RJE2187" s="594" t="s">
        <v>1232</v>
      </c>
      <c r="RJF2187" s="594" t="s">
        <v>1232</v>
      </c>
      <c r="RJG2187" s="594" t="s">
        <v>1232</v>
      </c>
      <c r="RJH2187" s="594" t="s">
        <v>1232</v>
      </c>
      <c r="RJI2187" s="594" t="s">
        <v>1232</v>
      </c>
      <c r="RJJ2187" s="594" t="s">
        <v>1232</v>
      </c>
      <c r="RJK2187" s="594" t="s">
        <v>1232</v>
      </c>
      <c r="RJL2187" s="594" t="s">
        <v>1232</v>
      </c>
      <c r="RJM2187" s="594" t="s">
        <v>1232</v>
      </c>
      <c r="RJN2187" s="594" t="s">
        <v>1232</v>
      </c>
      <c r="RJO2187" s="594" t="s">
        <v>1232</v>
      </c>
      <c r="RJP2187" s="594" t="s">
        <v>1232</v>
      </c>
      <c r="RJQ2187" s="594" t="s">
        <v>1232</v>
      </c>
      <c r="RJR2187" s="594" t="s">
        <v>1232</v>
      </c>
      <c r="RJS2187" s="594" t="s">
        <v>1232</v>
      </c>
      <c r="RJT2187" s="594" t="s">
        <v>1232</v>
      </c>
      <c r="RJU2187" s="594" t="s">
        <v>1232</v>
      </c>
      <c r="RJV2187" s="594" t="s">
        <v>1232</v>
      </c>
      <c r="RJW2187" s="594" t="s">
        <v>1232</v>
      </c>
      <c r="RJX2187" s="594" t="s">
        <v>1232</v>
      </c>
      <c r="RJY2187" s="594" t="s">
        <v>1232</v>
      </c>
      <c r="RJZ2187" s="594" t="s">
        <v>1232</v>
      </c>
      <c r="RKA2187" s="594" t="s">
        <v>1232</v>
      </c>
      <c r="RKB2187" s="594" t="s">
        <v>1232</v>
      </c>
      <c r="RKC2187" s="594" t="s">
        <v>1232</v>
      </c>
      <c r="RKD2187" s="594" t="s">
        <v>1232</v>
      </c>
      <c r="RKE2187" s="594" t="s">
        <v>1232</v>
      </c>
      <c r="RKF2187" s="594" t="s">
        <v>1232</v>
      </c>
      <c r="RKG2187" s="594" t="s">
        <v>1232</v>
      </c>
      <c r="RKH2187" s="594" t="s">
        <v>1232</v>
      </c>
      <c r="RKI2187" s="594" t="s">
        <v>1232</v>
      </c>
      <c r="RKJ2187" s="594" t="s">
        <v>1232</v>
      </c>
      <c r="RKK2187" s="594" t="s">
        <v>1232</v>
      </c>
      <c r="RKL2187" s="594" t="s">
        <v>1232</v>
      </c>
      <c r="RKM2187" s="594" t="s">
        <v>1232</v>
      </c>
      <c r="RKN2187" s="594" t="s">
        <v>1232</v>
      </c>
      <c r="RKO2187" s="594" t="s">
        <v>1232</v>
      </c>
      <c r="RKP2187" s="594" t="s">
        <v>1232</v>
      </c>
      <c r="RKQ2187" s="594" t="s">
        <v>1232</v>
      </c>
      <c r="RKR2187" s="594" t="s">
        <v>1232</v>
      </c>
      <c r="RKS2187" s="594" t="s">
        <v>1232</v>
      </c>
      <c r="RKT2187" s="594" t="s">
        <v>1232</v>
      </c>
      <c r="RKU2187" s="594" t="s">
        <v>1232</v>
      </c>
      <c r="RKV2187" s="594" t="s">
        <v>1232</v>
      </c>
      <c r="RKW2187" s="594" t="s">
        <v>1232</v>
      </c>
      <c r="RKX2187" s="594" t="s">
        <v>1232</v>
      </c>
      <c r="RKY2187" s="594" t="s">
        <v>1232</v>
      </c>
      <c r="RKZ2187" s="594" t="s">
        <v>1232</v>
      </c>
      <c r="RLA2187" s="594" t="s">
        <v>1232</v>
      </c>
      <c r="RLB2187" s="594" t="s">
        <v>1232</v>
      </c>
      <c r="RLC2187" s="594" t="s">
        <v>1232</v>
      </c>
      <c r="RLD2187" s="594" t="s">
        <v>1232</v>
      </c>
      <c r="RLE2187" s="594" t="s">
        <v>1232</v>
      </c>
      <c r="RLF2187" s="594" t="s">
        <v>1232</v>
      </c>
      <c r="RLG2187" s="594" t="s">
        <v>1232</v>
      </c>
      <c r="RLH2187" s="594" t="s">
        <v>1232</v>
      </c>
      <c r="RLI2187" s="594" t="s">
        <v>1232</v>
      </c>
      <c r="RLJ2187" s="594" t="s">
        <v>1232</v>
      </c>
      <c r="RLK2187" s="594" t="s">
        <v>1232</v>
      </c>
      <c r="RLL2187" s="594" t="s">
        <v>1232</v>
      </c>
      <c r="RLM2187" s="594" t="s">
        <v>1232</v>
      </c>
      <c r="RLN2187" s="594" t="s">
        <v>1232</v>
      </c>
      <c r="RLO2187" s="594" t="s">
        <v>1232</v>
      </c>
      <c r="RLP2187" s="594" t="s">
        <v>1232</v>
      </c>
      <c r="RLQ2187" s="594" t="s">
        <v>1232</v>
      </c>
      <c r="RLR2187" s="594" t="s">
        <v>1232</v>
      </c>
      <c r="RLS2187" s="594" t="s">
        <v>1232</v>
      </c>
      <c r="RLT2187" s="594" t="s">
        <v>1232</v>
      </c>
      <c r="RLU2187" s="594" t="s">
        <v>1232</v>
      </c>
      <c r="RLV2187" s="594" t="s">
        <v>1232</v>
      </c>
      <c r="RLW2187" s="594" t="s">
        <v>1232</v>
      </c>
      <c r="RLX2187" s="594" t="s">
        <v>1232</v>
      </c>
      <c r="RLY2187" s="594" t="s">
        <v>1232</v>
      </c>
      <c r="RLZ2187" s="594" t="s">
        <v>1232</v>
      </c>
      <c r="RMA2187" s="594" t="s">
        <v>1232</v>
      </c>
      <c r="RMB2187" s="594" t="s">
        <v>1232</v>
      </c>
      <c r="RMC2187" s="594" t="s">
        <v>1232</v>
      </c>
      <c r="RMD2187" s="594" t="s">
        <v>1232</v>
      </c>
      <c r="RME2187" s="594" t="s">
        <v>1232</v>
      </c>
      <c r="RMF2187" s="594" t="s">
        <v>1232</v>
      </c>
      <c r="RMG2187" s="594" t="s">
        <v>1232</v>
      </c>
      <c r="RMH2187" s="594" t="s">
        <v>1232</v>
      </c>
      <c r="RMI2187" s="594" t="s">
        <v>1232</v>
      </c>
      <c r="RMJ2187" s="594" t="s">
        <v>1232</v>
      </c>
      <c r="RMK2187" s="594" t="s">
        <v>1232</v>
      </c>
      <c r="RML2187" s="594" t="s">
        <v>1232</v>
      </c>
      <c r="RMM2187" s="594" t="s">
        <v>1232</v>
      </c>
      <c r="RMN2187" s="594" t="s">
        <v>1232</v>
      </c>
      <c r="RMO2187" s="594" t="s">
        <v>1232</v>
      </c>
      <c r="RMP2187" s="594" t="s">
        <v>1232</v>
      </c>
      <c r="RMQ2187" s="594" t="s">
        <v>1232</v>
      </c>
      <c r="RMR2187" s="594" t="s">
        <v>1232</v>
      </c>
      <c r="RMS2187" s="594" t="s">
        <v>1232</v>
      </c>
      <c r="RMT2187" s="594" t="s">
        <v>1232</v>
      </c>
      <c r="RMU2187" s="594" t="s">
        <v>1232</v>
      </c>
      <c r="RMV2187" s="594" t="s">
        <v>1232</v>
      </c>
      <c r="RMW2187" s="594" t="s">
        <v>1232</v>
      </c>
      <c r="RMX2187" s="594" t="s">
        <v>1232</v>
      </c>
      <c r="RMY2187" s="594" t="s">
        <v>1232</v>
      </c>
      <c r="RMZ2187" s="594" t="s">
        <v>1232</v>
      </c>
      <c r="RNA2187" s="594" t="s">
        <v>1232</v>
      </c>
      <c r="RNB2187" s="594" t="s">
        <v>1232</v>
      </c>
      <c r="RNC2187" s="594" t="s">
        <v>1232</v>
      </c>
      <c r="RND2187" s="594" t="s">
        <v>1232</v>
      </c>
      <c r="RNE2187" s="594" t="s">
        <v>1232</v>
      </c>
      <c r="RNF2187" s="594" t="s">
        <v>1232</v>
      </c>
      <c r="RNG2187" s="594" t="s">
        <v>1232</v>
      </c>
      <c r="RNH2187" s="594" t="s">
        <v>1232</v>
      </c>
      <c r="RNI2187" s="594" t="s">
        <v>1232</v>
      </c>
      <c r="RNJ2187" s="594" t="s">
        <v>1232</v>
      </c>
      <c r="RNK2187" s="594" t="s">
        <v>1232</v>
      </c>
      <c r="RNL2187" s="594" t="s">
        <v>1232</v>
      </c>
      <c r="RNM2187" s="594" t="s">
        <v>1232</v>
      </c>
      <c r="RNN2187" s="594" t="s">
        <v>1232</v>
      </c>
      <c r="RNO2187" s="594" t="s">
        <v>1232</v>
      </c>
      <c r="RNP2187" s="594" t="s">
        <v>1232</v>
      </c>
      <c r="RNQ2187" s="594" t="s">
        <v>1232</v>
      </c>
      <c r="RNR2187" s="594" t="s">
        <v>1232</v>
      </c>
      <c r="RNS2187" s="594" t="s">
        <v>1232</v>
      </c>
      <c r="RNT2187" s="594" t="s">
        <v>1232</v>
      </c>
      <c r="RNU2187" s="594" t="s">
        <v>1232</v>
      </c>
      <c r="RNV2187" s="594" t="s">
        <v>1232</v>
      </c>
      <c r="RNW2187" s="594" t="s">
        <v>1232</v>
      </c>
      <c r="RNX2187" s="594" t="s">
        <v>1232</v>
      </c>
      <c r="RNY2187" s="594" t="s">
        <v>1232</v>
      </c>
      <c r="RNZ2187" s="594" t="s">
        <v>1232</v>
      </c>
      <c r="ROA2187" s="594" t="s">
        <v>1232</v>
      </c>
      <c r="ROB2187" s="594" t="s">
        <v>1232</v>
      </c>
      <c r="ROC2187" s="594" t="s">
        <v>1232</v>
      </c>
      <c r="ROD2187" s="594" t="s">
        <v>1232</v>
      </c>
      <c r="ROE2187" s="594" t="s">
        <v>1232</v>
      </c>
      <c r="ROF2187" s="594" t="s">
        <v>1232</v>
      </c>
      <c r="ROG2187" s="594" t="s">
        <v>1232</v>
      </c>
      <c r="ROH2187" s="594" t="s">
        <v>1232</v>
      </c>
      <c r="ROI2187" s="594" t="s">
        <v>1232</v>
      </c>
      <c r="ROJ2187" s="594" t="s">
        <v>1232</v>
      </c>
      <c r="ROK2187" s="594" t="s">
        <v>1232</v>
      </c>
      <c r="ROL2187" s="594" t="s">
        <v>1232</v>
      </c>
      <c r="ROM2187" s="594" t="s">
        <v>1232</v>
      </c>
      <c r="RON2187" s="594" t="s">
        <v>1232</v>
      </c>
      <c r="ROO2187" s="594" t="s">
        <v>1232</v>
      </c>
      <c r="ROP2187" s="594" t="s">
        <v>1232</v>
      </c>
      <c r="ROQ2187" s="594" t="s">
        <v>1232</v>
      </c>
      <c r="ROR2187" s="594" t="s">
        <v>1232</v>
      </c>
      <c r="ROS2187" s="594" t="s">
        <v>1232</v>
      </c>
      <c r="ROT2187" s="594" t="s">
        <v>1232</v>
      </c>
      <c r="ROU2187" s="594" t="s">
        <v>1232</v>
      </c>
      <c r="ROV2187" s="594" t="s">
        <v>1232</v>
      </c>
      <c r="ROW2187" s="594" t="s">
        <v>1232</v>
      </c>
      <c r="ROX2187" s="594" t="s">
        <v>1232</v>
      </c>
      <c r="ROY2187" s="594" t="s">
        <v>1232</v>
      </c>
      <c r="ROZ2187" s="594" t="s">
        <v>1232</v>
      </c>
      <c r="RPA2187" s="594" t="s">
        <v>1232</v>
      </c>
      <c r="RPB2187" s="594" t="s">
        <v>1232</v>
      </c>
      <c r="RPC2187" s="594" t="s">
        <v>1232</v>
      </c>
      <c r="RPD2187" s="594" t="s">
        <v>1232</v>
      </c>
      <c r="RPE2187" s="594" t="s">
        <v>1232</v>
      </c>
      <c r="RPF2187" s="594" t="s">
        <v>1232</v>
      </c>
      <c r="RPG2187" s="594" t="s">
        <v>1232</v>
      </c>
      <c r="RPH2187" s="594" t="s">
        <v>1232</v>
      </c>
      <c r="RPI2187" s="594" t="s">
        <v>1232</v>
      </c>
      <c r="RPJ2187" s="594" t="s">
        <v>1232</v>
      </c>
      <c r="RPK2187" s="594" t="s">
        <v>1232</v>
      </c>
      <c r="RPL2187" s="594" t="s">
        <v>1232</v>
      </c>
      <c r="RPM2187" s="594" t="s">
        <v>1232</v>
      </c>
      <c r="RPN2187" s="594" t="s">
        <v>1232</v>
      </c>
      <c r="RPO2187" s="594" t="s">
        <v>1232</v>
      </c>
      <c r="RPP2187" s="594" t="s">
        <v>1232</v>
      </c>
      <c r="RPQ2187" s="594" t="s">
        <v>1232</v>
      </c>
      <c r="RPR2187" s="594" t="s">
        <v>1232</v>
      </c>
      <c r="RPS2187" s="594" t="s">
        <v>1232</v>
      </c>
      <c r="RPT2187" s="594" t="s">
        <v>1232</v>
      </c>
      <c r="RPU2187" s="594" t="s">
        <v>1232</v>
      </c>
      <c r="RPV2187" s="594" t="s">
        <v>1232</v>
      </c>
      <c r="RPW2187" s="594" t="s">
        <v>1232</v>
      </c>
      <c r="RPX2187" s="594" t="s">
        <v>1232</v>
      </c>
      <c r="RPY2187" s="594" t="s">
        <v>1232</v>
      </c>
      <c r="RPZ2187" s="594" t="s">
        <v>1232</v>
      </c>
      <c r="RQA2187" s="594" t="s">
        <v>1232</v>
      </c>
      <c r="RQB2187" s="594" t="s">
        <v>1232</v>
      </c>
      <c r="RQC2187" s="594" t="s">
        <v>1232</v>
      </c>
      <c r="RQD2187" s="594" t="s">
        <v>1232</v>
      </c>
      <c r="RQE2187" s="594" t="s">
        <v>1232</v>
      </c>
      <c r="RQF2187" s="594" t="s">
        <v>1232</v>
      </c>
      <c r="RQG2187" s="594" t="s">
        <v>1232</v>
      </c>
      <c r="RQH2187" s="594" t="s">
        <v>1232</v>
      </c>
      <c r="RQI2187" s="594" t="s">
        <v>1232</v>
      </c>
      <c r="RQJ2187" s="594" t="s">
        <v>1232</v>
      </c>
      <c r="RQK2187" s="594" t="s">
        <v>1232</v>
      </c>
      <c r="RQL2187" s="594" t="s">
        <v>1232</v>
      </c>
      <c r="RQM2187" s="594" t="s">
        <v>1232</v>
      </c>
      <c r="RQN2187" s="594" t="s">
        <v>1232</v>
      </c>
      <c r="RQO2187" s="594" t="s">
        <v>1232</v>
      </c>
      <c r="RQP2187" s="594" t="s">
        <v>1232</v>
      </c>
      <c r="RQQ2187" s="594" t="s">
        <v>1232</v>
      </c>
      <c r="RQR2187" s="594" t="s">
        <v>1232</v>
      </c>
      <c r="RQS2187" s="594" t="s">
        <v>1232</v>
      </c>
      <c r="RQT2187" s="594" t="s">
        <v>1232</v>
      </c>
      <c r="RQU2187" s="594" t="s">
        <v>1232</v>
      </c>
      <c r="RQV2187" s="594" t="s">
        <v>1232</v>
      </c>
      <c r="RQW2187" s="594" t="s">
        <v>1232</v>
      </c>
      <c r="RQX2187" s="594" t="s">
        <v>1232</v>
      </c>
      <c r="RQY2187" s="594" t="s">
        <v>1232</v>
      </c>
      <c r="RQZ2187" s="594" t="s">
        <v>1232</v>
      </c>
      <c r="RRA2187" s="594" t="s">
        <v>1232</v>
      </c>
      <c r="RRB2187" s="594" t="s">
        <v>1232</v>
      </c>
      <c r="RRC2187" s="594" t="s">
        <v>1232</v>
      </c>
      <c r="RRD2187" s="594" t="s">
        <v>1232</v>
      </c>
      <c r="RRE2187" s="594" t="s">
        <v>1232</v>
      </c>
      <c r="RRF2187" s="594" t="s">
        <v>1232</v>
      </c>
      <c r="RRG2187" s="594" t="s">
        <v>1232</v>
      </c>
      <c r="RRH2187" s="594" t="s">
        <v>1232</v>
      </c>
      <c r="RRI2187" s="594" t="s">
        <v>1232</v>
      </c>
      <c r="RRJ2187" s="594" t="s">
        <v>1232</v>
      </c>
      <c r="RRK2187" s="594" t="s">
        <v>1232</v>
      </c>
      <c r="RRL2187" s="594" t="s">
        <v>1232</v>
      </c>
      <c r="RRM2187" s="594" t="s">
        <v>1232</v>
      </c>
      <c r="RRN2187" s="594" t="s">
        <v>1232</v>
      </c>
      <c r="RRO2187" s="594" t="s">
        <v>1232</v>
      </c>
      <c r="RRP2187" s="594" t="s">
        <v>1232</v>
      </c>
      <c r="RRQ2187" s="594" t="s">
        <v>1232</v>
      </c>
      <c r="RRR2187" s="594" t="s">
        <v>1232</v>
      </c>
      <c r="RRS2187" s="594" t="s">
        <v>1232</v>
      </c>
      <c r="RRT2187" s="594" t="s">
        <v>1232</v>
      </c>
      <c r="RRU2187" s="594" t="s">
        <v>1232</v>
      </c>
      <c r="RRV2187" s="594" t="s">
        <v>1232</v>
      </c>
      <c r="RRW2187" s="594" t="s">
        <v>1232</v>
      </c>
      <c r="RRX2187" s="594" t="s">
        <v>1232</v>
      </c>
      <c r="RRY2187" s="594" t="s">
        <v>1232</v>
      </c>
      <c r="RRZ2187" s="594" t="s">
        <v>1232</v>
      </c>
      <c r="RSA2187" s="594" t="s">
        <v>1232</v>
      </c>
      <c r="RSB2187" s="594" t="s">
        <v>1232</v>
      </c>
      <c r="RSC2187" s="594" t="s">
        <v>1232</v>
      </c>
      <c r="RSD2187" s="594" t="s">
        <v>1232</v>
      </c>
      <c r="RSE2187" s="594" t="s">
        <v>1232</v>
      </c>
      <c r="RSF2187" s="594" t="s">
        <v>1232</v>
      </c>
      <c r="RSG2187" s="594" t="s">
        <v>1232</v>
      </c>
      <c r="RSH2187" s="594" t="s">
        <v>1232</v>
      </c>
      <c r="RSI2187" s="594" t="s">
        <v>1232</v>
      </c>
      <c r="RSJ2187" s="594" t="s">
        <v>1232</v>
      </c>
      <c r="RSK2187" s="594" t="s">
        <v>1232</v>
      </c>
      <c r="RSL2187" s="594" t="s">
        <v>1232</v>
      </c>
      <c r="RSM2187" s="594" t="s">
        <v>1232</v>
      </c>
      <c r="RSN2187" s="594" t="s">
        <v>1232</v>
      </c>
      <c r="RSO2187" s="594" t="s">
        <v>1232</v>
      </c>
      <c r="RSP2187" s="594" t="s">
        <v>1232</v>
      </c>
      <c r="RSQ2187" s="594" t="s">
        <v>1232</v>
      </c>
      <c r="RSR2187" s="594" t="s">
        <v>1232</v>
      </c>
      <c r="RSS2187" s="594" t="s">
        <v>1232</v>
      </c>
      <c r="RST2187" s="594" t="s">
        <v>1232</v>
      </c>
      <c r="RSU2187" s="594" t="s">
        <v>1232</v>
      </c>
      <c r="RSV2187" s="594" t="s">
        <v>1232</v>
      </c>
      <c r="RSW2187" s="594" t="s">
        <v>1232</v>
      </c>
      <c r="RSX2187" s="594" t="s">
        <v>1232</v>
      </c>
      <c r="RSY2187" s="594" t="s">
        <v>1232</v>
      </c>
      <c r="RSZ2187" s="594" t="s">
        <v>1232</v>
      </c>
      <c r="RTA2187" s="594" t="s">
        <v>1232</v>
      </c>
      <c r="RTB2187" s="594" t="s">
        <v>1232</v>
      </c>
      <c r="RTC2187" s="594" t="s">
        <v>1232</v>
      </c>
      <c r="RTD2187" s="594" t="s">
        <v>1232</v>
      </c>
      <c r="RTE2187" s="594" t="s">
        <v>1232</v>
      </c>
      <c r="RTF2187" s="594" t="s">
        <v>1232</v>
      </c>
      <c r="RTG2187" s="594" t="s">
        <v>1232</v>
      </c>
      <c r="RTH2187" s="594" t="s">
        <v>1232</v>
      </c>
      <c r="RTI2187" s="594" t="s">
        <v>1232</v>
      </c>
      <c r="RTJ2187" s="594" t="s">
        <v>1232</v>
      </c>
      <c r="RTK2187" s="594" t="s">
        <v>1232</v>
      </c>
      <c r="RTL2187" s="594" t="s">
        <v>1232</v>
      </c>
      <c r="RTM2187" s="594" t="s">
        <v>1232</v>
      </c>
      <c r="RTN2187" s="594" t="s">
        <v>1232</v>
      </c>
      <c r="RTO2187" s="594" t="s">
        <v>1232</v>
      </c>
      <c r="RTP2187" s="594" t="s">
        <v>1232</v>
      </c>
      <c r="RTQ2187" s="594" t="s">
        <v>1232</v>
      </c>
      <c r="RTR2187" s="594" t="s">
        <v>1232</v>
      </c>
      <c r="RTS2187" s="594" t="s">
        <v>1232</v>
      </c>
      <c r="RTT2187" s="594" t="s">
        <v>1232</v>
      </c>
      <c r="RTU2187" s="594" t="s">
        <v>1232</v>
      </c>
      <c r="RTV2187" s="594" t="s">
        <v>1232</v>
      </c>
      <c r="RTW2187" s="594" t="s">
        <v>1232</v>
      </c>
      <c r="RTX2187" s="594" t="s">
        <v>1232</v>
      </c>
      <c r="RTY2187" s="594" t="s">
        <v>1232</v>
      </c>
      <c r="RTZ2187" s="594" t="s">
        <v>1232</v>
      </c>
      <c r="RUA2187" s="594" t="s">
        <v>1232</v>
      </c>
      <c r="RUB2187" s="594" t="s">
        <v>1232</v>
      </c>
      <c r="RUC2187" s="594" t="s">
        <v>1232</v>
      </c>
      <c r="RUD2187" s="594" t="s">
        <v>1232</v>
      </c>
      <c r="RUE2187" s="594" t="s">
        <v>1232</v>
      </c>
      <c r="RUF2187" s="594" t="s">
        <v>1232</v>
      </c>
      <c r="RUG2187" s="594" t="s">
        <v>1232</v>
      </c>
      <c r="RUH2187" s="594" t="s">
        <v>1232</v>
      </c>
      <c r="RUI2187" s="594" t="s">
        <v>1232</v>
      </c>
      <c r="RUJ2187" s="594" t="s">
        <v>1232</v>
      </c>
      <c r="RUK2187" s="594" t="s">
        <v>1232</v>
      </c>
      <c r="RUL2187" s="594" t="s">
        <v>1232</v>
      </c>
      <c r="RUM2187" s="594" t="s">
        <v>1232</v>
      </c>
      <c r="RUN2187" s="594" t="s">
        <v>1232</v>
      </c>
      <c r="RUO2187" s="594" t="s">
        <v>1232</v>
      </c>
      <c r="RUP2187" s="594" t="s">
        <v>1232</v>
      </c>
      <c r="RUQ2187" s="594" t="s">
        <v>1232</v>
      </c>
      <c r="RUR2187" s="594" t="s">
        <v>1232</v>
      </c>
      <c r="RUS2187" s="594" t="s">
        <v>1232</v>
      </c>
      <c r="RUT2187" s="594" t="s">
        <v>1232</v>
      </c>
      <c r="RUU2187" s="594" t="s">
        <v>1232</v>
      </c>
      <c r="RUV2187" s="594" t="s">
        <v>1232</v>
      </c>
      <c r="RUW2187" s="594" t="s">
        <v>1232</v>
      </c>
      <c r="RUX2187" s="594" t="s">
        <v>1232</v>
      </c>
      <c r="RUY2187" s="594" t="s">
        <v>1232</v>
      </c>
      <c r="RUZ2187" s="594" t="s">
        <v>1232</v>
      </c>
      <c r="RVA2187" s="594" t="s">
        <v>1232</v>
      </c>
      <c r="RVB2187" s="594" t="s">
        <v>1232</v>
      </c>
      <c r="RVC2187" s="594" t="s">
        <v>1232</v>
      </c>
      <c r="RVD2187" s="594" t="s">
        <v>1232</v>
      </c>
      <c r="RVE2187" s="594" t="s">
        <v>1232</v>
      </c>
      <c r="RVF2187" s="594" t="s">
        <v>1232</v>
      </c>
      <c r="RVG2187" s="594" t="s">
        <v>1232</v>
      </c>
      <c r="RVH2187" s="594" t="s">
        <v>1232</v>
      </c>
      <c r="RVI2187" s="594" t="s">
        <v>1232</v>
      </c>
      <c r="RVJ2187" s="594" t="s">
        <v>1232</v>
      </c>
      <c r="RVK2187" s="594" t="s">
        <v>1232</v>
      </c>
      <c r="RVL2187" s="594" t="s">
        <v>1232</v>
      </c>
      <c r="RVM2187" s="594" t="s">
        <v>1232</v>
      </c>
      <c r="RVN2187" s="594" t="s">
        <v>1232</v>
      </c>
      <c r="RVO2187" s="594" t="s">
        <v>1232</v>
      </c>
      <c r="RVP2187" s="594" t="s">
        <v>1232</v>
      </c>
      <c r="RVQ2187" s="594" t="s">
        <v>1232</v>
      </c>
      <c r="RVR2187" s="594" t="s">
        <v>1232</v>
      </c>
      <c r="RVS2187" s="594" t="s">
        <v>1232</v>
      </c>
      <c r="RVT2187" s="594" t="s">
        <v>1232</v>
      </c>
      <c r="RVU2187" s="594" t="s">
        <v>1232</v>
      </c>
      <c r="RVV2187" s="594" t="s">
        <v>1232</v>
      </c>
      <c r="RVW2187" s="594" t="s">
        <v>1232</v>
      </c>
      <c r="RVX2187" s="594" t="s">
        <v>1232</v>
      </c>
      <c r="RVY2187" s="594" t="s">
        <v>1232</v>
      </c>
      <c r="RVZ2187" s="594" t="s">
        <v>1232</v>
      </c>
      <c r="RWA2187" s="594" t="s">
        <v>1232</v>
      </c>
      <c r="RWB2187" s="594" t="s">
        <v>1232</v>
      </c>
      <c r="RWC2187" s="594" t="s">
        <v>1232</v>
      </c>
      <c r="RWD2187" s="594" t="s">
        <v>1232</v>
      </c>
      <c r="RWE2187" s="594" t="s">
        <v>1232</v>
      </c>
      <c r="RWF2187" s="594" t="s">
        <v>1232</v>
      </c>
      <c r="RWG2187" s="594" t="s">
        <v>1232</v>
      </c>
      <c r="RWH2187" s="594" t="s">
        <v>1232</v>
      </c>
      <c r="RWI2187" s="594" t="s">
        <v>1232</v>
      </c>
      <c r="RWJ2187" s="594" t="s">
        <v>1232</v>
      </c>
      <c r="RWK2187" s="594" t="s">
        <v>1232</v>
      </c>
      <c r="RWL2187" s="594" t="s">
        <v>1232</v>
      </c>
      <c r="RWM2187" s="594" t="s">
        <v>1232</v>
      </c>
      <c r="RWN2187" s="594" t="s">
        <v>1232</v>
      </c>
      <c r="RWO2187" s="594" t="s">
        <v>1232</v>
      </c>
      <c r="RWP2187" s="594" t="s">
        <v>1232</v>
      </c>
      <c r="RWQ2187" s="594" t="s">
        <v>1232</v>
      </c>
      <c r="RWR2187" s="594" t="s">
        <v>1232</v>
      </c>
      <c r="RWS2187" s="594" t="s">
        <v>1232</v>
      </c>
      <c r="RWT2187" s="594" t="s">
        <v>1232</v>
      </c>
      <c r="RWU2187" s="594" t="s">
        <v>1232</v>
      </c>
      <c r="RWV2187" s="594" t="s">
        <v>1232</v>
      </c>
      <c r="RWW2187" s="594" t="s">
        <v>1232</v>
      </c>
      <c r="RWX2187" s="594" t="s">
        <v>1232</v>
      </c>
      <c r="RWY2187" s="594" t="s">
        <v>1232</v>
      </c>
      <c r="RWZ2187" s="594" t="s">
        <v>1232</v>
      </c>
      <c r="RXA2187" s="594" t="s">
        <v>1232</v>
      </c>
      <c r="RXB2187" s="594" t="s">
        <v>1232</v>
      </c>
      <c r="RXC2187" s="594" t="s">
        <v>1232</v>
      </c>
      <c r="RXD2187" s="594" t="s">
        <v>1232</v>
      </c>
      <c r="RXE2187" s="594" t="s">
        <v>1232</v>
      </c>
      <c r="RXF2187" s="594" t="s">
        <v>1232</v>
      </c>
      <c r="RXG2187" s="594" t="s">
        <v>1232</v>
      </c>
      <c r="RXH2187" s="594" t="s">
        <v>1232</v>
      </c>
      <c r="RXI2187" s="594" t="s">
        <v>1232</v>
      </c>
      <c r="RXJ2187" s="594" t="s">
        <v>1232</v>
      </c>
      <c r="RXK2187" s="594" t="s">
        <v>1232</v>
      </c>
      <c r="RXL2187" s="594" t="s">
        <v>1232</v>
      </c>
      <c r="RXM2187" s="594" t="s">
        <v>1232</v>
      </c>
      <c r="RXN2187" s="594" t="s">
        <v>1232</v>
      </c>
      <c r="RXO2187" s="594" t="s">
        <v>1232</v>
      </c>
      <c r="RXP2187" s="594" t="s">
        <v>1232</v>
      </c>
      <c r="RXQ2187" s="594" t="s">
        <v>1232</v>
      </c>
      <c r="RXR2187" s="594" t="s">
        <v>1232</v>
      </c>
      <c r="RXS2187" s="594" t="s">
        <v>1232</v>
      </c>
      <c r="RXT2187" s="594" t="s">
        <v>1232</v>
      </c>
      <c r="RXU2187" s="594" t="s">
        <v>1232</v>
      </c>
      <c r="RXV2187" s="594" t="s">
        <v>1232</v>
      </c>
      <c r="RXW2187" s="594" t="s">
        <v>1232</v>
      </c>
      <c r="RXX2187" s="594" t="s">
        <v>1232</v>
      </c>
      <c r="RXY2187" s="594" t="s">
        <v>1232</v>
      </c>
      <c r="RXZ2187" s="594" t="s">
        <v>1232</v>
      </c>
      <c r="RYA2187" s="594" t="s">
        <v>1232</v>
      </c>
      <c r="RYB2187" s="594" t="s">
        <v>1232</v>
      </c>
      <c r="RYC2187" s="594" t="s">
        <v>1232</v>
      </c>
      <c r="RYD2187" s="594" t="s">
        <v>1232</v>
      </c>
      <c r="RYE2187" s="594" t="s">
        <v>1232</v>
      </c>
      <c r="RYF2187" s="594" t="s">
        <v>1232</v>
      </c>
      <c r="RYG2187" s="594" t="s">
        <v>1232</v>
      </c>
      <c r="RYH2187" s="594" t="s">
        <v>1232</v>
      </c>
      <c r="RYI2187" s="594" t="s">
        <v>1232</v>
      </c>
      <c r="RYJ2187" s="594" t="s">
        <v>1232</v>
      </c>
      <c r="RYK2187" s="594" t="s">
        <v>1232</v>
      </c>
      <c r="RYL2187" s="594" t="s">
        <v>1232</v>
      </c>
      <c r="RYM2187" s="594" t="s">
        <v>1232</v>
      </c>
      <c r="RYN2187" s="594" t="s">
        <v>1232</v>
      </c>
      <c r="RYO2187" s="594" t="s">
        <v>1232</v>
      </c>
      <c r="RYP2187" s="594" t="s">
        <v>1232</v>
      </c>
      <c r="RYQ2187" s="594" t="s">
        <v>1232</v>
      </c>
      <c r="RYR2187" s="594" t="s">
        <v>1232</v>
      </c>
      <c r="RYS2187" s="594" t="s">
        <v>1232</v>
      </c>
      <c r="RYT2187" s="594" t="s">
        <v>1232</v>
      </c>
      <c r="RYU2187" s="594" t="s">
        <v>1232</v>
      </c>
      <c r="RYV2187" s="594" t="s">
        <v>1232</v>
      </c>
      <c r="RYW2187" s="594" t="s">
        <v>1232</v>
      </c>
      <c r="RYX2187" s="594" t="s">
        <v>1232</v>
      </c>
      <c r="RYY2187" s="594" t="s">
        <v>1232</v>
      </c>
      <c r="RYZ2187" s="594" t="s">
        <v>1232</v>
      </c>
      <c r="RZA2187" s="594" t="s">
        <v>1232</v>
      </c>
      <c r="RZB2187" s="594" t="s">
        <v>1232</v>
      </c>
      <c r="RZC2187" s="594" t="s">
        <v>1232</v>
      </c>
      <c r="RZD2187" s="594" t="s">
        <v>1232</v>
      </c>
      <c r="RZE2187" s="594" t="s">
        <v>1232</v>
      </c>
      <c r="RZF2187" s="594" t="s">
        <v>1232</v>
      </c>
      <c r="RZG2187" s="594" t="s">
        <v>1232</v>
      </c>
      <c r="RZH2187" s="594" t="s">
        <v>1232</v>
      </c>
      <c r="RZI2187" s="594" t="s">
        <v>1232</v>
      </c>
      <c r="RZJ2187" s="594" t="s">
        <v>1232</v>
      </c>
      <c r="RZK2187" s="594" t="s">
        <v>1232</v>
      </c>
      <c r="RZL2187" s="594" t="s">
        <v>1232</v>
      </c>
      <c r="RZM2187" s="594" t="s">
        <v>1232</v>
      </c>
      <c r="RZN2187" s="594" t="s">
        <v>1232</v>
      </c>
      <c r="RZO2187" s="594" t="s">
        <v>1232</v>
      </c>
      <c r="RZP2187" s="594" t="s">
        <v>1232</v>
      </c>
      <c r="RZQ2187" s="594" t="s">
        <v>1232</v>
      </c>
      <c r="RZR2187" s="594" t="s">
        <v>1232</v>
      </c>
      <c r="RZS2187" s="594" t="s">
        <v>1232</v>
      </c>
      <c r="RZT2187" s="594" t="s">
        <v>1232</v>
      </c>
      <c r="RZU2187" s="594" t="s">
        <v>1232</v>
      </c>
      <c r="RZV2187" s="594" t="s">
        <v>1232</v>
      </c>
      <c r="RZW2187" s="594" t="s">
        <v>1232</v>
      </c>
      <c r="RZX2187" s="594" t="s">
        <v>1232</v>
      </c>
      <c r="RZY2187" s="594" t="s">
        <v>1232</v>
      </c>
      <c r="RZZ2187" s="594" t="s">
        <v>1232</v>
      </c>
      <c r="SAA2187" s="594" t="s">
        <v>1232</v>
      </c>
      <c r="SAB2187" s="594" t="s">
        <v>1232</v>
      </c>
      <c r="SAC2187" s="594" t="s">
        <v>1232</v>
      </c>
      <c r="SAD2187" s="594" t="s">
        <v>1232</v>
      </c>
      <c r="SAE2187" s="594" t="s">
        <v>1232</v>
      </c>
      <c r="SAF2187" s="594" t="s">
        <v>1232</v>
      </c>
      <c r="SAG2187" s="594" t="s">
        <v>1232</v>
      </c>
      <c r="SAH2187" s="594" t="s">
        <v>1232</v>
      </c>
      <c r="SAI2187" s="594" t="s">
        <v>1232</v>
      </c>
      <c r="SAJ2187" s="594" t="s">
        <v>1232</v>
      </c>
      <c r="SAK2187" s="594" t="s">
        <v>1232</v>
      </c>
      <c r="SAL2187" s="594" t="s">
        <v>1232</v>
      </c>
      <c r="SAM2187" s="594" t="s">
        <v>1232</v>
      </c>
      <c r="SAN2187" s="594" t="s">
        <v>1232</v>
      </c>
      <c r="SAO2187" s="594" t="s">
        <v>1232</v>
      </c>
      <c r="SAP2187" s="594" t="s">
        <v>1232</v>
      </c>
      <c r="SAQ2187" s="594" t="s">
        <v>1232</v>
      </c>
      <c r="SAR2187" s="594" t="s">
        <v>1232</v>
      </c>
      <c r="SAS2187" s="594" t="s">
        <v>1232</v>
      </c>
      <c r="SAT2187" s="594" t="s">
        <v>1232</v>
      </c>
      <c r="SAU2187" s="594" t="s">
        <v>1232</v>
      </c>
      <c r="SAV2187" s="594" t="s">
        <v>1232</v>
      </c>
      <c r="SAW2187" s="594" t="s">
        <v>1232</v>
      </c>
      <c r="SAX2187" s="594" t="s">
        <v>1232</v>
      </c>
      <c r="SAY2187" s="594" t="s">
        <v>1232</v>
      </c>
      <c r="SAZ2187" s="594" t="s">
        <v>1232</v>
      </c>
      <c r="SBA2187" s="594" t="s">
        <v>1232</v>
      </c>
      <c r="SBB2187" s="594" t="s">
        <v>1232</v>
      </c>
      <c r="SBC2187" s="594" t="s">
        <v>1232</v>
      </c>
      <c r="SBD2187" s="594" t="s">
        <v>1232</v>
      </c>
      <c r="SBE2187" s="594" t="s">
        <v>1232</v>
      </c>
      <c r="SBF2187" s="594" t="s">
        <v>1232</v>
      </c>
      <c r="SBG2187" s="594" t="s">
        <v>1232</v>
      </c>
      <c r="SBH2187" s="594" t="s">
        <v>1232</v>
      </c>
      <c r="SBI2187" s="594" t="s">
        <v>1232</v>
      </c>
      <c r="SBJ2187" s="594" t="s">
        <v>1232</v>
      </c>
      <c r="SBK2187" s="594" t="s">
        <v>1232</v>
      </c>
      <c r="SBL2187" s="594" t="s">
        <v>1232</v>
      </c>
      <c r="SBM2187" s="594" t="s">
        <v>1232</v>
      </c>
      <c r="SBN2187" s="594" t="s">
        <v>1232</v>
      </c>
      <c r="SBO2187" s="594" t="s">
        <v>1232</v>
      </c>
      <c r="SBP2187" s="594" t="s">
        <v>1232</v>
      </c>
      <c r="SBQ2187" s="594" t="s">
        <v>1232</v>
      </c>
      <c r="SBR2187" s="594" t="s">
        <v>1232</v>
      </c>
      <c r="SBS2187" s="594" t="s">
        <v>1232</v>
      </c>
      <c r="SBT2187" s="594" t="s">
        <v>1232</v>
      </c>
      <c r="SBU2187" s="594" t="s">
        <v>1232</v>
      </c>
      <c r="SBV2187" s="594" t="s">
        <v>1232</v>
      </c>
      <c r="SBW2187" s="594" t="s">
        <v>1232</v>
      </c>
      <c r="SBX2187" s="594" t="s">
        <v>1232</v>
      </c>
      <c r="SBY2187" s="594" t="s">
        <v>1232</v>
      </c>
      <c r="SBZ2187" s="594" t="s">
        <v>1232</v>
      </c>
      <c r="SCA2187" s="594" t="s">
        <v>1232</v>
      </c>
      <c r="SCB2187" s="594" t="s">
        <v>1232</v>
      </c>
      <c r="SCC2187" s="594" t="s">
        <v>1232</v>
      </c>
      <c r="SCD2187" s="594" t="s">
        <v>1232</v>
      </c>
      <c r="SCE2187" s="594" t="s">
        <v>1232</v>
      </c>
      <c r="SCF2187" s="594" t="s">
        <v>1232</v>
      </c>
      <c r="SCG2187" s="594" t="s">
        <v>1232</v>
      </c>
      <c r="SCH2187" s="594" t="s">
        <v>1232</v>
      </c>
      <c r="SCI2187" s="594" t="s">
        <v>1232</v>
      </c>
      <c r="SCJ2187" s="594" t="s">
        <v>1232</v>
      </c>
      <c r="SCK2187" s="594" t="s">
        <v>1232</v>
      </c>
      <c r="SCL2187" s="594" t="s">
        <v>1232</v>
      </c>
      <c r="SCM2187" s="594" t="s">
        <v>1232</v>
      </c>
      <c r="SCN2187" s="594" t="s">
        <v>1232</v>
      </c>
      <c r="SCO2187" s="594" t="s">
        <v>1232</v>
      </c>
      <c r="SCP2187" s="594" t="s">
        <v>1232</v>
      </c>
      <c r="SCQ2187" s="594" t="s">
        <v>1232</v>
      </c>
      <c r="SCR2187" s="594" t="s">
        <v>1232</v>
      </c>
      <c r="SCS2187" s="594" t="s">
        <v>1232</v>
      </c>
      <c r="SCT2187" s="594" t="s">
        <v>1232</v>
      </c>
      <c r="SCU2187" s="594" t="s">
        <v>1232</v>
      </c>
      <c r="SCV2187" s="594" t="s">
        <v>1232</v>
      </c>
      <c r="SCW2187" s="594" t="s">
        <v>1232</v>
      </c>
      <c r="SCX2187" s="594" t="s">
        <v>1232</v>
      </c>
      <c r="SCY2187" s="594" t="s">
        <v>1232</v>
      </c>
      <c r="SCZ2187" s="594" t="s">
        <v>1232</v>
      </c>
      <c r="SDA2187" s="594" t="s">
        <v>1232</v>
      </c>
      <c r="SDB2187" s="594" t="s">
        <v>1232</v>
      </c>
      <c r="SDC2187" s="594" t="s">
        <v>1232</v>
      </c>
      <c r="SDD2187" s="594" t="s">
        <v>1232</v>
      </c>
      <c r="SDE2187" s="594" t="s">
        <v>1232</v>
      </c>
      <c r="SDF2187" s="594" t="s">
        <v>1232</v>
      </c>
      <c r="SDG2187" s="594" t="s">
        <v>1232</v>
      </c>
      <c r="SDH2187" s="594" t="s">
        <v>1232</v>
      </c>
      <c r="SDI2187" s="594" t="s">
        <v>1232</v>
      </c>
      <c r="SDJ2187" s="594" t="s">
        <v>1232</v>
      </c>
      <c r="SDK2187" s="594" t="s">
        <v>1232</v>
      </c>
      <c r="SDL2187" s="594" t="s">
        <v>1232</v>
      </c>
      <c r="SDM2187" s="594" t="s">
        <v>1232</v>
      </c>
      <c r="SDN2187" s="594" t="s">
        <v>1232</v>
      </c>
      <c r="SDO2187" s="594" t="s">
        <v>1232</v>
      </c>
      <c r="SDP2187" s="594" t="s">
        <v>1232</v>
      </c>
      <c r="SDQ2187" s="594" t="s">
        <v>1232</v>
      </c>
      <c r="SDR2187" s="594" t="s">
        <v>1232</v>
      </c>
      <c r="SDS2187" s="594" t="s">
        <v>1232</v>
      </c>
      <c r="SDT2187" s="594" t="s">
        <v>1232</v>
      </c>
      <c r="SDU2187" s="594" t="s">
        <v>1232</v>
      </c>
      <c r="SDV2187" s="594" t="s">
        <v>1232</v>
      </c>
      <c r="SDW2187" s="594" t="s">
        <v>1232</v>
      </c>
      <c r="SDX2187" s="594" t="s">
        <v>1232</v>
      </c>
      <c r="SDY2187" s="594" t="s">
        <v>1232</v>
      </c>
      <c r="SDZ2187" s="594" t="s">
        <v>1232</v>
      </c>
      <c r="SEA2187" s="594" t="s">
        <v>1232</v>
      </c>
      <c r="SEB2187" s="594" t="s">
        <v>1232</v>
      </c>
      <c r="SEC2187" s="594" t="s">
        <v>1232</v>
      </c>
      <c r="SED2187" s="594" t="s">
        <v>1232</v>
      </c>
      <c r="SEE2187" s="594" t="s">
        <v>1232</v>
      </c>
      <c r="SEF2187" s="594" t="s">
        <v>1232</v>
      </c>
      <c r="SEG2187" s="594" t="s">
        <v>1232</v>
      </c>
      <c r="SEH2187" s="594" t="s">
        <v>1232</v>
      </c>
      <c r="SEI2187" s="594" t="s">
        <v>1232</v>
      </c>
      <c r="SEJ2187" s="594" t="s">
        <v>1232</v>
      </c>
      <c r="SEK2187" s="594" t="s">
        <v>1232</v>
      </c>
      <c r="SEL2187" s="594" t="s">
        <v>1232</v>
      </c>
      <c r="SEM2187" s="594" t="s">
        <v>1232</v>
      </c>
      <c r="SEN2187" s="594" t="s">
        <v>1232</v>
      </c>
      <c r="SEO2187" s="594" t="s">
        <v>1232</v>
      </c>
      <c r="SEP2187" s="594" t="s">
        <v>1232</v>
      </c>
      <c r="SEQ2187" s="594" t="s">
        <v>1232</v>
      </c>
      <c r="SER2187" s="594" t="s">
        <v>1232</v>
      </c>
      <c r="SES2187" s="594" t="s">
        <v>1232</v>
      </c>
      <c r="SET2187" s="594" t="s">
        <v>1232</v>
      </c>
      <c r="SEU2187" s="594" t="s">
        <v>1232</v>
      </c>
      <c r="SEV2187" s="594" t="s">
        <v>1232</v>
      </c>
      <c r="SEW2187" s="594" t="s">
        <v>1232</v>
      </c>
      <c r="SEX2187" s="594" t="s">
        <v>1232</v>
      </c>
      <c r="SEY2187" s="594" t="s">
        <v>1232</v>
      </c>
      <c r="SEZ2187" s="594" t="s">
        <v>1232</v>
      </c>
      <c r="SFA2187" s="594" t="s">
        <v>1232</v>
      </c>
      <c r="SFB2187" s="594" t="s">
        <v>1232</v>
      </c>
      <c r="SFC2187" s="594" t="s">
        <v>1232</v>
      </c>
      <c r="SFD2187" s="594" t="s">
        <v>1232</v>
      </c>
      <c r="SFE2187" s="594" t="s">
        <v>1232</v>
      </c>
      <c r="SFF2187" s="594" t="s">
        <v>1232</v>
      </c>
      <c r="SFG2187" s="594" t="s">
        <v>1232</v>
      </c>
      <c r="SFH2187" s="594" t="s">
        <v>1232</v>
      </c>
      <c r="SFI2187" s="594" t="s">
        <v>1232</v>
      </c>
      <c r="SFJ2187" s="594" t="s">
        <v>1232</v>
      </c>
      <c r="SFK2187" s="594" t="s">
        <v>1232</v>
      </c>
      <c r="SFL2187" s="594" t="s">
        <v>1232</v>
      </c>
      <c r="SFM2187" s="594" t="s">
        <v>1232</v>
      </c>
      <c r="SFN2187" s="594" t="s">
        <v>1232</v>
      </c>
      <c r="SFO2187" s="594" t="s">
        <v>1232</v>
      </c>
      <c r="SFP2187" s="594" t="s">
        <v>1232</v>
      </c>
      <c r="SFQ2187" s="594" t="s">
        <v>1232</v>
      </c>
      <c r="SFR2187" s="594" t="s">
        <v>1232</v>
      </c>
      <c r="SFS2187" s="594" t="s">
        <v>1232</v>
      </c>
      <c r="SFT2187" s="594" t="s">
        <v>1232</v>
      </c>
      <c r="SFU2187" s="594" t="s">
        <v>1232</v>
      </c>
      <c r="SFV2187" s="594" t="s">
        <v>1232</v>
      </c>
      <c r="SFW2187" s="594" t="s">
        <v>1232</v>
      </c>
      <c r="SFX2187" s="594" t="s">
        <v>1232</v>
      </c>
      <c r="SFY2187" s="594" t="s">
        <v>1232</v>
      </c>
      <c r="SFZ2187" s="594" t="s">
        <v>1232</v>
      </c>
      <c r="SGA2187" s="594" t="s">
        <v>1232</v>
      </c>
      <c r="SGB2187" s="594" t="s">
        <v>1232</v>
      </c>
      <c r="SGC2187" s="594" t="s">
        <v>1232</v>
      </c>
      <c r="SGD2187" s="594" t="s">
        <v>1232</v>
      </c>
      <c r="SGE2187" s="594" t="s">
        <v>1232</v>
      </c>
      <c r="SGF2187" s="594" t="s">
        <v>1232</v>
      </c>
      <c r="SGG2187" s="594" t="s">
        <v>1232</v>
      </c>
      <c r="SGH2187" s="594" t="s">
        <v>1232</v>
      </c>
      <c r="SGI2187" s="594" t="s">
        <v>1232</v>
      </c>
      <c r="SGJ2187" s="594" t="s">
        <v>1232</v>
      </c>
      <c r="SGK2187" s="594" t="s">
        <v>1232</v>
      </c>
      <c r="SGL2187" s="594" t="s">
        <v>1232</v>
      </c>
      <c r="SGM2187" s="594" t="s">
        <v>1232</v>
      </c>
      <c r="SGN2187" s="594" t="s">
        <v>1232</v>
      </c>
      <c r="SGO2187" s="594" t="s">
        <v>1232</v>
      </c>
      <c r="SGP2187" s="594" t="s">
        <v>1232</v>
      </c>
      <c r="SGQ2187" s="594" t="s">
        <v>1232</v>
      </c>
      <c r="SGR2187" s="594" t="s">
        <v>1232</v>
      </c>
      <c r="SGS2187" s="594" t="s">
        <v>1232</v>
      </c>
      <c r="SGT2187" s="594" t="s">
        <v>1232</v>
      </c>
      <c r="SGU2187" s="594" t="s">
        <v>1232</v>
      </c>
      <c r="SGV2187" s="594" t="s">
        <v>1232</v>
      </c>
      <c r="SGW2187" s="594" t="s">
        <v>1232</v>
      </c>
      <c r="SGX2187" s="594" t="s">
        <v>1232</v>
      </c>
      <c r="SGY2187" s="594" t="s">
        <v>1232</v>
      </c>
      <c r="SGZ2187" s="594" t="s">
        <v>1232</v>
      </c>
      <c r="SHA2187" s="594" t="s">
        <v>1232</v>
      </c>
      <c r="SHB2187" s="594" t="s">
        <v>1232</v>
      </c>
      <c r="SHC2187" s="594" t="s">
        <v>1232</v>
      </c>
      <c r="SHD2187" s="594" t="s">
        <v>1232</v>
      </c>
      <c r="SHE2187" s="594" t="s">
        <v>1232</v>
      </c>
      <c r="SHF2187" s="594" t="s">
        <v>1232</v>
      </c>
      <c r="SHG2187" s="594" t="s">
        <v>1232</v>
      </c>
      <c r="SHH2187" s="594" t="s">
        <v>1232</v>
      </c>
      <c r="SHI2187" s="594" t="s">
        <v>1232</v>
      </c>
      <c r="SHJ2187" s="594" t="s">
        <v>1232</v>
      </c>
      <c r="SHK2187" s="594" t="s">
        <v>1232</v>
      </c>
      <c r="SHL2187" s="594" t="s">
        <v>1232</v>
      </c>
      <c r="SHM2187" s="594" t="s">
        <v>1232</v>
      </c>
      <c r="SHN2187" s="594" t="s">
        <v>1232</v>
      </c>
      <c r="SHO2187" s="594" t="s">
        <v>1232</v>
      </c>
      <c r="SHP2187" s="594" t="s">
        <v>1232</v>
      </c>
      <c r="SHQ2187" s="594" t="s">
        <v>1232</v>
      </c>
      <c r="SHR2187" s="594" t="s">
        <v>1232</v>
      </c>
      <c r="SHS2187" s="594" t="s">
        <v>1232</v>
      </c>
      <c r="SHT2187" s="594" t="s">
        <v>1232</v>
      </c>
      <c r="SHU2187" s="594" t="s">
        <v>1232</v>
      </c>
      <c r="SHV2187" s="594" t="s">
        <v>1232</v>
      </c>
      <c r="SHW2187" s="594" t="s">
        <v>1232</v>
      </c>
      <c r="SHX2187" s="594" t="s">
        <v>1232</v>
      </c>
      <c r="SHY2187" s="594" t="s">
        <v>1232</v>
      </c>
      <c r="SHZ2187" s="594" t="s">
        <v>1232</v>
      </c>
      <c r="SIA2187" s="594" t="s">
        <v>1232</v>
      </c>
      <c r="SIB2187" s="594" t="s">
        <v>1232</v>
      </c>
      <c r="SIC2187" s="594" t="s">
        <v>1232</v>
      </c>
      <c r="SID2187" s="594" t="s">
        <v>1232</v>
      </c>
      <c r="SIE2187" s="594" t="s">
        <v>1232</v>
      </c>
      <c r="SIF2187" s="594" t="s">
        <v>1232</v>
      </c>
      <c r="SIG2187" s="594" t="s">
        <v>1232</v>
      </c>
      <c r="SIH2187" s="594" t="s">
        <v>1232</v>
      </c>
      <c r="SII2187" s="594" t="s">
        <v>1232</v>
      </c>
      <c r="SIJ2187" s="594" t="s">
        <v>1232</v>
      </c>
      <c r="SIK2187" s="594" t="s">
        <v>1232</v>
      </c>
      <c r="SIL2187" s="594" t="s">
        <v>1232</v>
      </c>
      <c r="SIM2187" s="594" t="s">
        <v>1232</v>
      </c>
      <c r="SIN2187" s="594" t="s">
        <v>1232</v>
      </c>
      <c r="SIO2187" s="594" t="s">
        <v>1232</v>
      </c>
      <c r="SIP2187" s="594" t="s">
        <v>1232</v>
      </c>
      <c r="SIQ2187" s="594" t="s">
        <v>1232</v>
      </c>
      <c r="SIR2187" s="594" t="s">
        <v>1232</v>
      </c>
      <c r="SIS2187" s="594" t="s">
        <v>1232</v>
      </c>
      <c r="SIT2187" s="594" t="s">
        <v>1232</v>
      </c>
      <c r="SIU2187" s="594" t="s">
        <v>1232</v>
      </c>
      <c r="SIV2187" s="594" t="s">
        <v>1232</v>
      </c>
      <c r="SIW2187" s="594" t="s">
        <v>1232</v>
      </c>
      <c r="SIX2187" s="594" t="s">
        <v>1232</v>
      </c>
      <c r="SIY2187" s="594" t="s">
        <v>1232</v>
      </c>
      <c r="SIZ2187" s="594" t="s">
        <v>1232</v>
      </c>
      <c r="SJA2187" s="594" t="s">
        <v>1232</v>
      </c>
      <c r="SJB2187" s="594" t="s">
        <v>1232</v>
      </c>
      <c r="SJC2187" s="594" t="s">
        <v>1232</v>
      </c>
      <c r="SJD2187" s="594" t="s">
        <v>1232</v>
      </c>
      <c r="SJE2187" s="594" t="s">
        <v>1232</v>
      </c>
      <c r="SJF2187" s="594" t="s">
        <v>1232</v>
      </c>
      <c r="SJG2187" s="594" t="s">
        <v>1232</v>
      </c>
      <c r="SJH2187" s="594" t="s">
        <v>1232</v>
      </c>
      <c r="SJI2187" s="594" t="s">
        <v>1232</v>
      </c>
      <c r="SJJ2187" s="594" t="s">
        <v>1232</v>
      </c>
      <c r="SJK2187" s="594" t="s">
        <v>1232</v>
      </c>
      <c r="SJL2187" s="594" t="s">
        <v>1232</v>
      </c>
      <c r="SJM2187" s="594" t="s">
        <v>1232</v>
      </c>
      <c r="SJN2187" s="594" t="s">
        <v>1232</v>
      </c>
      <c r="SJO2187" s="594" t="s">
        <v>1232</v>
      </c>
      <c r="SJP2187" s="594" t="s">
        <v>1232</v>
      </c>
      <c r="SJQ2187" s="594" t="s">
        <v>1232</v>
      </c>
      <c r="SJR2187" s="594" t="s">
        <v>1232</v>
      </c>
      <c r="SJS2187" s="594" t="s">
        <v>1232</v>
      </c>
      <c r="SJT2187" s="594" t="s">
        <v>1232</v>
      </c>
      <c r="SJU2187" s="594" t="s">
        <v>1232</v>
      </c>
      <c r="SJV2187" s="594" t="s">
        <v>1232</v>
      </c>
      <c r="SJW2187" s="594" t="s">
        <v>1232</v>
      </c>
      <c r="SJX2187" s="594" t="s">
        <v>1232</v>
      </c>
      <c r="SJY2187" s="594" t="s">
        <v>1232</v>
      </c>
      <c r="SJZ2187" s="594" t="s">
        <v>1232</v>
      </c>
      <c r="SKA2187" s="594" t="s">
        <v>1232</v>
      </c>
      <c r="SKB2187" s="594" t="s">
        <v>1232</v>
      </c>
      <c r="SKC2187" s="594" t="s">
        <v>1232</v>
      </c>
      <c r="SKD2187" s="594" t="s">
        <v>1232</v>
      </c>
      <c r="SKE2187" s="594" t="s">
        <v>1232</v>
      </c>
      <c r="SKF2187" s="594" t="s">
        <v>1232</v>
      </c>
      <c r="SKG2187" s="594" t="s">
        <v>1232</v>
      </c>
      <c r="SKH2187" s="594" t="s">
        <v>1232</v>
      </c>
      <c r="SKI2187" s="594" t="s">
        <v>1232</v>
      </c>
      <c r="SKJ2187" s="594" t="s">
        <v>1232</v>
      </c>
      <c r="SKK2187" s="594" t="s">
        <v>1232</v>
      </c>
      <c r="SKL2187" s="594" t="s">
        <v>1232</v>
      </c>
      <c r="SKM2187" s="594" t="s">
        <v>1232</v>
      </c>
      <c r="SKN2187" s="594" t="s">
        <v>1232</v>
      </c>
      <c r="SKO2187" s="594" t="s">
        <v>1232</v>
      </c>
      <c r="SKP2187" s="594" t="s">
        <v>1232</v>
      </c>
      <c r="SKQ2187" s="594" t="s">
        <v>1232</v>
      </c>
      <c r="SKR2187" s="594" t="s">
        <v>1232</v>
      </c>
      <c r="SKS2187" s="594" t="s">
        <v>1232</v>
      </c>
      <c r="SKT2187" s="594" t="s">
        <v>1232</v>
      </c>
      <c r="SKU2187" s="594" t="s">
        <v>1232</v>
      </c>
      <c r="SKV2187" s="594" t="s">
        <v>1232</v>
      </c>
      <c r="SKW2187" s="594" t="s">
        <v>1232</v>
      </c>
      <c r="SKX2187" s="594" t="s">
        <v>1232</v>
      </c>
      <c r="SKY2187" s="594" t="s">
        <v>1232</v>
      </c>
      <c r="SKZ2187" s="594" t="s">
        <v>1232</v>
      </c>
      <c r="SLA2187" s="594" t="s">
        <v>1232</v>
      </c>
      <c r="SLB2187" s="594" t="s">
        <v>1232</v>
      </c>
      <c r="SLC2187" s="594" t="s">
        <v>1232</v>
      </c>
      <c r="SLD2187" s="594" t="s">
        <v>1232</v>
      </c>
      <c r="SLE2187" s="594" t="s">
        <v>1232</v>
      </c>
      <c r="SLF2187" s="594" t="s">
        <v>1232</v>
      </c>
      <c r="SLG2187" s="594" t="s">
        <v>1232</v>
      </c>
      <c r="SLH2187" s="594" t="s">
        <v>1232</v>
      </c>
      <c r="SLI2187" s="594" t="s">
        <v>1232</v>
      </c>
      <c r="SLJ2187" s="594" t="s">
        <v>1232</v>
      </c>
      <c r="SLK2187" s="594" t="s">
        <v>1232</v>
      </c>
      <c r="SLL2187" s="594" t="s">
        <v>1232</v>
      </c>
      <c r="SLM2187" s="594" t="s">
        <v>1232</v>
      </c>
      <c r="SLN2187" s="594" t="s">
        <v>1232</v>
      </c>
      <c r="SLO2187" s="594" t="s">
        <v>1232</v>
      </c>
      <c r="SLP2187" s="594" t="s">
        <v>1232</v>
      </c>
      <c r="SLQ2187" s="594" t="s">
        <v>1232</v>
      </c>
      <c r="SLR2187" s="594" t="s">
        <v>1232</v>
      </c>
      <c r="SLS2187" s="594" t="s">
        <v>1232</v>
      </c>
      <c r="SLT2187" s="594" t="s">
        <v>1232</v>
      </c>
      <c r="SLU2187" s="594" t="s">
        <v>1232</v>
      </c>
      <c r="SLV2187" s="594" t="s">
        <v>1232</v>
      </c>
      <c r="SLW2187" s="594" t="s">
        <v>1232</v>
      </c>
      <c r="SLX2187" s="594" t="s">
        <v>1232</v>
      </c>
      <c r="SLY2187" s="594" t="s">
        <v>1232</v>
      </c>
      <c r="SLZ2187" s="594" t="s">
        <v>1232</v>
      </c>
      <c r="SMA2187" s="594" t="s">
        <v>1232</v>
      </c>
      <c r="SMB2187" s="594" t="s">
        <v>1232</v>
      </c>
      <c r="SMC2187" s="594" t="s">
        <v>1232</v>
      </c>
      <c r="SMD2187" s="594" t="s">
        <v>1232</v>
      </c>
      <c r="SME2187" s="594" t="s">
        <v>1232</v>
      </c>
      <c r="SMF2187" s="594" t="s">
        <v>1232</v>
      </c>
      <c r="SMG2187" s="594" t="s">
        <v>1232</v>
      </c>
      <c r="SMH2187" s="594" t="s">
        <v>1232</v>
      </c>
      <c r="SMI2187" s="594" t="s">
        <v>1232</v>
      </c>
      <c r="SMJ2187" s="594" t="s">
        <v>1232</v>
      </c>
      <c r="SMK2187" s="594" t="s">
        <v>1232</v>
      </c>
      <c r="SML2187" s="594" t="s">
        <v>1232</v>
      </c>
      <c r="SMM2187" s="594" t="s">
        <v>1232</v>
      </c>
      <c r="SMN2187" s="594" t="s">
        <v>1232</v>
      </c>
      <c r="SMO2187" s="594" t="s">
        <v>1232</v>
      </c>
      <c r="SMP2187" s="594" t="s">
        <v>1232</v>
      </c>
      <c r="SMQ2187" s="594" t="s">
        <v>1232</v>
      </c>
      <c r="SMR2187" s="594" t="s">
        <v>1232</v>
      </c>
      <c r="SMS2187" s="594" t="s">
        <v>1232</v>
      </c>
      <c r="SMT2187" s="594" t="s">
        <v>1232</v>
      </c>
      <c r="SMU2187" s="594" t="s">
        <v>1232</v>
      </c>
      <c r="SMV2187" s="594" t="s">
        <v>1232</v>
      </c>
      <c r="SMW2187" s="594" t="s">
        <v>1232</v>
      </c>
      <c r="SMX2187" s="594" t="s">
        <v>1232</v>
      </c>
      <c r="SMY2187" s="594" t="s">
        <v>1232</v>
      </c>
      <c r="SMZ2187" s="594" t="s">
        <v>1232</v>
      </c>
      <c r="SNA2187" s="594" t="s">
        <v>1232</v>
      </c>
      <c r="SNB2187" s="594" t="s">
        <v>1232</v>
      </c>
      <c r="SNC2187" s="594" t="s">
        <v>1232</v>
      </c>
      <c r="SND2187" s="594" t="s">
        <v>1232</v>
      </c>
      <c r="SNE2187" s="594" t="s">
        <v>1232</v>
      </c>
      <c r="SNF2187" s="594" t="s">
        <v>1232</v>
      </c>
      <c r="SNG2187" s="594" t="s">
        <v>1232</v>
      </c>
      <c r="SNH2187" s="594" t="s">
        <v>1232</v>
      </c>
      <c r="SNI2187" s="594" t="s">
        <v>1232</v>
      </c>
      <c r="SNJ2187" s="594" t="s">
        <v>1232</v>
      </c>
      <c r="SNK2187" s="594" t="s">
        <v>1232</v>
      </c>
      <c r="SNL2187" s="594" t="s">
        <v>1232</v>
      </c>
      <c r="SNM2187" s="594" t="s">
        <v>1232</v>
      </c>
      <c r="SNN2187" s="594" t="s">
        <v>1232</v>
      </c>
      <c r="SNO2187" s="594" t="s">
        <v>1232</v>
      </c>
      <c r="SNP2187" s="594" t="s">
        <v>1232</v>
      </c>
      <c r="SNQ2187" s="594" t="s">
        <v>1232</v>
      </c>
      <c r="SNR2187" s="594" t="s">
        <v>1232</v>
      </c>
      <c r="SNS2187" s="594" t="s">
        <v>1232</v>
      </c>
      <c r="SNT2187" s="594" t="s">
        <v>1232</v>
      </c>
      <c r="SNU2187" s="594" t="s">
        <v>1232</v>
      </c>
      <c r="SNV2187" s="594" t="s">
        <v>1232</v>
      </c>
      <c r="SNW2187" s="594" t="s">
        <v>1232</v>
      </c>
      <c r="SNX2187" s="594" t="s">
        <v>1232</v>
      </c>
      <c r="SNY2187" s="594" t="s">
        <v>1232</v>
      </c>
      <c r="SNZ2187" s="594" t="s">
        <v>1232</v>
      </c>
      <c r="SOA2187" s="594" t="s">
        <v>1232</v>
      </c>
      <c r="SOB2187" s="594" t="s">
        <v>1232</v>
      </c>
      <c r="SOC2187" s="594" t="s">
        <v>1232</v>
      </c>
      <c r="SOD2187" s="594" t="s">
        <v>1232</v>
      </c>
      <c r="SOE2187" s="594" t="s">
        <v>1232</v>
      </c>
      <c r="SOF2187" s="594" t="s">
        <v>1232</v>
      </c>
      <c r="SOG2187" s="594" t="s">
        <v>1232</v>
      </c>
      <c r="SOH2187" s="594" t="s">
        <v>1232</v>
      </c>
      <c r="SOI2187" s="594" t="s">
        <v>1232</v>
      </c>
      <c r="SOJ2187" s="594" t="s">
        <v>1232</v>
      </c>
      <c r="SOK2187" s="594" t="s">
        <v>1232</v>
      </c>
      <c r="SOL2187" s="594" t="s">
        <v>1232</v>
      </c>
      <c r="SOM2187" s="594" t="s">
        <v>1232</v>
      </c>
      <c r="SON2187" s="594" t="s">
        <v>1232</v>
      </c>
      <c r="SOO2187" s="594" t="s">
        <v>1232</v>
      </c>
      <c r="SOP2187" s="594" t="s">
        <v>1232</v>
      </c>
      <c r="SOQ2187" s="594" t="s">
        <v>1232</v>
      </c>
      <c r="SOR2187" s="594" t="s">
        <v>1232</v>
      </c>
      <c r="SOS2187" s="594" t="s">
        <v>1232</v>
      </c>
      <c r="SOT2187" s="594" t="s">
        <v>1232</v>
      </c>
      <c r="SOU2187" s="594" t="s">
        <v>1232</v>
      </c>
      <c r="SOV2187" s="594" t="s">
        <v>1232</v>
      </c>
      <c r="SOW2187" s="594" t="s">
        <v>1232</v>
      </c>
      <c r="SOX2187" s="594" t="s">
        <v>1232</v>
      </c>
      <c r="SOY2187" s="594" t="s">
        <v>1232</v>
      </c>
      <c r="SOZ2187" s="594" t="s">
        <v>1232</v>
      </c>
      <c r="SPA2187" s="594" t="s">
        <v>1232</v>
      </c>
      <c r="SPB2187" s="594" t="s">
        <v>1232</v>
      </c>
      <c r="SPC2187" s="594" t="s">
        <v>1232</v>
      </c>
      <c r="SPD2187" s="594" t="s">
        <v>1232</v>
      </c>
      <c r="SPE2187" s="594" t="s">
        <v>1232</v>
      </c>
      <c r="SPF2187" s="594" t="s">
        <v>1232</v>
      </c>
      <c r="SPG2187" s="594" t="s">
        <v>1232</v>
      </c>
      <c r="SPH2187" s="594" t="s">
        <v>1232</v>
      </c>
      <c r="SPI2187" s="594" t="s">
        <v>1232</v>
      </c>
      <c r="SPJ2187" s="594" t="s">
        <v>1232</v>
      </c>
      <c r="SPK2187" s="594" t="s">
        <v>1232</v>
      </c>
      <c r="SPL2187" s="594" t="s">
        <v>1232</v>
      </c>
      <c r="SPM2187" s="594" t="s">
        <v>1232</v>
      </c>
      <c r="SPN2187" s="594" t="s">
        <v>1232</v>
      </c>
      <c r="SPO2187" s="594" t="s">
        <v>1232</v>
      </c>
      <c r="SPP2187" s="594" t="s">
        <v>1232</v>
      </c>
      <c r="SPQ2187" s="594" t="s">
        <v>1232</v>
      </c>
      <c r="SPR2187" s="594" t="s">
        <v>1232</v>
      </c>
      <c r="SPS2187" s="594" t="s">
        <v>1232</v>
      </c>
      <c r="SPT2187" s="594" t="s">
        <v>1232</v>
      </c>
      <c r="SPU2187" s="594" t="s">
        <v>1232</v>
      </c>
      <c r="SPV2187" s="594" t="s">
        <v>1232</v>
      </c>
      <c r="SPW2187" s="594" t="s">
        <v>1232</v>
      </c>
      <c r="SPX2187" s="594" t="s">
        <v>1232</v>
      </c>
      <c r="SPY2187" s="594" t="s">
        <v>1232</v>
      </c>
      <c r="SPZ2187" s="594" t="s">
        <v>1232</v>
      </c>
      <c r="SQA2187" s="594" t="s">
        <v>1232</v>
      </c>
      <c r="SQB2187" s="594" t="s">
        <v>1232</v>
      </c>
      <c r="SQC2187" s="594" t="s">
        <v>1232</v>
      </c>
      <c r="SQD2187" s="594" t="s">
        <v>1232</v>
      </c>
      <c r="SQE2187" s="594" t="s">
        <v>1232</v>
      </c>
      <c r="SQF2187" s="594" t="s">
        <v>1232</v>
      </c>
      <c r="SQG2187" s="594" t="s">
        <v>1232</v>
      </c>
      <c r="SQH2187" s="594" t="s">
        <v>1232</v>
      </c>
      <c r="SQI2187" s="594" t="s">
        <v>1232</v>
      </c>
      <c r="SQJ2187" s="594" t="s">
        <v>1232</v>
      </c>
      <c r="SQK2187" s="594" t="s">
        <v>1232</v>
      </c>
      <c r="SQL2187" s="594" t="s">
        <v>1232</v>
      </c>
      <c r="SQM2187" s="594" t="s">
        <v>1232</v>
      </c>
      <c r="SQN2187" s="594" t="s">
        <v>1232</v>
      </c>
      <c r="SQO2187" s="594" t="s">
        <v>1232</v>
      </c>
      <c r="SQP2187" s="594" t="s">
        <v>1232</v>
      </c>
      <c r="SQQ2187" s="594" t="s">
        <v>1232</v>
      </c>
      <c r="SQR2187" s="594" t="s">
        <v>1232</v>
      </c>
      <c r="SQS2187" s="594" t="s">
        <v>1232</v>
      </c>
      <c r="SQT2187" s="594" t="s">
        <v>1232</v>
      </c>
      <c r="SQU2187" s="594" t="s">
        <v>1232</v>
      </c>
      <c r="SQV2187" s="594" t="s">
        <v>1232</v>
      </c>
      <c r="SQW2187" s="594" t="s">
        <v>1232</v>
      </c>
      <c r="SQX2187" s="594" t="s">
        <v>1232</v>
      </c>
      <c r="SQY2187" s="594" t="s">
        <v>1232</v>
      </c>
      <c r="SQZ2187" s="594" t="s">
        <v>1232</v>
      </c>
      <c r="SRA2187" s="594" t="s">
        <v>1232</v>
      </c>
      <c r="SRB2187" s="594" t="s">
        <v>1232</v>
      </c>
      <c r="SRC2187" s="594" t="s">
        <v>1232</v>
      </c>
      <c r="SRD2187" s="594" t="s">
        <v>1232</v>
      </c>
      <c r="SRE2187" s="594" t="s">
        <v>1232</v>
      </c>
      <c r="SRF2187" s="594" t="s">
        <v>1232</v>
      </c>
      <c r="SRG2187" s="594" t="s">
        <v>1232</v>
      </c>
      <c r="SRH2187" s="594" t="s">
        <v>1232</v>
      </c>
      <c r="SRI2187" s="594" t="s">
        <v>1232</v>
      </c>
      <c r="SRJ2187" s="594" t="s">
        <v>1232</v>
      </c>
      <c r="SRK2187" s="594" t="s">
        <v>1232</v>
      </c>
      <c r="SRL2187" s="594" t="s">
        <v>1232</v>
      </c>
      <c r="SRM2187" s="594" t="s">
        <v>1232</v>
      </c>
      <c r="SRN2187" s="594" t="s">
        <v>1232</v>
      </c>
      <c r="SRO2187" s="594" t="s">
        <v>1232</v>
      </c>
      <c r="SRP2187" s="594" t="s">
        <v>1232</v>
      </c>
      <c r="SRQ2187" s="594" t="s">
        <v>1232</v>
      </c>
      <c r="SRR2187" s="594" t="s">
        <v>1232</v>
      </c>
      <c r="SRS2187" s="594" t="s">
        <v>1232</v>
      </c>
      <c r="SRT2187" s="594" t="s">
        <v>1232</v>
      </c>
      <c r="SRU2187" s="594" t="s">
        <v>1232</v>
      </c>
      <c r="SRV2187" s="594" t="s">
        <v>1232</v>
      </c>
      <c r="SRW2187" s="594" t="s">
        <v>1232</v>
      </c>
      <c r="SRX2187" s="594" t="s">
        <v>1232</v>
      </c>
      <c r="SRY2187" s="594" t="s">
        <v>1232</v>
      </c>
      <c r="SRZ2187" s="594" t="s">
        <v>1232</v>
      </c>
      <c r="SSA2187" s="594" t="s">
        <v>1232</v>
      </c>
      <c r="SSB2187" s="594" t="s">
        <v>1232</v>
      </c>
      <c r="SSC2187" s="594" t="s">
        <v>1232</v>
      </c>
      <c r="SSD2187" s="594" t="s">
        <v>1232</v>
      </c>
      <c r="SSE2187" s="594" t="s">
        <v>1232</v>
      </c>
      <c r="SSF2187" s="594" t="s">
        <v>1232</v>
      </c>
      <c r="SSG2187" s="594" t="s">
        <v>1232</v>
      </c>
      <c r="SSH2187" s="594" t="s">
        <v>1232</v>
      </c>
      <c r="SSI2187" s="594" t="s">
        <v>1232</v>
      </c>
      <c r="SSJ2187" s="594" t="s">
        <v>1232</v>
      </c>
      <c r="SSK2187" s="594" t="s">
        <v>1232</v>
      </c>
      <c r="SSL2187" s="594" t="s">
        <v>1232</v>
      </c>
      <c r="SSM2187" s="594" t="s">
        <v>1232</v>
      </c>
      <c r="SSN2187" s="594" t="s">
        <v>1232</v>
      </c>
      <c r="SSO2187" s="594" t="s">
        <v>1232</v>
      </c>
      <c r="SSP2187" s="594" t="s">
        <v>1232</v>
      </c>
      <c r="SSQ2187" s="594" t="s">
        <v>1232</v>
      </c>
      <c r="SSR2187" s="594" t="s">
        <v>1232</v>
      </c>
      <c r="SSS2187" s="594" t="s">
        <v>1232</v>
      </c>
      <c r="SST2187" s="594" t="s">
        <v>1232</v>
      </c>
      <c r="SSU2187" s="594" t="s">
        <v>1232</v>
      </c>
      <c r="SSV2187" s="594" t="s">
        <v>1232</v>
      </c>
      <c r="SSW2187" s="594" t="s">
        <v>1232</v>
      </c>
      <c r="SSX2187" s="594" t="s">
        <v>1232</v>
      </c>
      <c r="SSY2187" s="594" t="s">
        <v>1232</v>
      </c>
      <c r="SSZ2187" s="594" t="s">
        <v>1232</v>
      </c>
      <c r="STA2187" s="594" t="s">
        <v>1232</v>
      </c>
      <c r="STB2187" s="594" t="s">
        <v>1232</v>
      </c>
      <c r="STC2187" s="594" t="s">
        <v>1232</v>
      </c>
      <c r="STD2187" s="594" t="s">
        <v>1232</v>
      </c>
      <c r="STE2187" s="594" t="s">
        <v>1232</v>
      </c>
      <c r="STF2187" s="594" t="s">
        <v>1232</v>
      </c>
      <c r="STG2187" s="594" t="s">
        <v>1232</v>
      </c>
      <c r="STH2187" s="594" t="s">
        <v>1232</v>
      </c>
      <c r="STI2187" s="594" t="s">
        <v>1232</v>
      </c>
      <c r="STJ2187" s="594" t="s">
        <v>1232</v>
      </c>
      <c r="STK2187" s="594" t="s">
        <v>1232</v>
      </c>
      <c r="STL2187" s="594" t="s">
        <v>1232</v>
      </c>
      <c r="STM2187" s="594" t="s">
        <v>1232</v>
      </c>
      <c r="STN2187" s="594" t="s">
        <v>1232</v>
      </c>
      <c r="STO2187" s="594" t="s">
        <v>1232</v>
      </c>
      <c r="STP2187" s="594" t="s">
        <v>1232</v>
      </c>
      <c r="STQ2187" s="594" t="s">
        <v>1232</v>
      </c>
      <c r="STR2187" s="594" t="s">
        <v>1232</v>
      </c>
      <c r="STS2187" s="594" t="s">
        <v>1232</v>
      </c>
      <c r="STT2187" s="594" t="s">
        <v>1232</v>
      </c>
      <c r="STU2187" s="594" t="s">
        <v>1232</v>
      </c>
      <c r="STV2187" s="594" t="s">
        <v>1232</v>
      </c>
      <c r="STW2187" s="594" t="s">
        <v>1232</v>
      </c>
      <c r="STX2187" s="594" t="s">
        <v>1232</v>
      </c>
      <c r="STY2187" s="594" t="s">
        <v>1232</v>
      </c>
      <c r="STZ2187" s="594" t="s">
        <v>1232</v>
      </c>
      <c r="SUA2187" s="594" t="s">
        <v>1232</v>
      </c>
      <c r="SUB2187" s="594" t="s">
        <v>1232</v>
      </c>
      <c r="SUC2187" s="594" t="s">
        <v>1232</v>
      </c>
      <c r="SUD2187" s="594" t="s">
        <v>1232</v>
      </c>
      <c r="SUE2187" s="594" t="s">
        <v>1232</v>
      </c>
      <c r="SUF2187" s="594" t="s">
        <v>1232</v>
      </c>
      <c r="SUG2187" s="594" t="s">
        <v>1232</v>
      </c>
      <c r="SUH2187" s="594" t="s">
        <v>1232</v>
      </c>
      <c r="SUI2187" s="594" t="s">
        <v>1232</v>
      </c>
      <c r="SUJ2187" s="594" t="s">
        <v>1232</v>
      </c>
      <c r="SUK2187" s="594" t="s">
        <v>1232</v>
      </c>
      <c r="SUL2187" s="594" t="s">
        <v>1232</v>
      </c>
      <c r="SUM2187" s="594" t="s">
        <v>1232</v>
      </c>
      <c r="SUN2187" s="594" t="s">
        <v>1232</v>
      </c>
      <c r="SUO2187" s="594" t="s">
        <v>1232</v>
      </c>
      <c r="SUP2187" s="594" t="s">
        <v>1232</v>
      </c>
      <c r="SUQ2187" s="594" t="s">
        <v>1232</v>
      </c>
      <c r="SUR2187" s="594" t="s">
        <v>1232</v>
      </c>
      <c r="SUS2187" s="594" t="s">
        <v>1232</v>
      </c>
      <c r="SUT2187" s="594" t="s">
        <v>1232</v>
      </c>
      <c r="SUU2187" s="594" t="s">
        <v>1232</v>
      </c>
      <c r="SUV2187" s="594" t="s">
        <v>1232</v>
      </c>
      <c r="SUW2187" s="594" t="s">
        <v>1232</v>
      </c>
      <c r="SUX2187" s="594" t="s">
        <v>1232</v>
      </c>
      <c r="SUY2187" s="594" t="s">
        <v>1232</v>
      </c>
      <c r="SUZ2187" s="594" t="s">
        <v>1232</v>
      </c>
      <c r="SVA2187" s="594" t="s">
        <v>1232</v>
      </c>
      <c r="SVB2187" s="594" t="s">
        <v>1232</v>
      </c>
      <c r="SVC2187" s="594" t="s">
        <v>1232</v>
      </c>
      <c r="SVD2187" s="594" t="s">
        <v>1232</v>
      </c>
      <c r="SVE2187" s="594" t="s">
        <v>1232</v>
      </c>
      <c r="SVF2187" s="594" t="s">
        <v>1232</v>
      </c>
      <c r="SVG2187" s="594" t="s">
        <v>1232</v>
      </c>
      <c r="SVH2187" s="594" t="s">
        <v>1232</v>
      </c>
      <c r="SVI2187" s="594" t="s">
        <v>1232</v>
      </c>
      <c r="SVJ2187" s="594" t="s">
        <v>1232</v>
      </c>
      <c r="SVK2187" s="594" t="s">
        <v>1232</v>
      </c>
      <c r="SVL2187" s="594" t="s">
        <v>1232</v>
      </c>
      <c r="SVM2187" s="594" t="s">
        <v>1232</v>
      </c>
      <c r="SVN2187" s="594" t="s">
        <v>1232</v>
      </c>
      <c r="SVO2187" s="594" t="s">
        <v>1232</v>
      </c>
      <c r="SVP2187" s="594" t="s">
        <v>1232</v>
      </c>
      <c r="SVQ2187" s="594" t="s">
        <v>1232</v>
      </c>
      <c r="SVR2187" s="594" t="s">
        <v>1232</v>
      </c>
      <c r="SVS2187" s="594" t="s">
        <v>1232</v>
      </c>
      <c r="SVT2187" s="594" t="s">
        <v>1232</v>
      </c>
      <c r="SVU2187" s="594" t="s">
        <v>1232</v>
      </c>
      <c r="SVV2187" s="594" t="s">
        <v>1232</v>
      </c>
      <c r="SVW2187" s="594" t="s">
        <v>1232</v>
      </c>
      <c r="SVX2187" s="594" t="s">
        <v>1232</v>
      </c>
      <c r="SVY2187" s="594" t="s">
        <v>1232</v>
      </c>
      <c r="SVZ2187" s="594" t="s">
        <v>1232</v>
      </c>
      <c r="SWA2187" s="594" t="s">
        <v>1232</v>
      </c>
      <c r="SWB2187" s="594" t="s">
        <v>1232</v>
      </c>
      <c r="SWC2187" s="594" t="s">
        <v>1232</v>
      </c>
      <c r="SWD2187" s="594" t="s">
        <v>1232</v>
      </c>
      <c r="SWE2187" s="594" t="s">
        <v>1232</v>
      </c>
      <c r="SWF2187" s="594" t="s">
        <v>1232</v>
      </c>
      <c r="SWG2187" s="594" t="s">
        <v>1232</v>
      </c>
      <c r="SWH2187" s="594" t="s">
        <v>1232</v>
      </c>
      <c r="SWI2187" s="594" t="s">
        <v>1232</v>
      </c>
      <c r="SWJ2187" s="594" t="s">
        <v>1232</v>
      </c>
      <c r="SWK2187" s="594" t="s">
        <v>1232</v>
      </c>
      <c r="SWL2187" s="594" t="s">
        <v>1232</v>
      </c>
      <c r="SWM2187" s="594" t="s">
        <v>1232</v>
      </c>
      <c r="SWN2187" s="594" t="s">
        <v>1232</v>
      </c>
      <c r="SWO2187" s="594" t="s">
        <v>1232</v>
      </c>
      <c r="SWP2187" s="594" t="s">
        <v>1232</v>
      </c>
      <c r="SWQ2187" s="594" t="s">
        <v>1232</v>
      </c>
      <c r="SWR2187" s="594" t="s">
        <v>1232</v>
      </c>
      <c r="SWS2187" s="594" t="s">
        <v>1232</v>
      </c>
      <c r="SWT2187" s="594" t="s">
        <v>1232</v>
      </c>
      <c r="SWU2187" s="594" t="s">
        <v>1232</v>
      </c>
      <c r="SWV2187" s="594" t="s">
        <v>1232</v>
      </c>
      <c r="SWW2187" s="594" t="s">
        <v>1232</v>
      </c>
      <c r="SWX2187" s="594" t="s">
        <v>1232</v>
      </c>
      <c r="SWY2187" s="594" t="s">
        <v>1232</v>
      </c>
      <c r="SWZ2187" s="594" t="s">
        <v>1232</v>
      </c>
      <c r="SXA2187" s="594" t="s">
        <v>1232</v>
      </c>
      <c r="SXB2187" s="594" t="s">
        <v>1232</v>
      </c>
      <c r="SXC2187" s="594" t="s">
        <v>1232</v>
      </c>
      <c r="SXD2187" s="594" t="s">
        <v>1232</v>
      </c>
      <c r="SXE2187" s="594" t="s">
        <v>1232</v>
      </c>
      <c r="SXF2187" s="594" t="s">
        <v>1232</v>
      </c>
      <c r="SXG2187" s="594" t="s">
        <v>1232</v>
      </c>
      <c r="SXH2187" s="594" t="s">
        <v>1232</v>
      </c>
      <c r="SXI2187" s="594" t="s">
        <v>1232</v>
      </c>
      <c r="SXJ2187" s="594" t="s">
        <v>1232</v>
      </c>
      <c r="SXK2187" s="594" t="s">
        <v>1232</v>
      </c>
      <c r="SXL2187" s="594" t="s">
        <v>1232</v>
      </c>
      <c r="SXM2187" s="594" t="s">
        <v>1232</v>
      </c>
      <c r="SXN2187" s="594" t="s">
        <v>1232</v>
      </c>
      <c r="SXO2187" s="594" t="s">
        <v>1232</v>
      </c>
      <c r="SXP2187" s="594" t="s">
        <v>1232</v>
      </c>
      <c r="SXQ2187" s="594" t="s">
        <v>1232</v>
      </c>
      <c r="SXR2187" s="594" t="s">
        <v>1232</v>
      </c>
      <c r="SXS2187" s="594" t="s">
        <v>1232</v>
      </c>
      <c r="SXT2187" s="594" t="s">
        <v>1232</v>
      </c>
      <c r="SXU2187" s="594" t="s">
        <v>1232</v>
      </c>
      <c r="SXV2187" s="594" t="s">
        <v>1232</v>
      </c>
      <c r="SXW2187" s="594" t="s">
        <v>1232</v>
      </c>
      <c r="SXX2187" s="594" t="s">
        <v>1232</v>
      </c>
      <c r="SXY2187" s="594" t="s">
        <v>1232</v>
      </c>
      <c r="SXZ2187" s="594" t="s">
        <v>1232</v>
      </c>
      <c r="SYA2187" s="594" t="s">
        <v>1232</v>
      </c>
      <c r="SYB2187" s="594" t="s">
        <v>1232</v>
      </c>
      <c r="SYC2187" s="594" t="s">
        <v>1232</v>
      </c>
      <c r="SYD2187" s="594" t="s">
        <v>1232</v>
      </c>
      <c r="SYE2187" s="594" t="s">
        <v>1232</v>
      </c>
      <c r="SYF2187" s="594" t="s">
        <v>1232</v>
      </c>
      <c r="SYG2187" s="594" t="s">
        <v>1232</v>
      </c>
      <c r="SYH2187" s="594" t="s">
        <v>1232</v>
      </c>
      <c r="SYI2187" s="594" t="s">
        <v>1232</v>
      </c>
      <c r="SYJ2187" s="594" t="s">
        <v>1232</v>
      </c>
      <c r="SYK2187" s="594" t="s">
        <v>1232</v>
      </c>
      <c r="SYL2187" s="594" t="s">
        <v>1232</v>
      </c>
      <c r="SYM2187" s="594" t="s">
        <v>1232</v>
      </c>
      <c r="SYN2187" s="594" t="s">
        <v>1232</v>
      </c>
      <c r="SYO2187" s="594" t="s">
        <v>1232</v>
      </c>
      <c r="SYP2187" s="594" t="s">
        <v>1232</v>
      </c>
      <c r="SYQ2187" s="594" t="s">
        <v>1232</v>
      </c>
      <c r="SYR2187" s="594" t="s">
        <v>1232</v>
      </c>
      <c r="SYS2187" s="594" t="s">
        <v>1232</v>
      </c>
      <c r="SYT2187" s="594" t="s">
        <v>1232</v>
      </c>
      <c r="SYU2187" s="594" t="s">
        <v>1232</v>
      </c>
      <c r="SYV2187" s="594" t="s">
        <v>1232</v>
      </c>
      <c r="SYW2187" s="594" t="s">
        <v>1232</v>
      </c>
      <c r="SYX2187" s="594" t="s">
        <v>1232</v>
      </c>
      <c r="SYY2187" s="594" t="s">
        <v>1232</v>
      </c>
      <c r="SYZ2187" s="594" t="s">
        <v>1232</v>
      </c>
      <c r="SZA2187" s="594" t="s">
        <v>1232</v>
      </c>
      <c r="SZB2187" s="594" t="s">
        <v>1232</v>
      </c>
      <c r="SZC2187" s="594" t="s">
        <v>1232</v>
      </c>
      <c r="SZD2187" s="594" t="s">
        <v>1232</v>
      </c>
      <c r="SZE2187" s="594" t="s">
        <v>1232</v>
      </c>
      <c r="SZF2187" s="594" t="s">
        <v>1232</v>
      </c>
      <c r="SZG2187" s="594" t="s">
        <v>1232</v>
      </c>
      <c r="SZH2187" s="594" t="s">
        <v>1232</v>
      </c>
      <c r="SZI2187" s="594" t="s">
        <v>1232</v>
      </c>
      <c r="SZJ2187" s="594" t="s">
        <v>1232</v>
      </c>
      <c r="SZK2187" s="594" t="s">
        <v>1232</v>
      </c>
      <c r="SZL2187" s="594" t="s">
        <v>1232</v>
      </c>
      <c r="SZM2187" s="594" t="s">
        <v>1232</v>
      </c>
      <c r="SZN2187" s="594" t="s">
        <v>1232</v>
      </c>
      <c r="SZO2187" s="594" t="s">
        <v>1232</v>
      </c>
      <c r="SZP2187" s="594" t="s">
        <v>1232</v>
      </c>
      <c r="SZQ2187" s="594" t="s">
        <v>1232</v>
      </c>
      <c r="SZR2187" s="594" t="s">
        <v>1232</v>
      </c>
      <c r="SZS2187" s="594" t="s">
        <v>1232</v>
      </c>
      <c r="SZT2187" s="594" t="s">
        <v>1232</v>
      </c>
      <c r="SZU2187" s="594" t="s">
        <v>1232</v>
      </c>
      <c r="SZV2187" s="594" t="s">
        <v>1232</v>
      </c>
      <c r="SZW2187" s="594" t="s">
        <v>1232</v>
      </c>
      <c r="SZX2187" s="594" t="s">
        <v>1232</v>
      </c>
      <c r="SZY2187" s="594" t="s">
        <v>1232</v>
      </c>
      <c r="SZZ2187" s="594" t="s">
        <v>1232</v>
      </c>
      <c r="TAA2187" s="594" t="s">
        <v>1232</v>
      </c>
      <c r="TAB2187" s="594" t="s">
        <v>1232</v>
      </c>
      <c r="TAC2187" s="594" t="s">
        <v>1232</v>
      </c>
      <c r="TAD2187" s="594" t="s">
        <v>1232</v>
      </c>
      <c r="TAE2187" s="594" t="s">
        <v>1232</v>
      </c>
      <c r="TAF2187" s="594" t="s">
        <v>1232</v>
      </c>
      <c r="TAG2187" s="594" t="s">
        <v>1232</v>
      </c>
      <c r="TAH2187" s="594" t="s">
        <v>1232</v>
      </c>
      <c r="TAI2187" s="594" t="s">
        <v>1232</v>
      </c>
      <c r="TAJ2187" s="594" t="s">
        <v>1232</v>
      </c>
      <c r="TAK2187" s="594" t="s">
        <v>1232</v>
      </c>
      <c r="TAL2187" s="594" t="s">
        <v>1232</v>
      </c>
      <c r="TAM2187" s="594" t="s">
        <v>1232</v>
      </c>
      <c r="TAN2187" s="594" t="s">
        <v>1232</v>
      </c>
      <c r="TAO2187" s="594" t="s">
        <v>1232</v>
      </c>
      <c r="TAP2187" s="594" t="s">
        <v>1232</v>
      </c>
      <c r="TAQ2187" s="594" t="s">
        <v>1232</v>
      </c>
      <c r="TAR2187" s="594" t="s">
        <v>1232</v>
      </c>
      <c r="TAS2187" s="594" t="s">
        <v>1232</v>
      </c>
      <c r="TAT2187" s="594" t="s">
        <v>1232</v>
      </c>
      <c r="TAU2187" s="594" t="s">
        <v>1232</v>
      </c>
      <c r="TAV2187" s="594" t="s">
        <v>1232</v>
      </c>
      <c r="TAW2187" s="594" t="s">
        <v>1232</v>
      </c>
      <c r="TAX2187" s="594" t="s">
        <v>1232</v>
      </c>
      <c r="TAY2187" s="594" t="s">
        <v>1232</v>
      </c>
      <c r="TAZ2187" s="594" t="s">
        <v>1232</v>
      </c>
      <c r="TBA2187" s="594" t="s">
        <v>1232</v>
      </c>
      <c r="TBB2187" s="594" t="s">
        <v>1232</v>
      </c>
      <c r="TBC2187" s="594" t="s">
        <v>1232</v>
      </c>
      <c r="TBD2187" s="594" t="s">
        <v>1232</v>
      </c>
      <c r="TBE2187" s="594" t="s">
        <v>1232</v>
      </c>
      <c r="TBF2187" s="594" t="s">
        <v>1232</v>
      </c>
      <c r="TBG2187" s="594" t="s">
        <v>1232</v>
      </c>
      <c r="TBH2187" s="594" t="s">
        <v>1232</v>
      </c>
      <c r="TBI2187" s="594" t="s">
        <v>1232</v>
      </c>
      <c r="TBJ2187" s="594" t="s">
        <v>1232</v>
      </c>
      <c r="TBK2187" s="594" t="s">
        <v>1232</v>
      </c>
      <c r="TBL2187" s="594" t="s">
        <v>1232</v>
      </c>
      <c r="TBM2187" s="594" t="s">
        <v>1232</v>
      </c>
      <c r="TBN2187" s="594" t="s">
        <v>1232</v>
      </c>
      <c r="TBO2187" s="594" t="s">
        <v>1232</v>
      </c>
      <c r="TBP2187" s="594" t="s">
        <v>1232</v>
      </c>
      <c r="TBQ2187" s="594" t="s">
        <v>1232</v>
      </c>
      <c r="TBR2187" s="594" t="s">
        <v>1232</v>
      </c>
      <c r="TBS2187" s="594" t="s">
        <v>1232</v>
      </c>
      <c r="TBT2187" s="594" t="s">
        <v>1232</v>
      </c>
      <c r="TBU2187" s="594" t="s">
        <v>1232</v>
      </c>
      <c r="TBV2187" s="594" t="s">
        <v>1232</v>
      </c>
      <c r="TBW2187" s="594" t="s">
        <v>1232</v>
      </c>
      <c r="TBX2187" s="594" t="s">
        <v>1232</v>
      </c>
      <c r="TBY2187" s="594" t="s">
        <v>1232</v>
      </c>
      <c r="TBZ2187" s="594" t="s">
        <v>1232</v>
      </c>
      <c r="TCA2187" s="594" t="s">
        <v>1232</v>
      </c>
      <c r="TCB2187" s="594" t="s">
        <v>1232</v>
      </c>
      <c r="TCC2187" s="594" t="s">
        <v>1232</v>
      </c>
      <c r="TCD2187" s="594" t="s">
        <v>1232</v>
      </c>
      <c r="TCE2187" s="594" t="s">
        <v>1232</v>
      </c>
      <c r="TCF2187" s="594" t="s">
        <v>1232</v>
      </c>
      <c r="TCG2187" s="594" t="s">
        <v>1232</v>
      </c>
      <c r="TCH2187" s="594" t="s">
        <v>1232</v>
      </c>
      <c r="TCI2187" s="594" t="s">
        <v>1232</v>
      </c>
      <c r="TCJ2187" s="594" t="s">
        <v>1232</v>
      </c>
      <c r="TCK2187" s="594" t="s">
        <v>1232</v>
      </c>
      <c r="TCL2187" s="594" t="s">
        <v>1232</v>
      </c>
      <c r="TCM2187" s="594" t="s">
        <v>1232</v>
      </c>
      <c r="TCN2187" s="594" t="s">
        <v>1232</v>
      </c>
      <c r="TCO2187" s="594" t="s">
        <v>1232</v>
      </c>
      <c r="TCP2187" s="594" t="s">
        <v>1232</v>
      </c>
      <c r="TCQ2187" s="594" t="s">
        <v>1232</v>
      </c>
      <c r="TCR2187" s="594" t="s">
        <v>1232</v>
      </c>
      <c r="TCS2187" s="594" t="s">
        <v>1232</v>
      </c>
      <c r="TCT2187" s="594" t="s">
        <v>1232</v>
      </c>
      <c r="TCU2187" s="594" t="s">
        <v>1232</v>
      </c>
      <c r="TCV2187" s="594" t="s">
        <v>1232</v>
      </c>
      <c r="TCW2187" s="594" t="s">
        <v>1232</v>
      </c>
      <c r="TCX2187" s="594" t="s">
        <v>1232</v>
      </c>
      <c r="TCY2187" s="594" t="s">
        <v>1232</v>
      </c>
      <c r="TCZ2187" s="594" t="s">
        <v>1232</v>
      </c>
      <c r="TDA2187" s="594" t="s">
        <v>1232</v>
      </c>
      <c r="TDB2187" s="594" t="s">
        <v>1232</v>
      </c>
      <c r="TDC2187" s="594" t="s">
        <v>1232</v>
      </c>
      <c r="TDD2187" s="594" t="s">
        <v>1232</v>
      </c>
      <c r="TDE2187" s="594" t="s">
        <v>1232</v>
      </c>
      <c r="TDF2187" s="594" t="s">
        <v>1232</v>
      </c>
      <c r="TDG2187" s="594" t="s">
        <v>1232</v>
      </c>
      <c r="TDH2187" s="594" t="s">
        <v>1232</v>
      </c>
      <c r="TDI2187" s="594" t="s">
        <v>1232</v>
      </c>
      <c r="TDJ2187" s="594" t="s">
        <v>1232</v>
      </c>
      <c r="TDK2187" s="594" t="s">
        <v>1232</v>
      </c>
      <c r="TDL2187" s="594" t="s">
        <v>1232</v>
      </c>
      <c r="TDM2187" s="594" t="s">
        <v>1232</v>
      </c>
      <c r="TDN2187" s="594" t="s">
        <v>1232</v>
      </c>
      <c r="TDO2187" s="594" t="s">
        <v>1232</v>
      </c>
      <c r="TDP2187" s="594" t="s">
        <v>1232</v>
      </c>
      <c r="TDQ2187" s="594" t="s">
        <v>1232</v>
      </c>
      <c r="TDR2187" s="594" t="s">
        <v>1232</v>
      </c>
      <c r="TDS2187" s="594" t="s">
        <v>1232</v>
      </c>
      <c r="TDT2187" s="594" t="s">
        <v>1232</v>
      </c>
      <c r="TDU2187" s="594" t="s">
        <v>1232</v>
      </c>
      <c r="TDV2187" s="594" t="s">
        <v>1232</v>
      </c>
      <c r="TDW2187" s="594" t="s">
        <v>1232</v>
      </c>
      <c r="TDX2187" s="594" t="s">
        <v>1232</v>
      </c>
      <c r="TDY2187" s="594" t="s">
        <v>1232</v>
      </c>
      <c r="TDZ2187" s="594" t="s">
        <v>1232</v>
      </c>
      <c r="TEA2187" s="594" t="s">
        <v>1232</v>
      </c>
      <c r="TEB2187" s="594" t="s">
        <v>1232</v>
      </c>
      <c r="TEC2187" s="594" t="s">
        <v>1232</v>
      </c>
      <c r="TED2187" s="594" t="s">
        <v>1232</v>
      </c>
      <c r="TEE2187" s="594" t="s">
        <v>1232</v>
      </c>
      <c r="TEF2187" s="594" t="s">
        <v>1232</v>
      </c>
      <c r="TEG2187" s="594" t="s">
        <v>1232</v>
      </c>
      <c r="TEH2187" s="594" t="s">
        <v>1232</v>
      </c>
      <c r="TEI2187" s="594" t="s">
        <v>1232</v>
      </c>
      <c r="TEJ2187" s="594" t="s">
        <v>1232</v>
      </c>
      <c r="TEK2187" s="594" t="s">
        <v>1232</v>
      </c>
      <c r="TEL2187" s="594" t="s">
        <v>1232</v>
      </c>
      <c r="TEM2187" s="594" t="s">
        <v>1232</v>
      </c>
      <c r="TEN2187" s="594" t="s">
        <v>1232</v>
      </c>
      <c r="TEO2187" s="594" t="s">
        <v>1232</v>
      </c>
      <c r="TEP2187" s="594" t="s">
        <v>1232</v>
      </c>
      <c r="TEQ2187" s="594" t="s">
        <v>1232</v>
      </c>
      <c r="TER2187" s="594" t="s">
        <v>1232</v>
      </c>
      <c r="TES2187" s="594" t="s">
        <v>1232</v>
      </c>
      <c r="TET2187" s="594" t="s">
        <v>1232</v>
      </c>
      <c r="TEU2187" s="594" t="s">
        <v>1232</v>
      </c>
      <c r="TEV2187" s="594" t="s">
        <v>1232</v>
      </c>
      <c r="TEW2187" s="594" t="s">
        <v>1232</v>
      </c>
      <c r="TEX2187" s="594" t="s">
        <v>1232</v>
      </c>
      <c r="TEY2187" s="594" t="s">
        <v>1232</v>
      </c>
      <c r="TEZ2187" s="594" t="s">
        <v>1232</v>
      </c>
      <c r="TFA2187" s="594" t="s">
        <v>1232</v>
      </c>
      <c r="TFB2187" s="594" t="s">
        <v>1232</v>
      </c>
      <c r="TFC2187" s="594" t="s">
        <v>1232</v>
      </c>
      <c r="TFD2187" s="594" t="s">
        <v>1232</v>
      </c>
      <c r="TFE2187" s="594" t="s">
        <v>1232</v>
      </c>
      <c r="TFF2187" s="594" t="s">
        <v>1232</v>
      </c>
      <c r="TFG2187" s="594" t="s">
        <v>1232</v>
      </c>
      <c r="TFH2187" s="594" t="s">
        <v>1232</v>
      </c>
      <c r="TFI2187" s="594" t="s">
        <v>1232</v>
      </c>
      <c r="TFJ2187" s="594" t="s">
        <v>1232</v>
      </c>
      <c r="TFK2187" s="594" t="s">
        <v>1232</v>
      </c>
      <c r="TFL2187" s="594" t="s">
        <v>1232</v>
      </c>
      <c r="TFM2187" s="594" t="s">
        <v>1232</v>
      </c>
      <c r="TFN2187" s="594" t="s">
        <v>1232</v>
      </c>
      <c r="TFO2187" s="594" t="s">
        <v>1232</v>
      </c>
      <c r="TFP2187" s="594" t="s">
        <v>1232</v>
      </c>
      <c r="TFQ2187" s="594" t="s">
        <v>1232</v>
      </c>
      <c r="TFR2187" s="594" t="s">
        <v>1232</v>
      </c>
      <c r="TFS2187" s="594" t="s">
        <v>1232</v>
      </c>
      <c r="TFT2187" s="594" t="s">
        <v>1232</v>
      </c>
      <c r="TFU2187" s="594" t="s">
        <v>1232</v>
      </c>
      <c r="TFV2187" s="594" t="s">
        <v>1232</v>
      </c>
      <c r="TFW2187" s="594" t="s">
        <v>1232</v>
      </c>
      <c r="TFX2187" s="594" t="s">
        <v>1232</v>
      </c>
      <c r="TFY2187" s="594" t="s">
        <v>1232</v>
      </c>
      <c r="TFZ2187" s="594" t="s">
        <v>1232</v>
      </c>
      <c r="TGA2187" s="594" t="s">
        <v>1232</v>
      </c>
      <c r="TGB2187" s="594" t="s">
        <v>1232</v>
      </c>
      <c r="TGC2187" s="594" t="s">
        <v>1232</v>
      </c>
      <c r="TGD2187" s="594" t="s">
        <v>1232</v>
      </c>
      <c r="TGE2187" s="594" t="s">
        <v>1232</v>
      </c>
      <c r="TGF2187" s="594" t="s">
        <v>1232</v>
      </c>
      <c r="TGG2187" s="594" t="s">
        <v>1232</v>
      </c>
      <c r="TGH2187" s="594" t="s">
        <v>1232</v>
      </c>
      <c r="TGI2187" s="594" t="s">
        <v>1232</v>
      </c>
      <c r="TGJ2187" s="594" t="s">
        <v>1232</v>
      </c>
      <c r="TGK2187" s="594" t="s">
        <v>1232</v>
      </c>
      <c r="TGL2187" s="594" t="s">
        <v>1232</v>
      </c>
      <c r="TGM2187" s="594" t="s">
        <v>1232</v>
      </c>
      <c r="TGN2187" s="594" t="s">
        <v>1232</v>
      </c>
      <c r="TGO2187" s="594" t="s">
        <v>1232</v>
      </c>
      <c r="TGP2187" s="594" t="s">
        <v>1232</v>
      </c>
      <c r="TGQ2187" s="594" t="s">
        <v>1232</v>
      </c>
      <c r="TGR2187" s="594" t="s">
        <v>1232</v>
      </c>
      <c r="TGS2187" s="594" t="s">
        <v>1232</v>
      </c>
      <c r="TGT2187" s="594" t="s">
        <v>1232</v>
      </c>
      <c r="TGU2187" s="594" t="s">
        <v>1232</v>
      </c>
      <c r="TGV2187" s="594" t="s">
        <v>1232</v>
      </c>
      <c r="TGW2187" s="594" t="s">
        <v>1232</v>
      </c>
      <c r="TGX2187" s="594" t="s">
        <v>1232</v>
      </c>
      <c r="TGY2187" s="594" t="s">
        <v>1232</v>
      </c>
      <c r="TGZ2187" s="594" t="s">
        <v>1232</v>
      </c>
      <c r="THA2187" s="594" t="s">
        <v>1232</v>
      </c>
      <c r="THB2187" s="594" t="s">
        <v>1232</v>
      </c>
      <c r="THC2187" s="594" t="s">
        <v>1232</v>
      </c>
      <c r="THD2187" s="594" t="s">
        <v>1232</v>
      </c>
      <c r="THE2187" s="594" t="s">
        <v>1232</v>
      </c>
      <c r="THF2187" s="594" t="s">
        <v>1232</v>
      </c>
      <c r="THG2187" s="594" t="s">
        <v>1232</v>
      </c>
      <c r="THH2187" s="594" t="s">
        <v>1232</v>
      </c>
      <c r="THI2187" s="594" t="s">
        <v>1232</v>
      </c>
      <c r="THJ2187" s="594" t="s">
        <v>1232</v>
      </c>
      <c r="THK2187" s="594" t="s">
        <v>1232</v>
      </c>
      <c r="THL2187" s="594" t="s">
        <v>1232</v>
      </c>
      <c r="THM2187" s="594" t="s">
        <v>1232</v>
      </c>
      <c r="THN2187" s="594" t="s">
        <v>1232</v>
      </c>
      <c r="THO2187" s="594" t="s">
        <v>1232</v>
      </c>
      <c r="THP2187" s="594" t="s">
        <v>1232</v>
      </c>
      <c r="THQ2187" s="594" t="s">
        <v>1232</v>
      </c>
      <c r="THR2187" s="594" t="s">
        <v>1232</v>
      </c>
      <c r="THS2187" s="594" t="s">
        <v>1232</v>
      </c>
      <c r="THT2187" s="594" t="s">
        <v>1232</v>
      </c>
      <c r="THU2187" s="594" t="s">
        <v>1232</v>
      </c>
      <c r="THV2187" s="594" t="s">
        <v>1232</v>
      </c>
      <c r="THW2187" s="594" t="s">
        <v>1232</v>
      </c>
      <c r="THX2187" s="594" t="s">
        <v>1232</v>
      </c>
      <c r="THY2187" s="594" t="s">
        <v>1232</v>
      </c>
      <c r="THZ2187" s="594" t="s">
        <v>1232</v>
      </c>
      <c r="TIA2187" s="594" t="s">
        <v>1232</v>
      </c>
      <c r="TIB2187" s="594" t="s">
        <v>1232</v>
      </c>
      <c r="TIC2187" s="594" t="s">
        <v>1232</v>
      </c>
      <c r="TID2187" s="594" t="s">
        <v>1232</v>
      </c>
      <c r="TIE2187" s="594" t="s">
        <v>1232</v>
      </c>
      <c r="TIF2187" s="594" t="s">
        <v>1232</v>
      </c>
      <c r="TIG2187" s="594" t="s">
        <v>1232</v>
      </c>
      <c r="TIH2187" s="594" t="s">
        <v>1232</v>
      </c>
      <c r="TII2187" s="594" t="s">
        <v>1232</v>
      </c>
      <c r="TIJ2187" s="594" t="s">
        <v>1232</v>
      </c>
      <c r="TIK2187" s="594" t="s">
        <v>1232</v>
      </c>
      <c r="TIL2187" s="594" t="s">
        <v>1232</v>
      </c>
      <c r="TIM2187" s="594" t="s">
        <v>1232</v>
      </c>
      <c r="TIN2187" s="594" t="s">
        <v>1232</v>
      </c>
      <c r="TIO2187" s="594" t="s">
        <v>1232</v>
      </c>
      <c r="TIP2187" s="594" t="s">
        <v>1232</v>
      </c>
      <c r="TIQ2187" s="594" t="s">
        <v>1232</v>
      </c>
      <c r="TIR2187" s="594" t="s">
        <v>1232</v>
      </c>
      <c r="TIS2187" s="594" t="s">
        <v>1232</v>
      </c>
      <c r="TIT2187" s="594" t="s">
        <v>1232</v>
      </c>
      <c r="TIU2187" s="594" t="s">
        <v>1232</v>
      </c>
      <c r="TIV2187" s="594" t="s">
        <v>1232</v>
      </c>
      <c r="TIW2187" s="594" t="s">
        <v>1232</v>
      </c>
      <c r="TIX2187" s="594" t="s">
        <v>1232</v>
      </c>
      <c r="TIY2187" s="594" t="s">
        <v>1232</v>
      </c>
      <c r="TIZ2187" s="594" t="s">
        <v>1232</v>
      </c>
      <c r="TJA2187" s="594" t="s">
        <v>1232</v>
      </c>
      <c r="TJB2187" s="594" t="s">
        <v>1232</v>
      </c>
      <c r="TJC2187" s="594" t="s">
        <v>1232</v>
      </c>
      <c r="TJD2187" s="594" t="s">
        <v>1232</v>
      </c>
      <c r="TJE2187" s="594" t="s">
        <v>1232</v>
      </c>
      <c r="TJF2187" s="594" t="s">
        <v>1232</v>
      </c>
      <c r="TJG2187" s="594" t="s">
        <v>1232</v>
      </c>
      <c r="TJH2187" s="594" t="s">
        <v>1232</v>
      </c>
      <c r="TJI2187" s="594" t="s">
        <v>1232</v>
      </c>
      <c r="TJJ2187" s="594" t="s">
        <v>1232</v>
      </c>
      <c r="TJK2187" s="594" t="s">
        <v>1232</v>
      </c>
      <c r="TJL2187" s="594" t="s">
        <v>1232</v>
      </c>
      <c r="TJM2187" s="594" t="s">
        <v>1232</v>
      </c>
      <c r="TJN2187" s="594" t="s">
        <v>1232</v>
      </c>
      <c r="TJO2187" s="594" t="s">
        <v>1232</v>
      </c>
      <c r="TJP2187" s="594" t="s">
        <v>1232</v>
      </c>
      <c r="TJQ2187" s="594" t="s">
        <v>1232</v>
      </c>
      <c r="TJR2187" s="594" t="s">
        <v>1232</v>
      </c>
      <c r="TJS2187" s="594" t="s">
        <v>1232</v>
      </c>
      <c r="TJT2187" s="594" t="s">
        <v>1232</v>
      </c>
      <c r="TJU2187" s="594" t="s">
        <v>1232</v>
      </c>
      <c r="TJV2187" s="594" t="s">
        <v>1232</v>
      </c>
      <c r="TJW2187" s="594" t="s">
        <v>1232</v>
      </c>
      <c r="TJX2187" s="594" t="s">
        <v>1232</v>
      </c>
      <c r="TJY2187" s="594" t="s">
        <v>1232</v>
      </c>
      <c r="TJZ2187" s="594" t="s">
        <v>1232</v>
      </c>
      <c r="TKA2187" s="594" t="s">
        <v>1232</v>
      </c>
      <c r="TKB2187" s="594" t="s">
        <v>1232</v>
      </c>
      <c r="TKC2187" s="594" t="s">
        <v>1232</v>
      </c>
      <c r="TKD2187" s="594" t="s">
        <v>1232</v>
      </c>
      <c r="TKE2187" s="594" t="s">
        <v>1232</v>
      </c>
      <c r="TKF2187" s="594" t="s">
        <v>1232</v>
      </c>
      <c r="TKG2187" s="594" t="s">
        <v>1232</v>
      </c>
      <c r="TKH2187" s="594" t="s">
        <v>1232</v>
      </c>
      <c r="TKI2187" s="594" t="s">
        <v>1232</v>
      </c>
      <c r="TKJ2187" s="594" t="s">
        <v>1232</v>
      </c>
      <c r="TKK2187" s="594" t="s">
        <v>1232</v>
      </c>
      <c r="TKL2187" s="594" t="s">
        <v>1232</v>
      </c>
      <c r="TKM2187" s="594" t="s">
        <v>1232</v>
      </c>
      <c r="TKN2187" s="594" t="s">
        <v>1232</v>
      </c>
      <c r="TKO2187" s="594" t="s">
        <v>1232</v>
      </c>
      <c r="TKP2187" s="594" t="s">
        <v>1232</v>
      </c>
      <c r="TKQ2187" s="594" t="s">
        <v>1232</v>
      </c>
      <c r="TKR2187" s="594" t="s">
        <v>1232</v>
      </c>
      <c r="TKS2187" s="594" t="s">
        <v>1232</v>
      </c>
      <c r="TKT2187" s="594" t="s">
        <v>1232</v>
      </c>
      <c r="TKU2187" s="594" t="s">
        <v>1232</v>
      </c>
      <c r="TKV2187" s="594" t="s">
        <v>1232</v>
      </c>
      <c r="TKW2187" s="594" t="s">
        <v>1232</v>
      </c>
      <c r="TKX2187" s="594" t="s">
        <v>1232</v>
      </c>
      <c r="TKY2187" s="594" t="s">
        <v>1232</v>
      </c>
      <c r="TKZ2187" s="594" t="s">
        <v>1232</v>
      </c>
      <c r="TLA2187" s="594" t="s">
        <v>1232</v>
      </c>
      <c r="TLB2187" s="594" t="s">
        <v>1232</v>
      </c>
      <c r="TLC2187" s="594" t="s">
        <v>1232</v>
      </c>
      <c r="TLD2187" s="594" t="s">
        <v>1232</v>
      </c>
      <c r="TLE2187" s="594" t="s">
        <v>1232</v>
      </c>
      <c r="TLF2187" s="594" t="s">
        <v>1232</v>
      </c>
      <c r="TLG2187" s="594" t="s">
        <v>1232</v>
      </c>
      <c r="TLH2187" s="594" t="s">
        <v>1232</v>
      </c>
      <c r="TLI2187" s="594" t="s">
        <v>1232</v>
      </c>
      <c r="TLJ2187" s="594" t="s">
        <v>1232</v>
      </c>
      <c r="TLK2187" s="594" t="s">
        <v>1232</v>
      </c>
      <c r="TLL2187" s="594" t="s">
        <v>1232</v>
      </c>
      <c r="TLM2187" s="594" t="s">
        <v>1232</v>
      </c>
      <c r="TLN2187" s="594" t="s">
        <v>1232</v>
      </c>
      <c r="TLO2187" s="594" t="s">
        <v>1232</v>
      </c>
      <c r="TLP2187" s="594" t="s">
        <v>1232</v>
      </c>
      <c r="TLQ2187" s="594" t="s">
        <v>1232</v>
      </c>
      <c r="TLR2187" s="594" t="s">
        <v>1232</v>
      </c>
      <c r="TLS2187" s="594" t="s">
        <v>1232</v>
      </c>
      <c r="TLT2187" s="594" t="s">
        <v>1232</v>
      </c>
      <c r="TLU2187" s="594" t="s">
        <v>1232</v>
      </c>
      <c r="TLV2187" s="594" t="s">
        <v>1232</v>
      </c>
      <c r="TLW2187" s="594" t="s">
        <v>1232</v>
      </c>
      <c r="TLX2187" s="594" t="s">
        <v>1232</v>
      </c>
      <c r="TLY2187" s="594" t="s">
        <v>1232</v>
      </c>
      <c r="TLZ2187" s="594" t="s">
        <v>1232</v>
      </c>
      <c r="TMA2187" s="594" t="s">
        <v>1232</v>
      </c>
      <c r="TMB2187" s="594" t="s">
        <v>1232</v>
      </c>
      <c r="TMC2187" s="594" t="s">
        <v>1232</v>
      </c>
      <c r="TMD2187" s="594" t="s">
        <v>1232</v>
      </c>
      <c r="TME2187" s="594" t="s">
        <v>1232</v>
      </c>
      <c r="TMF2187" s="594" t="s">
        <v>1232</v>
      </c>
      <c r="TMG2187" s="594" t="s">
        <v>1232</v>
      </c>
      <c r="TMH2187" s="594" t="s">
        <v>1232</v>
      </c>
      <c r="TMI2187" s="594" t="s">
        <v>1232</v>
      </c>
      <c r="TMJ2187" s="594" t="s">
        <v>1232</v>
      </c>
      <c r="TMK2187" s="594" t="s">
        <v>1232</v>
      </c>
      <c r="TML2187" s="594" t="s">
        <v>1232</v>
      </c>
      <c r="TMM2187" s="594" t="s">
        <v>1232</v>
      </c>
      <c r="TMN2187" s="594" t="s">
        <v>1232</v>
      </c>
      <c r="TMO2187" s="594" t="s">
        <v>1232</v>
      </c>
      <c r="TMP2187" s="594" t="s">
        <v>1232</v>
      </c>
      <c r="TMQ2187" s="594" t="s">
        <v>1232</v>
      </c>
      <c r="TMR2187" s="594" t="s">
        <v>1232</v>
      </c>
      <c r="TMS2187" s="594" t="s">
        <v>1232</v>
      </c>
      <c r="TMT2187" s="594" t="s">
        <v>1232</v>
      </c>
      <c r="TMU2187" s="594" t="s">
        <v>1232</v>
      </c>
      <c r="TMV2187" s="594" t="s">
        <v>1232</v>
      </c>
      <c r="TMW2187" s="594" t="s">
        <v>1232</v>
      </c>
      <c r="TMX2187" s="594" t="s">
        <v>1232</v>
      </c>
      <c r="TMY2187" s="594" t="s">
        <v>1232</v>
      </c>
      <c r="TMZ2187" s="594" t="s">
        <v>1232</v>
      </c>
      <c r="TNA2187" s="594" t="s">
        <v>1232</v>
      </c>
      <c r="TNB2187" s="594" t="s">
        <v>1232</v>
      </c>
      <c r="TNC2187" s="594" t="s">
        <v>1232</v>
      </c>
      <c r="TND2187" s="594" t="s">
        <v>1232</v>
      </c>
      <c r="TNE2187" s="594" t="s">
        <v>1232</v>
      </c>
      <c r="TNF2187" s="594" t="s">
        <v>1232</v>
      </c>
      <c r="TNG2187" s="594" t="s">
        <v>1232</v>
      </c>
      <c r="TNH2187" s="594" t="s">
        <v>1232</v>
      </c>
      <c r="TNI2187" s="594" t="s">
        <v>1232</v>
      </c>
      <c r="TNJ2187" s="594" t="s">
        <v>1232</v>
      </c>
      <c r="TNK2187" s="594" t="s">
        <v>1232</v>
      </c>
      <c r="TNL2187" s="594" t="s">
        <v>1232</v>
      </c>
      <c r="TNM2187" s="594" t="s">
        <v>1232</v>
      </c>
      <c r="TNN2187" s="594" t="s">
        <v>1232</v>
      </c>
      <c r="TNO2187" s="594" t="s">
        <v>1232</v>
      </c>
      <c r="TNP2187" s="594" t="s">
        <v>1232</v>
      </c>
      <c r="TNQ2187" s="594" t="s">
        <v>1232</v>
      </c>
      <c r="TNR2187" s="594" t="s">
        <v>1232</v>
      </c>
      <c r="TNS2187" s="594" t="s">
        <v>1232</v>
      </c>
      <c r="TNT2187" s="594" t="s">
        <v>1232</v>
      </c>
      <c r="TNU2187" s="594" t="s">
        <v>1232</v>
      </c>
      <c r="TNV2187" s="594" t="s">
        <v>1232</v>
      </c>
      <c r="TNW2187" s="594" t="s">
        <v>1232</v>
      </c>
      <c r="TNX2187" s="594" t="s">
        <v>1232</v>
      </c>
      <c r="TNY2187" s="594" t="s">
        <v>1232</v>
      </c>
      <c r="TNZ2187" s="594" t="s">
        <v>1232</v>
      </c>
      <c r="TOA2187" s="594" t="s">
        <v>1232</v>
      </c>
      <c r="TOB2187" s="594" t="s">
        <v>1232</v>
      </c>
      <c r="TOC2187" s="594" t="s">
        <v>1232</v>
      </c>
      <c r="TOD2187" s="594" t="s">
        <v>1232</v>
      </c>
      <c r="TOE2187" s="594" t="s">
        <v>1232</v>
      </c>
      <c r="TOF2187" s="594" t="s">
        <v>1232</v>
      </c>
      <c r="TOG2187" s="594" t="s">
        <v>1232</v>
      </c>
      <c r="TOH2187" s="594" t="s">
        <v>1232</v>
      </c>
      <c r="TOI2187" s="594" t="s">
        <v>1232</v>
      </c>
      <c r="TOJ2187" s="594" t="s">
        <v>1232</v>
      </c>
      <c r="TOK2187" s="594" t="s">
        <v>1232</v>
      </c>
      <c r="TOL2187" s="594" t="s">
        <v>1232</v>
      </c>
      <c r="TOM2187" s="594" t="s">
        <v>1232</v>
      </c>
      <c r="TON2187" s="594" t="s">
        <v>1232</v>
      </c>
      <c r="TOO2187" s="594" t="s">
        <v>1232</v>
      </c>
      <c r="TOP2187" s="594" t="s">
        <v>1232</v>
      </c>
      <c r="TOQ2187" s="594" t="s">
        <v>1232</v>
      </c>
      <c r="TOR2187" s="594" t="s">
        <v>1232</v>
      </c>
      <c r="TOS2187" s="594" t="s">
        <v>1232</v>
      </c>
      <c r="TOT2187" s="594" t="s">
        <v>1232</v>
      </c>
      <c r="TOU2187" s="594" t="s">
        <v>1232</v>
      </c>
      <c r="TOV2187" s="594" t="s">
        <v>1232</v>
      </c>
      <c r="TOW2187" s="594" t="s">
        <v>1232</v>
      </c>
      <c r="TOX2187" s="594" t="s">
        <v>1232</v>
      </c>
      <c r="TOY2187" s="594" t="s">
        <v>1232</v>
      </c>
      <c r="TOZ2187" s="594" t="s">
        <v>1232</v>
      </c>
      <c r="TPA2187" s="594" t="s">
        <v>1232</v>
      </c>
      <c r="TPB2187" s="594" t="s">
        <v>1232</v>
      </c>
      <c r="TPC2187" s="594" t="s">
        <v>1232</v>
      </c>
      <c r="TPD2187" s="594" t="s">
        <v>1232</v>
      </c>
      <c r="TPE2187" s="594" t="s">
        <v>1232</v>
      </c>
      <c r="TPF2187" s="594" t="s">
        <v>1232</v>
      </c>
      <c r="TPG2187" s="594" t="s">
        <v>1232</v>
      </c>
      <c r="TPH2187" s="594" t="s">
        <v>1232</v>
      </c>
      <c r="TPI2187" s="594" t="s">
        <v>1232</v>
      </c>
      <c r="TPJ2187" s="594" t="s">
        <v>1232</v>
      </c>
      <c r="TPK2187" s="594" t="s">
        <v>1232</v>
      </c>
      <c r="TPL2187" s="594" t="s">
        <v>1232</v>
      </c>
      <c r="TPM2187" s="594" t="s">
        <v>1232</v>
      </c>
      <c r="TPN2187" s="594" t="s">
        <v>1232</v>
      </c>
      <c r="TPO2187" s="594" t="s">
        <v>1232</v>
      </c>
      <c r="TPP2187" s="594" t="s">
        <v>1232</v>
      </c>
      <c r="TPQ2187" s="594" t="s">
        <v>1232</v>
      </c>
      <c r="TPR2187" s="594" t="s">
        <v>1232</v>
      </c>
      <c r="TPS2187" s="594" t="s">
        <v>1232</v>
      </c>
      <c r="TPT2187" s="594" t="s">
        <v>1232</v>
      </c>
      <c r="TPU2187" s="594" t="s">
        <v>1232</v>
      </c>
      <c r="TPV2187" s="594" t="s">
        <v>1232</v>
      </c>
      <c r="TPW2187" s="594" t="s">
        <v>1232</v>
      </c>
      <c r="TPX2187" s="594" t="s">
        <v>1232</v>
      </c>
      <c r="TPY2187" s="594" t="s">
        <v>1232</v>
      </c>
      <c r="TPZ2187" s="594" t="s">
        <v>1232</v>
      </c>
      <c r="TQA2187" s="594" t="s">
        <v>1232</v>
      </c>
      <c r="TQB2187" s="594" t="s">
        <v>1232</v>
      </c>
      <c r="TQC2187" s="594" t="s">
        <v>1232</v>
      </c>
      <c r="TQD2187" s="594" t="s">
        <v>1232</v>
      </c>
      <c r="TQE2187" s="594" t="s">
        <v>1232</v>
      </c>
      <c r="TQF2187" s="594" t="s">
        <v>1232</v>
      </c>
      <c r="TQG2187" s="594" t="s">
        <v>1232</v>
      </c>
      <c r="TQH2187" s="594" t="s">
        <v>1232</v>
      </c>
      <c r="TQI2187" s="594" t="s">
        <v>1232</v>
      </c>
      <c r="TQJ2187" s="594" t="s">
        <v>1232</v>
      </c>
      <c r="TQK2187" s="594" t="s">
        <v>1232</v>
      </c>
      <c r="TQL2187" s="594" t="s">
        <v>1232</v>
      </c>
      <c r="TQM2187" s="594" t="s">
        <v>1232</v>
      </c>
      <c r="TQN2187" s="594" t="s">
        <v>1232</v>
      </c>
      <c r="TQO2187" s="594" t="s">
        <v>1232</v>
      </c>
      <c r="TQP2187" s="594" t="s">
        <v>1232</v>
      </c>
      <c r="TQQ2187" s="594" t="s">
        <v>1232</v>
      </c>
      <c r="TQR2187" s="594" t="s">
        <v>1232</v>
      </c>
      <c r="TQS2187" s="594" t="s">
        <v>1232</v>
      </c>
      <c r="TQT2187" s="594" t="s">
        <v>1232</v>
      </c>
      <c r="TQU2187" s="594" t="s">
        <v>1232</v>
      </c>
      <c r="TQV2187" s="594" t="s">
        <v>1232</v>
      </c>
      <c r="TQW2187" s="594" t="s">
        <v>1232</v>
      </c>
      <c r="TQX2187" s="594" t="s">
        <v>1232</v>
      </c>
      <c r="TQY2187" s="594" t="s">
        <v>1232</v>
      </c>
      <c r="TQZ2187" s="594" t="s">
        <v>1232</v>
      </c>
      <c r="TRA2187" s="594" t="s">
        <v>1232</v>
      </c>
      <c r="TRB2187" s="594" t="s">
        <v>1232</v>
      </c>
      <c r="TRC2187" s="594" t="s">
        <v>1232</v>
      </c>
      <c r="TRD2187" s="594" t="s">
        <v>1232</v>
      </c>
      <c r="TRE2187" s="594" t="s">
        <v>1232</v>
      </c>
      <c r="TRF2187" s="594" t="s">
        <v>1232</v>
      </c>
      <c r="TRG2187" s="594" t="s">
        <v>1232</v>
      </c>
      <c r="TRH2187" s="594" t="s">
        <v>1232</v>
      </c>
      <c r="TRI2187" s="594" t="s">
        <v>1232</v>
      </c>
      <c r="TRJ2187" s="594" t="s">
        <v>1232</v>
      </c>
      <c r="TRK2187" s="594" t="s">
        <v>1232</v>
      </c>
      <c r="TRL2187" s="594" t="s">
        <v>1232</v>
      </c>
      <c r="TRM2187" s="594" t="s">
        <v>1232</v>
      </c>
      <c r="TRN2187" s="594" t="s">
        <v>1232</v>
      </c>
      <c r="TRO2187" s="594" t="s">
        <v>1232</v>
      </c>
      <c r="TRP2187" s="594" t="s">
        <v>1232</v>
      </c>
      <c r="TRQ2187" s="594" t="s">
        <v>1232</v>
      </c>
      <c r="TRR2187" s="594" t="s">
        <v>1232</v>
      </c>
      <c r="TRS2187" s="594" t="s">
        <v>1232</v>
      </c>
      <c r="TRT2187" s="594" t="s">
        <v>1232</v>
      </c>
      <c r="TRU2187" s="594" t="s">
        <v>1232</v>
      </c>
      <c r="TRV2187" s="594" t="s">
        <v>1232</v>
      </c>
      <c r="TRW2187" s="594" t="s">
        <v>1232</v>
      </c>
      <c r="TRX2187" s="594" t="s">
        <v>1232</v>
      </c>
      <c r="TRY2187" s="594" t="s">
        <v>1232</v>
      </c>
      <c r="TRZ2187" s="594" t="s">
        <v>1232</v>
      </c>
      <c r="TSA2187" s="594" t="s">
        <v>1232</v>
      </c>
      <c r="TSB2187" s="594" t="s">
        <v>1232</v>
      </c>
      <c r="TSC2187" s="594" t="s">
        <v>1232</v>
      </c>
      <c r="TSD2187" s="594" t="s">
        <v>1232</v>
      </c>
      <c r="TSE2187" s="594" t="s">
        <v>1232</v>
      </c>
      <c r="TSF2187" s="594" t="s">
        <v>1232</v>
      </c>
      <c r="TSG2187" s="594" t="s">
        <v>1232</v>
      </c>
      <c r="TSH2187" s="594" t="s">
        <v>1232</v>
      </c>
      <c r="TSI2187" s="594" t="s">
        <v>1232</v>
      </c>
      <c r="TSJ2187" s="594" t="s">
        <v>1232</v>
      </c>
      <c r="TSK2187" s="594" t="s">
        <v>1232</v>
      </c>
      <c r="TSL2187" s="594" t="s">
        <v>1232</v>
      </c>
      <c r="TSM2187" s="594" t="s">
        <v>1232</v>
      </c>
      <c r="TSN2187" s="594" t="s">
        <v>1232</v>
      </c>
      <c r="TSO2187" s="594" t="s">
        <v>1232</v>
      </c>
      <c r="TSP2187" s="594" t="s">
        <v>1232</v>
      </c>
      <c r="TSQ2187" s="594" t="s">
        <v>1232</v>
      </c>
      <c r="TSR2187" s="594" t="s">
        <v>1232</v>
      </c>
      <c r="TSS2187" s="594" t="s">
        <v>1232</v>
      </c>
      <c r="TST2187" s="594" t="s">
        <v>1232</v>
      </c>
      <c r="TSU2187" s="594" t="s">
        <v>1232</v>
      </c>
      <c r="TSV2187" s="594" t="s">
        <v>1232</v>
      </c>
      <c r="TSW2187" s="594" t="s">
        <v>1232</v>
      </c>
      <c r="TSX2187" s="594" t="s">
        <v>1232</v>
      </c>
      <c r="TSY2187" s="594" t="s">
        <v>1232</v>
      </c>
      <c r="TSZ2187" s="594" t="s">
        <v>1232</v>
      </c>
      <c r="TTA2187" s="594" t="s">
        <v>1232</v>
      </c>
      <c r="TTB2187" s="594" t="s">
        <v>1232</v>
      </c>
      <c r="TTC2187" s="594" t="s">
        <v>1232</v>
      </c>
      <c r="TTD2187" s="594" t="s">
        <v>1232</v>
      </c>
      <c r="TTE2187" s="594" t="s">
        <v>1232</v>
      </c>
      <c r="TTF2187" s="594" t="s">
        <v>1232</v>
      </c>
      <c r="TTG2187" s="594" t="s">
        <v>1232</v>
      </c>
      <c r="TTH2187" s="594" t="s">
        <v>1232</v>
      </c>
      <c r="TTI2187" s="594" t="s">
        <v>1232</v>
      </c>
      <c r="TTJ2187" s="594" t="s">
        <v>1232</v>
      </c>
      <c r="TTK2187" s="594" t="s">
        <v>1232</v>
      </c>
      <c r="TTL2187" s="594" t="s">
        <v>1232</v>
      </c>
      <c r="TTM2187" s="594" t="s">
        <v>1232</v>
      </c>
      <c r="TTN2187" s="594" t="s">
        <v>1232</v>
      </c>
      <c r="TTO2187" s="594" t="s">
        <v>1232</v>
      </c>
      <c r="TTP2187" s="594" t="s">
        <v>1232</v>
      </c>
      <c r="TTQ2187" s="594" t="s">
        <v>1232</v>
      </c>
      <c r="TTR2187" s="594" t="s">
        <v>1232</v>
      </c>
      <c r="TTS2187" s="594" t="s">
        <v>1232</v>
      </c>
      <c r="TTT2187" s="594" t="s">
        <v>1232</v>
      </c>
      <c r="TTU2187" s="594" t="s">
        <v>1232</v>
      </c>
      <c r="TTV2187" s="594" t="s">
        <v>1232</v>
      </c>
      <c r="TTW2187" s="594" t="s">
        <v>1232</v>
      </c>
      <c r="TTX2187" s="594" t="s">
        <v>1232</v>
      </c>
      <c r="TTY2187" s="594" t="s">
        <v>1232</v>
      </c>
      <c r="TTZ2187" s="594" t="s">
        <v>1232</v>
      </c>
      <c r="TUA2187" s="594" t="s">
        <v>1232</v>
      </c>
      <c r="TUB2187" s="594" t="s">
        <v>1232</v>
      </c>
      <c r="TUC2187" s="594" t="s">
        <v>1232</v>
      </c>
      <c r="TUD2187" s="594" t="s">
        <v>1232</v>
      </c>
      <c r="TUE2187" s="594" t="s">
        <v>1232</v>
      </c>
      <c r="TUF2187" s="594" t="s">
        <v>1232</v>
      </c>
      <c r="TUG2187" s="594" t="s">
        <v>1232</v>
      </c>
      <c r="TUH2187" s="594" t="s">
        <v>1232</v>
      </c>
      <c r="TUI2187" s="594" t="s">
        <v>1232</v>
      </c>
      <c r="TUJ2187" s="594" t="s">
        <v>1232</v>
      </c>
      <c r="TUK2187" s="594" t="s">
        <v>1232</v>
      </c>
      <c r="TUL2187" s="594" t="s">
        <v>1232</v>
      </c>
      <c r="TUM2187" s="594" t="s">
        <v>1232</v>
      </c>
      <c r="TUN2187" s="594" t="s">
        <v>1232</v>
      </c>
      <c r="TUO2187" s="594" t="s">
        <v>1232</v>
      </c>
      <c r="TUP2187" s="594" t="s">
        <v>1232</v>
      </c>
      <c r="TUQ2187" s="594" t="s">
        <v>1232</v>
      </c>
      <c r="TUR2187" s="594" t="s">
        <v>1232</v>
      </c>
      <c r="TUS2187" s="594" t="s">
        <v>1232</v>
      </c>
      <c r="TUT2187" s="594" t="s">
        <v>1232</v>
      </c>
      <c r="TUU2187" s="594" t="s">
        <v>1232</v>
      </c>
      <c r="TUV2187" s="594" t="s">
        <v>1232</v>
      </c>
      <c r="TUW2187" s="594" t="s">
        <v>1232</v>
      </c>
      <c r="TUX2187" s="594" t="s">
        <v>1232</v>
      </c>
      <c r="TUY2187" s="594" t="s">
        <v>1232</v>
      </c>
      <c r="TUZ2187" s="594" t="s">
        <v>1232</v>
      </c>
      <c r="TVA2187" s="594" t="s">
        <v>1232</v>
      </c>
      <c r="TVB2187" s="594" t="s">
        <v>1232</v>
      </c>
      <c r="TVC2187" s="594" t="s">
        <v>1232</v>
      </c>
      <c r="TVD2187" s="594" t="s">
        <v>1232</v>
      </c>
      <c r="TVE2187" s="594" t="s">
        <v>1232</v>
      </c>
      <c r="TVF2187" s="594" t="s">
        <v>1232</v>
      </c>
      <c r="TVG2187" s="594" t="s">
        <v>1232</v>
      </c>
      <c r="TVH2187" s="594" t="s">
        <v>1232</v>
      </c>
      <c r="TVI2187" s="594" t="s">
        <v>1232</v>
      </c>
      <c r="TVJ2187" s="594" t="s">
        <v>1232</v>
      </c>
      <c r="TVK2187" s="594" t="s">
        <v>1232</v>
      </c>
      <c r="TVL2187" s="594" t="s">
        <v>1232</v>
      </c>
      <c r="TVM2187" s="594" t="s">
        <v>1232</v>
      </c>
      <c r="TVN2187" s="594" t="s">
        <v>1232</v>
      </c>
      <c r="TVO2187" s="594" t="s">
        <v>1232</v>
      </c>
      <c r="TVP2187" s="594" t="s">
        <v>1232</v>
      </c>
      <c r="TVQ2187" s="594" t="s">
        <v>1232</v>
      </c>
      <c r="TVR2187" s="594" t="s">
        <v>1232</v>
      </c>
      <c r="TVS2187" s="594" t="s">
        <v>1232</v>
      </c>
      <c r="TVT2187" s="594" t="s">
        <v>1232</v>
      </c>
      <c r="TVU2187" s="594" t="s">
        <v>1232</v>
      </c>
      <c r="TVV2187" s="594" t="s">
        <v>1232</v>
      </c>
      <c r="TVW2187" s="594" t="s">
        <v>1232</v>
      </c>
      <c r="TVX2187" s="594" t="s">
        <v>1232</v>
      </c>
      <c r="TVY2187" s="594" t="s">
        <v>1232</v>
      </c>
      <c r="TVZ2187" s="594" t="s">
        <v>1232</v>
      </c>
      <c r="TWA2187" s="594" t="s">
        <v>1232</v>
      </c>
      <c r="TWB2187" s="594" t="s">
        <v>1232</v>
      </c>
      <c r="TWC2187" s="594" t="s">
        <v>1232</v>
      </c>
      <c r="TWD2187" s="594" t="s">
        <v>1232</v>
      </c>
      <c r="TWE2187" s="594" t="s">
        <v>1232</v>
      </c>
      <c r="TWF2187" s="594" t="s">
        <v>1232</v>
      </c>
      <c r="TWG2187" s="594" t="s">
        <v>1232</v>
      </c>
      <c r="TWH2187" s="594" t="s">
        <v>1232</v>
      </c>
      <c r="TWI2187" s="594" t="s">
        <v>1232</v>
      </c>
      <c r="TWJ2187" s="594" t="s">
        <v>1232</v>
      </c>
      <c r="TWK2187" s="594" t="s">
        <v>1232</v>
      </c>
      <c r="TWL2187" s="594" t="s">
        <v>1232</v>
      </c>
      <c r="TWM2187" s="594" t="s">
        <v>1232</v>
      </c>
      <c r="TWN2187" s="594" t="s">
        <v>1232</v>
      </c>
      <c r="TWO2187" s="594" t="s">
        <v>1232</v>
      </c>
      <c r="TWP2187" s="594" t="s">
        <v>1232</v>
      </c>
      <c r="TWQ2187" s="594" t="s">
        <v>1232</v>
      </c>
      <c r="TWR2187" s="594" t="s">
        <v>1232</v>
      </c>
      <c r="TWS2187" s="594" t="s">
        <v>1232</v>
      </c>
      <c r="TWT2187" s="594" t="s">
        <v>1232</v>
      </c>
      <c r="TWU2187" s="594" t="s">
        <v>1232</v>
      </c>
      <c r="TWV2187" s="594" t="s">
        <v>1232</v>
      </c>
      <c r="TWW2187" s="594" t="s">
        <v>1232</v>
      </c>
      <c r="TWX2187" s="594" t="s">
        <v>1232</v>
      </c>
      <c r="TWY2187" s="594" t="s">
        <v>1232</v>
      </c>
      <c r="TWZ2187" s="594" t="s">
        <v>1232</v>
      </c>
      <c r="TXA2187" s="594" t="s">
        <v>1232</v>
      </c>
      <c r="TXB2187" s="594" t="s">
        <v>1232</v>
      </c>
      <c r="TXC2187" s="594" t="s">
        <v>1232</v>
      </c>
      <c r="TXD2187" s="594" t="s">
        <v>1232</v>
      </c>
      <c r="TXE2187" s="594" t="s">
        <v>1232</v>
      </c>
      <c r="TXF2187" s="594" t="s">
        <v>1232</v>
      </c>
      <c r="TXG2187" s="594" t="s">
        <v>1232</v>
      </c>
      <c r="TXH2187" s="594" t="s">
        <v>1232</v>
      </c>
      <c r="TXI2187" s="594" t="s">
        <v>1232</v>
      </c>
      <c r="TXJ2187" s="594" t="s">
        <v>1232</v>
      </c>
      <c r="TXK2187" s="594" t="s">
        <v>1232</v>
      </c>
      <c r="TXL2187" s="594" t="s">
        <v>1232</v>
      </c>
      <c r="TXM2187" s="594" t="s">
        <v>1232</v>
      </c>
      <c r="TXN2187" s="594" t="s">
        <v>1232</v>
      </c>
      <c r="TXO2187" s="594" t="s">
        <v>1232</v>
      </c>
      <c r="TXP2187" s="594" t="s">
        <v>1232</v>
      </c>
      <c r="TXQ2187" s="594" t="s">
        <v>1232</v>
      </c>
      <c r="TXR2187" s="594" t="s">
        <v>1232</v>
      </c>
      <c r="TXS2187" s="594" t="s">
        <v>1232</v>
      </c>
      <c r="TXT2187" s="594" t="s">
        <v>1232</v>
      </c>
      <c r="TXU2187" s="594" t="s">
        <v>1232</v>
      </c>
      <c r="TXV2187" s="594" t="s">
        <v>1232</v>
      </c>
      <c r="TXW2187" s="594" t="s">
        <v>1232</v>
      </c>
      <c r="TXX2187" s="594" t="s">
        <v>1232</v>
      </c>
      <c r="TXY2187" s="594" t="s">
        <v>1232</v>
      </c>
      <c r="TXZ2187" s="594" t="s">
        <v>1232</v>
      </c>
      <c r="TYA2187" s="594" t="s">
        <v>1232</v>
      </c>
      <c r="TYB2187" s="594" t="s">
        <v>1232</v>
      </c>
      <c r="TYC2187" s="594" t="s">
        <v>1232</v>
      </c>
      <c r="TYD2187" s="594" t="s">
        <v>1232</v>
      </c>
      <c r="TYE2187" s="594" t="s">
        <v>1232</v>
      </c>
      <c r="TYF2187" s="594" t="s">
        <v>1232</v>
      </c>
      <c r="TYG2187" s="594" t="s">
        <v>1232</v>
      </c>
      <c r="TYH2187" s="594" t="s">
        <v>1232</v>
      </c>
      <c r="TYI2187" s="594" t="s">
        <v>1232</v>
      </c>
      <c r="TYJ2187" s="594" t="s">
        <v>1232</v>
      </c>
      <c r="TYK2187" s="594" t="s">
        <v>1232</v>
      </c>
      <c r="TYL2187" s="594" t="s">
        <v>1232</v>
      </c>
      <c r="TYM2187" s="594" t="s">
        <v>1232</v>
      </c>
      <c r="TYN2187" s="594" t="s">
        <v>1232</v>
      </c>
      <c r="TYO2187" s="594" t="s">
        <v>1232</v>
      </c>
      <c r="TYP2187" s="594" t="s">
        <v>1232</v>
      </c>
      <c r="TYQ2187" s="594" t="s">
        <v>1232</v>
      </c>
      <c r="TYR2187" s="594" t="s">
        <v>1232</v>
      </c>
      <c r="TYS2187" s="594" t="s">
        <v>1232</v>
      </c>
      <c r="TYT2187" s="594" t="s">
        <v>1232</v>
      </c>
      <c r="TYU2187" s="594" t="s">
        <v>1232</v>
      </c>
      <c r="TYV2187" s="594" t="s">
        <v>1232</v>
      </c>
      <c r="TYW2187" s="594" t="s">
        <v>1232</v>
      </c>
      <c r="TYX2187" s="594" t="s">
        <v>1232</v>
      </c>
      <c r="TYY2187" s="594" t="s">
        <v>1232</v>
      </c>
      <c r="TYZ2187" s="594" t="s">
        <v>1232</v>
      </c>
      <c r="TZA2187" s="594" t="s">
        <v>1232</v>
      </c>
      <c r="TZB2187" s="594" t="s">
        <v>1232</v>
      </c>
      <c r="TZC2187" s="594" t="s">
        <v>1232</v>
      </c>
      <c r="TZD2187" s="594" t="s">
        <v>1232</v>
      </c>
      <c r="TZE2187" s="594" t="s">
        <v>1232</v>
      </c>
      <c r="TZF2187" s="594" t="s">
        <v>1232</v>
      </c>
      <c r="TZG2187" s="594" t="s">
        <v>1232</v>
      </c>
      <c r="TZH2187" s="594" t="s">
        <v>1232</v>
      </c>
      <c r="TZI2187" s="594" t="s">
        <v>1232</v>
      </c>
      <c r="TZJ2187" s="594" t="s">
        <v>1232</v>
      </c>
      <c r="TZK2187" s="594" t="s">
        <v>1232</v>
      </c>
      <c r="TZL2187" s="594" t="s">
        <v>1232</v>
      </c>
      <c r="TZM2187" s="594" t="s">
        <v>1232</v>
      </c>
      <c r="TZN2187" s="594" t="s">
        <v>1232</v>
      </c>
      <c r="TZO2187" s="594" t="s">
        <v>1232</v>
      </c>
      <c r="TZP2187" s="594" t="s">
        <v>1232</v>
      </c>
      <c r="TZQ2187" s="594" t="s">
        <v>1232</v>
      </c>
      <c r="TZR2187" s="594" t="s">
        <v>1232</v>
      </c>
      <c r="TZS2187" s="594" t="s">
        <v>1232</v>
      </c>
      <c r="TZT2187" s="594" t="s">
        <v>1232</v>
      </c>
      <c r="TZU2187" s="594" t="s">
        <v>1232</v>
      </c>
      <c r="TZV2187" s="594" t="s">
        <v>1232</v>
      </c>
      <c r="TZW2187" s="594" t="s">
        <v>1232</v>
      </c>
      <c r="TZX2187" s="594" t="s">
        <v>1232</v>
      </c>
      <c r="TZY2187" s="594" t="s">
        <v>1232</v>
      </c>
      <c r="TZZ2187" s="594" t="s">
        <v>1232</v>
      </c>
      <c r="UAA2187" s="594" t="s">
        <v>1232</v>
      </c>
      <c r="UAB2187" s="594" t="s">
        <v>1232</v>
      </c>
      <c r="UAC2187" s="594" t="s">
        <v>1232</v>
      </c>
      <c r="UAD2187" s="594" t="s">
        <v>1232</v>
      </c>
      <c r="UAE2187" s="594" t="s">
        <v>1232</v>
      </c>
      <c r="UAF2187" s="594" t="s">
        <v>1232</v>
      </c>
      <c r="UAG2187" s="594" t="s">
        <v>1232</v>
      </c>
      <c r="UAH2187" s="594" t="s">
        <v>1232</v>
      </c>
      <c r="UAI2187" s="594" t="s">
        <v>1232</v>
      </c>
      <c r="UAJ2187" s="594" t="s">
        <v>1232</v>
      </c>
      <c r="UAK2187" s="594" t="s">
        <v>1232</v>
      </c>
      <c r="UAL2187" s="594" t="s">
        <v>1232</v>
      </c>
      <c r="UAM2187" s="594" t="s">
        <v>1232</v>
      </c>
      <c r="UAN2187" s="594" t="s">
        <v>1232</v>
      </c>
      <c r="UAO2187" s="594" t="s">
        <v>1232</v>
      </c>
      <c r="UAP2187" s="594" t="s">
        <v>1232</v>
      </c>
      <c r="UAQ2187" s="594" t="s">
        <v>1232</v>
      </c>
      <c r="UAR2187" s="594" t="s">
        <v>1232</v>
      </c>
      <c r="UAS2187" s="594" t="s">
        <v>1232</v>
      </c>
      <c r="UAT2187" s="594" t="s">
        <v>1232</v>
      </c>
      <c r="UAU2187" s="594" t="s">
        <v>1232</v>
      </c>
      <c r="UAV2187" s="594" t="s">
        <v>1232</v>
      </c>
      <c r="UAW2187" s="594" t="s">
        <v>1232</v>
      </c>
      <c r="UAX2187" s="594" t="s">
        <v>1232</v>
      </c>
      <c r="UAY2187" s="594" t="s">
        <v>1232</v>
      </c>
      <c r="UAZ2187" s="594" t="s">
        <v>1232</v>
      </c>
      <c r="UBA2187" s="594" t="s">
        <v>1232</v>
      </c>
      <c r="UBB2187" s="594" t="s">
        <v>1232</v>
      </c>
      <c r="UBC2187" s="594" t="s">
        <v>1232</v>
      </c>
      <c r="UBD2187" s="594" t="s">
        <v>1232</v>
      </c>
      <c r="UBE2187" s="594" t="s">
        <v>1232</v>
      </c>
      <c r="UBF2187" s="594" t="s">
        <v>1232</v>
      </c>
      <c r="UBG2187" s="594" t="s">
        <v>1232</v>
      </c>
      <c r="UBH2187" s="594" t="s">
        <v>1232</v>
      </c>
      <c r="UBI2187" s="594" t="s">
        <v>1232</v>
      </c>
      <c r="UBJ2187" s="594" t="s">
        <v>1232</v>
      </c>
      <c r="UBK2187" s="594" t="s">
        <v>1232</v>
      </c>
      <c r="UBL2187" s="594" t="s">
        <v>1232</v>
      </c>
      <c r="UBM2187" s="594" t="s">
        <v>1232</v>
      </c>
      <c r="UBN2187" s="594" t="s">
        <v>1232</v>
      </c>
      <c r="UBO2187" s="594" t="s">
        <v>1232</v>
      </c>
      <c r="UBP2187" s="594" t="s">
        <v>1232</v>
      </c>
      <c r="UBQ2187" s="594" t="s">
        <v>1232</v>
      </c>
      <c r="UBR2187" s="594" t="s">
        <v>1232</v>
      </c>
      <c r="UBS2187" s="594" t="s">
        <v>1232</v>
      </c>
      <c r="UBT2187" s="594" t="s">
        <v>1232</v>
      </c>
      <c r="UBU2187" s="594" t="s">
        <v>1232</v>
      </c>
      <c r="UBV2187" s="594" t="s">
        <v>1232</v>
      </c>
      <c r="UBW2187" s="594" t="s">
        <v>1232</v>
      </c>
      <c r="UBX2187" s="594" t="s">
        <v>1232</v>
      </c>
      <c r="UBY2187" s="594" t="s">
        <v>1232</v>
      </c>
      <c r="UBZ2187" s="594" t="s">
        <v>1232</v>
      </c>
      <c r="UCA2187" s="594" t="s">
        <v>1232</v>
      </c>
      <c r="UCB2187" s="594" t="s">
        <v>1232</v>
      </c>
      <c r="UCC2187" s="594" t="s">
        <v>1232</v>
      </c>
      <c r="UCD2187" s="594" t="s">
        <v>1232</v>
      </c>
      <c r="UCE2187" s="594" t="s">
        <v>1232</v>
      </c>
      <c r="UCF2187" s="594" t="s">
        <v>1232</v>
      </c>
      <c r="UCG2187" s="594" t="s">
        <v>1232</v>
      </c>
      <c r="UCH2187" s="594" t="s">
        <v>1232</v>
      </c>
      <c r="UCI2187" s="594" t="s">
        <v>1232</v>
      </c>
      <c r="UCJ2187" s="594" t="s">
        <v>1232</v>
      </c>
      <c r="UCK2187" s="594" t="s">
        <v>1232</v>
      </c>
      <c r="UCL2187" s="594" t="s">
        <v>1232</v>
      </c>
      <c r="UCM2187" s="594" t="s">
        <v>1232</v>
      </c>
      <c r="UCN2187" s="594" t="s">
        <v>1232</v>
      </c>
      <c r="UCO2187" s="594" t="s">
        <v>1232</v>
      </c>
      <c r="UCP2187" s="594" t="s">
        <v>1232</v>
      </c>
      <c r="UCQ2187" s="594" t="s">
        <v>1232</v>
      </c>
      <c r="UCR2187" s="594" t="s">
        <v>1232</v>
      </c>
      <c r="UCS2187" s="594" t="s">
        <v>1232</v>
      </c>
      <c r="UCT2187" s="594" t="s">
        <v>1232</v>
      </c>
      <c r="UCU2187" s="594" t="s">
        <v>1232</v>
      </c>
      <c r="UCV2187" s="594" t="s">
        <v>1232</v>
      </c>
      <c r="UCW2187" s="594" t="s">
        <v>1232</v>
      </c>
      <c r="UCX2187" s="594" t="s">
        <v>1232</v>
      </c>
      <c r="UCY2187" s="594" t="s">
        <v>1232</v>
      </c>
      <c r="UCZ2187" s="594" t="s">
        <v>1232</v>
      </c>
      <c r="UDA2187" s="594" t="s">
        <v>1232</v>
      </c>
      <c r="UDB2187" s="594" t="s">
        <v>1232</v>
      </c>
      <c r="UDC2187" s="594" t="s">
        <v>1232</v>
      </c>
      <c r="UDD2187" s="594" t="s">
        <v>1232</v>
      </c>
      <c r="UDE2187" s="594" t="s">
        <v>1232</v>
      </c>
      <c r="UDF2187" s="594" t="s">
        <v>1232</v>
      </c>
      <c r="UDG2187" s="594" t="s">
        <v>1232</v>
      </c>
      <c r="UDH2187" s="594" t="s">
        <v>1232</v>
      </c>
      <c r="UDI2187" s="594" t="s">
        <v>1232</v>
      </c>
      <c r="UDJ2187" s="594" t="s">
        <v>1232</v>
      </c>
      <c r="UDK2187" s="594" t="s">
        <v>1232</v>
      </c>
      <c r="UDL2187" s="594" t="s">
        <v>1232</v>
      </c>
      <c r="UDM2187" s="594" t="s">
        <v>1232</v>
      </c>
      <c r="UDN2187" s="594" t="s">
        <v>1232</v>
      </c>
      <c r="UDO2187" s="594" t="s">
        <v>1232</v>
      </c>
      <c r="UDP2187" s="594" t="s">
        <v>1232</v>
      </c>
      <c r="UDQ2187" s="594" t="s">
        <v>1232</v>
      </c>
      <c r="UDR2187" s="594" t="s">
        <v>1232</v>
      </c>
      <c r="UDS2187" s="594" t="s">
        <v>1232</v>
      </c>
      <c r="UDT2187" s="594" t="s">
        <v>1232</v>
      </c>
      <c r="UDU2187" s="594" t="s">
        <v>1232</v>
      </c>
      <c r="UDV2187" s="594" t="s">
        <v>1232</v>
      </c>
      <c r="UDW2187" s="594" t="s">
        <v>1232</v>
      </c>
      <c r="UDX2187" s="594" t="s">
        <v>1232</v>
      </c>
      <c r="UDY2187" s="594" t="s">
        <v>1232</v>
      </c>
      <c r="UDZ2187" s="594" t="s">
        <v>1232</v>
      </c>
      <c r="UEA2187" s="594" t="s">
        <v>1232</v>
      </c>
      <c r="UEB2187" s="594" t="s">
        <v>1232</v>
      </c>
      <c r="UEC2187" s="594" t="s">
        <v>1232</v>
      </c>
      <c r="UED2187" s="594" t="s">
        <v>1232</v>
      </c>
      <c r="UEE2187" s="594" t="s">
        <v>1232</v>
      </c>
      <c r="UEF2187" s="594" t="s">
        <v>1232</v>
      </c>
      <c r="UEG2187" s="594" t="s">
        <v>1232</v>
      </c>
      <c r="UEH2187" s="594" t="s">
        <v>1232</v>
      </c>
      <c r="UEI2187" s="594" t="s">
        <v>1232</v>
      </c>
      <c r="UEJ2187" s="594" t="s">
        <v>1232</v>
      </c>
      <c r="UEK2187" s="594" t="s">
        <v>1232</v>
      </c>
      <c r="UEL2187" s="594" t="s">
        <v>1232</v>
      </c>
      <c r="UEM2187" s="594" t="s">
        <v>1232</v>
      </c>
      <c r="UEN2187" s="594" t="s">
        <v>1232</v>
      </c>
      <c r="UEO2187" s="594" t="s">
        <v>1232</v>
      </c>
      <c r="UEP2187" s="594" t="s">
        <v>1232</v>
      </c>
      <c r="UEQ2187" s="594" t="s">
        <v>1232</v>
      </c>
      <c r="UER2187" s="594" t="s">
        <v>1232</v>
      </c>
      <c r="UES2187" s="594" t="s">
        <v>1232</v>
      </c>
      <c r="UET2187" s="594" t="s">
        <v>1232</v>
      </c>
      <c r="UEU2187" s="594" t="s">
        <v>1232</v>
      </c>
      <c r="UEV2187" s="594" t="s">
        <v>1232</v>
      </c>
      <c r="UEW2187" s="594" t="s">
        <v>1232</v>
      </c>
      <c r="UEX2187" s="594" t="s">
        <v>1232</v>
      </c>
      <c r="UEY2187" s="594" t="s">
        <v>1232</v>
      </c>
      <c r="UEZ2187" s="594" t="s">
        <v>1232</v>
      </c>
      <c r="UFA2187" s="594" t="s">
        <v>1232</v>
      </c>
      <c r="UFB2187" s="594" t="s">
        <v>1232</v>
      </c>
      <c r="UFC2187" s="594" t="s">
        <v>1232</v>
      </c>
      <c r="UFD2187" s="594" t="s">
        <v>1232</v>
      </c>
      <c r="UFE2187" s="594" t="s">
        <v>1232</v>
      </c>
      <c r="UFF2187" s="594" t="s">
        <v>1232</v>
      </c>
      <c r="UFG2187" s="594" t="s">
        <v>1232</v>
      </c>
      <c r="UFH2187" s="594" t="s">
        <v>1232</v>
      </c>
      <c r="UFI2187" s="594" t="s">
        <v>1232</v>
      </c>
      <c r="UFJ2187" s="594" t="s">
        <v>1232</v>
      </c>
      <c r="UFK2187" s="594" t="s">
        <v>1232</v>
      </c>
      <c r="UFL2187" s="594" t="s">
        <v>1232</v>
      </c>
      <c r="UFM2187" s="594" t="s">
        <v>1232</v>
      </c>
      <c r="UFN2187" s="594" t="s">
        <v>1232</v>
      </c>
      <c r="UFO2187" s="594" t="s">
        <v>1232</v>
      </c>
      <c r="UFP2187" s="594" t="s">
        <v>1232</v>
      </c>
      <c r="UFQ2187" s="594" t="s">
        <v>1232</v>
      </c>
      <c r="UFR2187" s="594" t="s">
        <v>1232</v>
      </c>
      <c r="UFS2187" s="594" t="s">
        <v>1232</v>
      </c>
      <c r="UFT2187" s="594" t="s">
        <v>1232</v>
      </c>
      <c r="UFU2187" s="594" t="s">
        <v>1232</v>
      </c>
      <c r="UFV2187" s="594" t="s">
        <v>1232</v>
      </c>
      <c r="UFW2187" s="594" t="s">
        <v>1232</v>
      </c>
      <c r="UFX2187" s="594" t="s">
        <v>1232</v>
      </c>
      <c r="UFY2187" s="594" t="s">
        <v>1232</v>
      </c>
      <c r="UFZ2187" s="594" t="s">
        <v>1232</v>
      </c>
      <c r="UGA2187" s="594" t="s">
        <v>1232</v>
      </c>
      <c r="UGB2187" s="594" t="s">
        <v>1232</v>
      </c>
      <c r="UGC2187" s="594" t="s">
        <v>1232</v>
      </c>
      <c r="UGD2187" s="594" t="s">
        <v>1232</v>
      </c>
      <c r="UGE2187" s="594" t="s">
        <v>1232</v>
      </c>
      <c r="UGF2187" s="594" t="s">
        <v>1232</v>
      </c>
      <c r="UGG2187" s="594" t="s">
        <v>1232</v>
      </c>
      <c r="UGH2187" s="594" t="s">
        <v>1232</v>
      </c>
      <c r="UGI2187" s="594" t="s">
        <v>1232</v>
      </c>
      <c r="UGJ2187" s="594" t="s">
        <v>1232</v>
      </c>
      <c r="UGK2187" s="594" t="s">
        <v>1232</v>
      </c>
      <c r="UGL2187" s="594" t="s">
        <v>1232</v>
      </c>
      <c r="UGM2187" s="594" t="s">
        <v>1232</v>
      </c>
      <c r="UGN2187" s="594" t="s">
        <v>1232</v>
      </c>
      <c r="UGO2187" s="594" t="s">
        <v>1232</v>
      </c>
      <c r="UGP2187" s="594" t="s">
        <v>1232</v>
      </c>
      <c r="UGQ2187" s="594" t="s">
        <v>1232</v>
      </c>
      <c r="UGR2187" s="594" t="s">
        <v>1232</v>
      </c>
      <c r="UGS2187" s="594" t="s">
        <v>1232</v>
      </c>
      <c r="UGT2187" s="594" t="s">
        <v>1232</v>
      </c>
      <c r="UGU2187" s="594" t="s">
        <v>1232</v>
      </c>
      <c r="UGV2187" s="594" t="s">
        <v>1232</v>
      </c>
      <c r="UGW2187" s="594" t="s">
        <v>1232</v>
      </c>
      <c r="UGX2187" s="594" t="s">
        <v>1232</v>
      </c>
      <c r="UGY2187" s="594" t="s">
        <v>1232</v>
      </c>
      <c r="UGZ2187" s="594" t="s">
        <v>1232</v>
      </c>
      <c r="UHA2187" s="594" t="s">
        <v>1232</v>
      </c>
      <c r="UHB2187" s="594" t="s">
        <v>1232</v>
      </c>
      <c r="UHC2187" s="594" t="s">
        <v>1232</v>
      </c>
      <c r="UHD2187" s="594" t="s">
        <v>1232</v>
      </c>
      <c r="UHE2187" s="594" t="s">
        <v>1232</v>
      </c>
      <c r="UHF2187" s="594" t="s">
        <v>1232</v>
      </c>
      <c r="UHG2187" s="594" t="s">
        <v>1232</v>
      </c>
      <c r="UHH2187" s="594" t="s">
        <v>1232</v>
      </c>
      <c r="UHI2187" s="594" t="s">
        <v>1232</v>
      </c>
      <c r="UHJ2187" s="594" t="s">
        <v>1232</v>
      </c>
      <c r="UHK2187" s="594" t="s">
        <v>1232</v>
      </c>
      <c r="UHL2187" s="594" t="s">
        <v>1232</v>
      </c>
      <c r="UHM2187" s="594" t="s">
        <v>1232</v>
      </c>
      <c r="UHN2187" s="594" t="s">
        <v>1232</v>
      </c>
      <c r="UHO2187" s="594" t="s">
        <v>1232</v>
      </c>
      <c r="UHP2187" s="594" t="s">
        <v>1232</v>
      </c>
      <c r="UHQ2187" s="594" t="s">
        <v>1232</v>
      </c>
      <c r="UHR2187" s="594" t="s">
        <v>1232</v>
      </c>
      <c r="UHS2187" s="594" t="s">
        <v>1232</v>
      </c>
      <c r="UHT2187" s="594" t="s">
        <v>1232</v>
      </c>
      <c r="UHU2187" s="594" t="s">
        <v>1232</v>
      </c>
      <c r="UHV2187" s="594" t="s">
        <v>1232</v>
      </c>
      <c r="UHW2187" s="594" t="s">
        <v>1232</v>
      </c>
      <c r="UHX2187" s="594" t="s">
        <v>1232</v>
      </c>
      <c r="UHY2187" s="594" t="s">
        <v>1232</v>
      </c>
      <c r="UHZ2187" s="594" t="s">
        <v>1232</v>
      </c>
      <c r="UIA2187" s="594" t="s">
        <v>1232</v>
      </c>
      <c r="UIB2187" s="594" t="s">
        <v>1232</v>
      </c>
      <c r="UIC2187" s="594" t="s">
        <v>1232</v>
      </c>
      <c r="UID2187" s="594" t="s">
        <v>1232</v>
      </c>
      <c r="UIE2187" s="594" t="s">
        <v>1232</v>
      </c>
      <c r="UIF2187" s="594" t="s">
        <v>1232</v>
      </c>
      <c r="UIG2187" s="594" t="s">
        <v>1232</v>
      </c>
      <c r="UIH2187" s="594" t="s">
        <v>1232</v>
      </c>
      <c r="UII2187" s="594" t="s">
        <v>1232</v>
      </c>
      <c r="UIJ2187" s="594" t="s">
        <v>1232</v>
      </c>
      <c r="UIK2187" s="594" t="s">
        <v>1232</v>
      </c>
      <c r="UIL2187" s="594" t="s">
        <v>1232</v>
      </c>
      <c r="UIM2187" s="594" t="s">
        <v>1232</v>
      </c>
      <c r="UIN2187" s="594" t="s">
        <v>1232</v>
      </c>
      <c r="UIO2187" s="594" t="s">
        <v>1232</v>
      </c>
      <c r="UIP2187" s="594" t="s">
        <v>1232</v>
      </c>
      <c r="UIQ2187" s="594" t="s">
        <v>1232</v>
      </c>
      <c r="UIR2187" s="594" t="s">
        <v>1232</v>
      </c>
      <c r="UIS2187" s="594" t="s">
        <v>1232</v>
      </c>
      <c r="UIT2187" s="594" t="s">
        <v>1232</v>
      </c>
      <c r="UIU2187" s="594" t="s">
        <v>1232</v>
      </c>
      <c r="UIV2187" s="594" t="s">
        <v>1232</v>
      </c>
      <c r="UIW2187" s="594" t="s">
        <v>1232</v>
      </c>
      <c r="UIX2187" s="594" t="s">
        <v>1232</v>
      </c>
      <c r="UIY2187" s="594" t="s">
        <v>1232</v>
      </c>
      <c r="UIZ2187" s="594" t="s">
        <v>1232</v>
      </c>
      <c r="UJA2187" s="594" t="s">
        <v>1232</v>
      </c>
      <c r="UJB2187" s="594" t="s">
        <v>1232</v>
      </c>
      <c r="UJC2187" s="594" t="s">
        <v>1232</v>
      </c>
      <c r="UJD2187" s="594" t="s">
        <v>1232</v>
      </c>
      <c r="UJE2187" s="594" t="s">
        <v>1232</v>
      </c>
      <c r="UJF2187" s="594" t="s">
        <v>1232</v>
      </c>
      <c r="UJG2187" s="594" t="s">
        <v>1232</v>
      </c>
      <c r="UJH2187" s="594" t="s">
        <v>1232</v>
      </c>
      <c r="UJI2187" s="594" t="s">
        <v>1232</v>
      </c>
      <c r="UJJ2187" s="594" t="s">
        <v>1232</v>
      </c>
      <c r="UJK2187" s="594" t="s">
        <v>1232</v>
      </c>
      <c r="UJL2187" s="594" t="s">
        <v>1232</v>
      </c>
      <c r="UJM2187" s="594" t="s">
        <v>1232</v>
      </c>
      <c r="UJN2187" s="594" t="s">
        <v>1232</v>
      </c>
      <c r="UJO2187" s="594" t="s">
        <v>1232</v>
      </c>
      <c r="UJP2187" s="594" t="s">
        <v>1232</v>
      </c>
      <c r="UJQ2187" s="594" t="s">
        <v>1232</v>
      </c>
      <c r="UJR2187" s="594" t="s">
        <v>1232</v>
      </c>
      <c r="UJS2187" s="594" t="s">
        <v>1232</v>
      </c>
      <c r="UJT2187" s="594" t="s">
        <v>1232</v>
      </c>
      <c r="UJU2187" s="594" t="s">
        <v>1232</v>
      </c>
      <c r="UJV2187" s="594" t="s">
        <v>1232</v>
      </c>
      <c r="UJW2187" s="594" t="s">
        <v>1232</v>
      </c>
      <c r="UJX2187" s="594" t="s">
        <v>1232</v>
      </c>
      <c r="UJY2187" s="594" t="s">
        <v>1232</v>
      </c>
      <c r="UJZ2187" s="594" t="s">
        <v>1232</v>
      </c>
      <c r="UKA2187" s="594" t="s">
        <v>1232</v>
      </c>
      <c r="UKB2187" s="594" t="s">
        <v>1232</v>
      </c>
      <c r="UKC2187" s="594" t="s">
        <v>1232</v>
      </c>
      <c r="UKD2187" s="594" t="s">
        <v>1232</v>
      </c>
      <c r="UKE2187" s="594" t="s">
        <v>1232</v>
      </c>
      <c r="UKF2187" s="594" t="s">
        <v>1232</v>
      </c>
      <c r="UKG2187" s="594" t="s">
        <v>1232</v>
      </c>
      <c r="UKH2187" s="594" t="s">
        <v>1232</v>
      </c>
      <c r="UKI2187" s="594" t="s">
        <v>1232</v>
      </c>
      <c r="UKJ2187" s="594" t="s">
        <v>1232</v>
      </c>
      <c r="UKK2187" s="594" t="s">
        <v>1232</v>
      </c>
      <c r="UKL2187" s="594" t="s">
        <v>1232</v>
      </c>
      <c r="UKM2187" s="594" t="s">
        <v>1232</v>
      </c>
      <c r="UKN2187" s="594" t="s">
        <v>1232</v>
      </c>
      <c r="UKO2187" s="594" t="s">
        <v>1232</v>
      </c>
      <c r="UKP2187" s="594" t="s">
        <v>1232</v>
      </c>
      <c r="UKQ2187" s="594" t="s">
        <v>1232</v>
      </c>
      <c r="UKR2187" s="594" t="s">
        <v>1232</v>
      </c>
      <c r="UKS2187" s="594" t="s">
        <v>1232</v>
      </c>
      <c r="UKT2187" s="594" t="s">
        <v>1232</v>
      </c>
      <c r="UKU2187" s="594" t="s">
        <v>1232</v>
      </c>
      <c r="UKV2187" s="594" t="s">
        <v>1232</v>
      </c>
      <c r="UKW2187" s="594" t="s">
        <v>1232</v>
      </c>
      <c r="UKX2187" s="594" t="s">
        <v>1232</v>
      </c>
      <c r="UKY2187" s="594" t="s">
        <v>1232</v>
      </c>
      <c r="UKZ2187" s="594" t="s">
        <v>1232</v>
      </c>
      <c r="ULA2187" s="594" t="s">
        <v>1232</v>
      </c>
      <c r="ULB2187" s="594" t="s">
        <v>1232</v>
      </c>
      <c r="ULC2187" s="594" t="s">
        <v>1232</v>
      </c>
      <c r="ULD2187" s="594" t="s">
        <v>1232</v>
      </c>
      <c r="ULE2187" s="594" t="s">
        <v>1232</v>
      </c>
      <c r="ULF2187" s="594" t="s">
        <v>1232</v>
      </c>
      <c r="ULG2187" s="594" t="s">
        <v>1232</v>
      </c>
      <c r="ULH2187" s="594" t="s">
        <v>1232</v>
      </c>
      <c r="ULI2187" s="594" t="s">
        <v>1232</v>
      </c>
      <c r="ULJ2187" s="594" t="s">
        <v>1232</v>
      </c>
      <c r="ULK2187" s="594" t="s">
        <v>1232</v>
      </c>
      <c r="ULL2187" s="594" t="s">
        <v>1232</v>
      </c>
      <c r="ULM2187" s="594" t="s">
        <v>1232</v>
      </c>
      <c r="ULN2187" s="594" t="s">
        <v>1232</v>
      </c>
      <c r="ULO2187" s="594" t="s">
        <v>1232</v>
      </c>
      <c r="ULP2187" s="594" t="s">
        <v>1232</v>
      </c>
      <c r="ULQ2187" s="594" t="s">
        <v>1232</v>
      </c>
      <c r="ULR2187" s="594" t="s">
        <v>1232</v>
      </c>
      <c r="ULS2187" s="594" t="s">
        <v>1232</v>
      </c>
      <c r="ULT2187" s="594" t="s">
        <v>1232</v>
      </c>
      <c r="ULU2187" s="594" t="s">
        <v>1232</v>
      </c>
      <c r="ULV2187" s="594" t="s">
        <v>1232</v>
      </c>
      <c r="ULW2187" s="594" t="s">
        <v>1232</v>
      </c>
      <c r="ULX2187" s="594" t="s">
        <v>1232</v>
      </c>
      <c r="ULY2187" s="594" t="s">
        <v>1232</v>
      </c>
      <c r="ULZ2187" s="594" t="s">
        <v>1232</v>
      </c>
      <c r="UMA2187" s="594" t="s">
        <v>1232</v>
      </c>
      <c r="UMB2187" s="594" t="s">
        <v>1232</v>
      </c>
      <c r="UMC2187" s="594" t="s">
        <v>1232</v>
      </c>
      <c r="UMD2187" s="594" t="s">
        <v>1232</v>
      </c>
      <c r="UME2187" s="594" t="s">
        <v>1232</v>
      </c>
      <c r="UMF2187" s="594" t="s">
        <v>1232</v>
      </c>
      <c r="UMG2187" s="594" t="s">
        <v>1232</v>
      </c>
      <c r="UMH2187" s="594" t="s">
        <v>1232</v>
      </c>
      <c r="UMI2187" s="594" t="s">
        <v>1232</v>
      </c>
      <c r="UMJ2187" s="594" t="s">
        <v>1232</v>
      </c>
      <c r="UMK2187" s="594" t="s">
        <v>1232</v>
      </c>
      <c r="UML2187" s="594" t="s">
        <v>1232</v>
      </c>
      <c r="UMM2187" s="594" t="s">
        <v>1232</v>
      </c>
      <c r="UMN2187" s="594" t="s">
        <v>1232</v>
      </c>
      <c r="UMO2187" s="594" t="s">
        <v>1232</v>
      </c>
      <c r="UMP2187" s="594" t="s">
        <v>1232</v>
      </c>
      <c r="UMQ2187" s="594" t="s">
        <v>1232</v>
      </c>
      <c r="UMR2187" s="594" t="s">
        <v>1232</v>
      </c>
      <c r="UMS2187" s="594" t="s">
        <v>1232</v>
      </c>
      <c r="UMT2187" s="594" t="s">
        <v>1232</v>
      </c>
      <c r="UMU2187" s="594" t="s">
        <v>1232</v>
      </c>
      <c r="UMV2187" s="594" t="s">
        <v>1232</v>
      </c>
      <c r="UMW2187" s="594" t="s">
        <v>1232</v>
      </c>
      <c r="UMX2187" s="594" t="s">
        <v>1232</v>
      </c>
      <c r="UMY2187" s="594" t="s">
        <v>1232</v>
      </c>
      <c r="UMZ2187" s="594" t="s">
        <v>1232</v>
      </c>
      <c r="UNA2187" s="594" t="s">
        <v>1232</v>
      </c>
      <c r="UNB2187" s="594" t="s">
        <v>1232</v>
      </c>
      <c r="UNC2187" s="594" t="s">
        <v>1232</v>
      </c>
      <c r="UND2187" s="594" t="s">
        <v>1232</v>
      </c>
      <c r="UNE2187" s="594" t="s">
        <v>1232</v>
      </c>
      <c r="UNF2187" s="594" t="s">
        <v>1232</v>
      </c>
      <c r="UNG2187" s="594" t="s">
        <v>1232</v>
      </c>
      <c r="UNH2187" s="594" t="s">
        <v>1232</v>
      </c>
      <c r="UNI2187" s="594" t="s">
        <v>1232</v>
      </c>
      <c r="UNJ2187" s="594" t="s">
        <v>1232</v>
      </c>
      <c r="UNK2187" s="594" t="s">
        <v>1232</v>
      </c>
      <c r="UNL2187" s="594" t="s">
        <v>1232</v>
      </c>
      <c r="UNM2187" s="594" t="s">
        <v>1232</v>
      </c>
      <c r="UNN2187" s="594" t="s">
        <v>1232</v>
      </c>
      <c r="UNO2187" s="594" t="s">
        <v>1232</v>
      </c>
      <c r="UNP2187" s="594" t="s">
        <v>1232</v>
      </c>
      <c r="UNQ2187" s="594" t="s">
        <v>1232</v>
      </c>
      <c r="UNR2187" s="594" t="s">
        <v>1232</v>
      </c>
      <c r="UNS2187" s="594" t="s">
        <v>1232</v>
      </c>
      <c r="UNT2187" s="594" t="s">
        <v>1232</v>
      </c>
      <c r="UNU2187" s="594" t="s">
        <v>1232</v>
      </c>
      <c r="UNV2187" s="594" t="s">
        <v>1232</v>
      </c>
      <c r="UNW2187" s="594" t="s">
        <v>1232</v>
      </c>
      <c r="UNX2187" s="594" t="s">
        <v>1232</v>
      </c>
      <c r="UNY2187" s="594" t="s">
        <v>1232</v>
      </c>
      <c r="UNZ2187" s="594" t="s">
        <v>1232</v>
      </c>
      <c r="UOA2187" s="594" t="s">
        <v>1232</v>
      </c>
      <c r="UOB2187" s="594" t="s">
        <v>1232</v>
      </c>
      <c r="UOC2187" s="594" t="s">
        <v>1232</v>
      </c>
      <c r="UOD2187" s="594" t="s">
        <v>1232</v>
      </c>
      <c r="UOE2187" s="594" t="s">
        <v>1232</v>
      </c>
      <c r="UOF2187" s="594" t="s">
        <v>1232</v>
      </c>
      <c r="UOG2187" s="594" t="s">
        <v>1232</v>
      </c>
      <c r="UOH2187" s="594" t="s">
        <v>1232</v>
      </c>
      <c r="UOI2187" s="594" t="s">
        <v>1232</v>
      </c>
      <c r="UOJ2187" s="594" t="s">
        <v>1232</v>
      </c>
      <c r="UOK2187" s="594" t="s">
        <v>1232</v>
      </c>
      <c r="UOL2187" s="594" t="s">
        <v>1232</v>
      </c>
      <c r="UOM2187" s="594" t="s">
        <v>1232</v>
      </c>
      <c r="UON2187" s="594" t="s">
        <v>1232</v>
      </c>
      <c r="UOO2187" s="594" t="s">
        <v>1232</v>
      </c>
      <c r="UOP2187" s="594" t="s">
        <v>1232</v>
      </c>
      <c r="UOQ2187" s="594" t="s">
        <v>1232</v>
      </c>
      <c r="UOR2187" s="594" t="s">
        <v>1232</v>
      </c>
      <c r="UOS2187" s="594" t="s">
        <v>1232</v>
      </c>
      <c r="UOT2187" s="594" t="s">
        <v>1232</v>
      </c>
      <c r="UOU2187" s="594" t="s">
        <v>1232</v>
      </c>
      <c r="UOV2187" s="594" t="s">
        <v>1232</v>
      </c>
      <c r="UOW2187" s="594" t="s">
        <v>1232</v>
      </c>
      <c r="UOX2187" s="594" t="s">
        <v>1232</v>
      </c>
      <c r="UOY2187" s="594" t="s">
        <v>1232</v>
      </c>
      <c r="UOZ2187" s="594" t="s">
        <v>1232</v>
      </c>
      <c r="UPA2187" s="594" t="s">
        <v>1232</v>
      </c>
      <c r="UPB2187" s="594" t="s">
        <v>1232</v>
      </c>
      <c r="UPC2187" s="594" t="s">
        <v>1232</v>
      </c>
      <c r="UPD2187" s="594" t="s">
        <v>1232</v>
      </c>
      <c r="UPE2187" s="594" t="s">
        <v>1232</v>
      </c>
      <c r="UPF2187" s="594" t="s">
        <v>1232</v>
      </c>
      <c r="UPG2187" s="594" t="s">
        <v>1232</v>
      </c>
      <c r="UPH2187" s="594" t="s">
        <v>1232</v>
      </c>
      <c r="UPI2187" s="594" t="s">
        <v>1232</v>
      </c>
      <c r="UPJ2187" s="594" t="s">
        <v>1232</v>
      </c>
      <c r="UPK2187" s="594" t="s">
        <v>1232</v>
      </c>
      <c r="UPL2187" s="594" t="s">
        <v>1232</v>
      </c>
      <c r="UPM2187" s="594" t="s">
        <v>1232</v>
      </c>
      <c r="UPN2187" s="594" t="s">
        <v>1232</v>
      </c>
      <c r="UPO2187" s="594" t="s">
        <v>1232</v>
      </c>
      <c r="UPP2187" s="594" t="s">
        <v>1232</v>
      </c>
      <c r="UPQ2187" s="594" t="s">
        <v>1232</v>
      </c>
      <c r="UPR2187" s="594" t="s">
        <v>1232</v>
      </c>
      <c r="UPS2187" s="594" t="s">
        <v>1232</v>
      </c>
      <c r="UPT2187" s="594" t="s">
        <v>1232</v>
      </c>
      <c r="UPU2187" s="594" t="s">
        <v>1232</v>
      </c>
      <c r="UPV2187" s="594" t="s">
        <v>1232</v>
      </c>
      <c r="UPW2187" s="594" t="s">
        <v>1232</v>
      </c>
      <c r="UPX2187" s="594" t="s">
        <v>1232</v>
      </c>
      <c r="UPY2187" s="594" t="s">
        <v>1232</v>
      </c>
      <c r="UPZ2187" s="594" t="s">
        <v>1232</v>
      </c>
      <c r="UQA2187" s="594" t="s">
        <v>1232</v>
      </c>
      <c r="UQB2187" s="594" t="s">
        <v>1232</v>
      </c>
      <c r="UQC2187" s="594" t="s">
        <v>1232</v>
      </c>
      <c r="UQD2187" s="594" t="s">
        <v>1232</v>
      </c>
      <c r="UQE2187" s="594" t="s">
        <v>1232</v>
      </c>
      <c r="UQF2187" s="594" t="s">
        <v>1232</v>
      </c>
      <c r="UQG2187" s="594" t="s">
        <v>1232</v>
      </c>
      <c r="UQH2187" s="594" t="s">
        <v>1232</v>
      </c>
      <c r="UQI2187" s="594" t="s">
        <v>1232</v>
      </c>
      <c r="UQJ2187" s="594" t="s">
        <v>1232</v>
      </c>
      <c r="UQK2187" s="594" t="s">
        <v>1232</v>
      </c>
      <c r="UQL2187" s="594" t="s">
        <v>1232</v>
      </c>
      <c r="UQM2187" s="594" t="s">
        <v>1232</v>
      </c>
      <c r="UQN2187" s="594" t="s">
        <v>1232</v>
      </c>
      <c r="UQO2187" s="594" t="s">
        <v>1232</v>
      </c>
      <c r="UQP2187" s="594" t="s">
        <v>1232</v>
      </c>
      <c r="UQQ2187" s="594" t="s">
        <v>1232</v>
      </c>
      <c r="UQR2187" s="594" t="s">
        <v>1232</v>
      </c>
      <c r="UQS2187" s="594" t="s">
        <v>1232</v>
      </c>
      <c r="UQT2187" s="594" t="s">
        <v>1232</v>
      </c>
      <c r="UQU2187" s="594" t="s">
        <v>1232</v>
      </c>
      <c r="UQV2187" s="594" t="s">
        <v>1232</v>
      </c>
      <c r="UQW2187" s="594" t="s">
        <v>1232</v>
      </c>
      <c r="UQX2187" s="594" t="s">
        <v>1232</v>
      </c>
      <c r="UQY2187" s="594" t="s">
        <v>1232</v>
      </c>
      <c r="UQZ2187" s="594" t="s">
        <v>1232</v>
      </c>
      <c r="URA2187" s="594" t="s">
        <v>1232</v>
      </c>
      <c r="URB2187" s="594" t="s">
        <v>1232</v>
      </c>
      <c r="URC2187" s="594" t="s">
        <v>1232</v>
      </c>
      <c r="URD2187" s="594" t="s">
        <v>1232</v>
      </c>
      <c r="URE2187" s="594" t="s">
        <v>1232</v>
      </c>
      <c r="URF2187" s="594" t="s">
        <v>1232</v>
      </c>
      <c r="URG2187" s="594" t="s">
        <v>1232</v>
      </c>
      <c r="URH2187" s="594" t="s">
        <v>1232</v>
      </c>
      <c r="URI2187" s="594" t="s">
        <v>1232</v>
      </c>
      <c r="URJ2187" s="594" t="s">
        <v>1232</v>
      </c>
      <c r="URK2187" s="594" t="s">
        <v>1232</v>
      </c>
      <c r="URL2187" s="594" t="s">
        <v>1232</v>
      </c>
      <c r="URM2187" s="594" t="s">
        <v>1232</v>
      </c>
      <c r="URN2187" s="594" t="s">
        <v>1232</v>
      </c>
      <c r="URO2187" s="594" t="s">
        <v>1232</v>
      </c>
      <c r="URP2187" s="594" t="s">
        <v>1232</v>
      </c>
      <c r="URQ2187" s="594" t="s">
        <v>1232</v>
      </c>
      <c r="URR2187" s="594" t="s">
        <v>1232</v>
      </c>
      <c r="URS2187" s="594" t="s">
        <v>1232</v>
      </c>
      <c r="URT2187" s="594" t="s">
        <v>1232</v>
      </c>
      <c r="URU2187" s="594" t="s">
        <v>1232</v>
      </c>
      <c r="URV2187" s="594" t="s">
        <v>1232</v>
      </c>
      <c r="URW2187" s="594" t="s">
        <v>1232</v>
      </c>
      <c r="URX2187" s="594" t="s">
        <v>1232</v>
      </c>
      <c r="URY2187" s="594" t="s">
        <v>1232</v>
      </c>
      <c r="URZ2187" s="594" t="s">
        <v>1232</v>
      </c>
      <c r="USA2187" s="594" t="s">
        <v>1232</v>
      </c>
      <c r="USB2187" s="594" t="s">
        <v>1232</v>
      </c>
      <c r="USC2187" s="594" t="s">
        <v>1232</v>
      </c>
      <c r="USD2187" s="594" t="s">
        <v>1232</v>
      </c>
      <c r="USE2187" s="594" t="s">
        <v>1232</v>
      </c>
      <c r="USF2187" s="594" t="s">
        <v>1232</v>
      </c>
      <c r="USG2187" s="594" t="s">
        <v>1232</v>
      </c>
      <c r="USH2187" s="594" t="s">
        <v>1232</v>
      </c>
      <c r="USI2187" s="594" t="s">
        <v>1232</v>
      </c>
      <c r="USJ2187" s="594" t="s">
        <v>1232</v>
      </c>
      <c r="USK2187" s="594" t="s">
        <v>1232</v>
      </c>
      <c r="USL2187" s="594" t="s">
        <v>1232</v>
      </c>
      <c r="USM2187" s="594" t="s">
        <v>1232</v>
      </c>
      <c r="USN2187" s="594" t="s">
        <v>1232</v>
      </c>
      <c r="USO2187" s="594" t="s">
        <v>1232</v>
      </c>
      <c r="USP2187" s="594" t="s">
        <v>1232</v>
      </c>
      <c r="USQ2187" s="594" t="s">
        <v>1232</v>
      </c>
      <c r="USR2187" s="594" t="s">
        <v>1232</v>
      </c>
      <c r="USS2187" s="594" t="s">
        <v>1232</v>
      </c>
      <c r="UST2187" s="594" t="s">
        <v>1232</v>
      </c>
      <c r="USU2187" s="594" t="s">
        <v>1232</v>
      </c>
      <c r="USV2187" s="594" t="s">
        <v>1232</v>
      </c>
      <c r="USW2187" s="594" t="s">
        <v>1232</v>
      </c>
      <c r="USX2187" s="594" t="s">
        <v>1232</v>
      </c>
      <c r="USY2187" s="594" t="s">
        <v>1232</v>
      </c>
      <c r="USZ2187" s="594" t="s">
        <v>1232</v>
      </c>
      <c r="UTA2187" s="594" t="s">
        <v>1232</v>
      </c>
      <c r="UTB2187" s="594" t="s">
        <v>1232</v>
      </c>
      <c r="UTC2187" s="594" t="s">
        <v>1232</v>
      </c>
      <c r="UTD2187" s="594" t="s">
        <v>1232</v>
      </c>
      <c r="UTE2187" s="594" t="s">
        <v>1232</v>
      </c>
      <c r="UTF2187" s="594" t="s">
        <v>1232</v>
      </c>
      <c r="UTG2187" s="594" t="s">
        <v>1232</v>
      </c>
      <c r="UTH2187" s="594" t="s">
        <v>1232</v>
      </c>
      <c r="UTI2187" s="594" t="s">
        <v>1232</v>
      </c>
      <c r="UTJ2187" s="594" t="s">
        <v>1232</v>
      </c>
      <c r="UTK2187" s="594" t="s">
        <v>1232</v>
      </c>
      <c r="UTL2187" s="594" t="s">
        <v>1232</v>
      </c>
      <c r="UTM2187" s="594" t="s">
        <v>1232</v>
      </c>
      <c r="UTN2187" s="594" t="s">
        <v>1232</v>
      </c>
      <c r="UTO2187" s="594" t="s">
        <v>1232</v>
      </c>
      <c r="UTP2187" s="594" t="s">
        <v>1232</v>
      </c>
      <c r="UTQ2187" s="594" t="s">
        <v>1232</v>
      </c>
      <c r="UTR2187" s="594" t="s">
        <v>1232</v>
      </c>
      <c r="UTS2187" s="594" t="s">
        <v>1232</v>
      </c>
      <c r="UTT2187" s="594" t="s">
        <v>1232</v>
      </c>
      <c r="UTU2187" s="594" t="s">
        <v>1232</v>
      </c>
      <c r="UTV2187" s="594" t="s">
        <v>1232</v>
      </c>
      <c r="UTW2187" s="594" t="s">
        <v>1232</v>
      </c>
      <c r="UTX2187" s="594" t="s">
        <v>1232</v>
      </c>
      <c r="UTY2187" s="594" t="s">
        <v>1232</v>
      </c>
      <c r="UTZ2187" s="594" t="s">
        <v>1232</v>
      </c>
      <c r="UUA2187" s="594" t="s">
        <v>1232</v>
      </c>
      <c r="UUB2187" s="594" t="s">
        <v>1232</v>
      </c>
      <c r="UUC2187" s="594" t="s">
        <v>1232</v>
      </c>
      <c r="UUD2187" s="594" t="s">
        <v>1232</v>
      </c>
      <c r="UUE2187" s="594" t="s">
        <v>1232</v>
      </c>
      <c r="UUF2187" s="594" t="s">
        <v>1232</v>
      </c>
      <c r="UUG2187" s="594" t="s">
        <v>1232</v>
      </c>
      <c r="UUH2187" s="594" t="s">
        <v>1232</v>
      </c>
      <c r="UUI2187" s="594" t="s">
        <v>1232</v>
      </c>
      <c r="UUJ2187" s="594" t="s">
        <v>1232</v>
      </c>
      <c r="UUK2187" s="594" t="s">
        <v>1232</v>
      </c>
      <c r="UUL2187" s="594" t="s">
        <v>1232</v>
      </c>
      <c r="UUM2187" s="594" t="s">
        <v>1232</v>
      </c>
      <c r="UUN2187" s="594" t="s">
        <v>1232</v>
      </c>
      <c r="UUO2187" s="594" t="s">
        <v>1232</v>
      </c>
      <c r="UUP2187" s="594" t="s">
        <v>1232</v>
      </c>
      <c r="UUQ2187" s="594" t="s">
        <v>1232</v>
      </c>
      <c r="UUR2187" s="594" t="s">
        <v>1232</v>
      </c>
      <c r="UUS2187" s="594" t="s">
        <v>1232</v>
      </c>
      <c r="UUT2187" s="594" t="s">
        <v>1232</v>
      </c>
      <c r="UUU2187" s="594" t="s">
        <v>1232</v>
      </c>
      <c r="UUV2187" s="594" t="s">
        <v>1232</v>
      </c>
      <c r="UUW2187" s="594" t="s">
        <v>1232</v>
      </c>
      <c r="UUX2187" s="594" t="s">
        <v>1232</v>
      </c>
      <c r="UUY2187" s="594" t="s">
        <v>1232</v>
      </c>
      <c r="UUZ2187" s="594" t="s">
        <v>1232</v>
      </c>
      <c r="UVA2187" s="594" t="s">
        <v>1232</v>
      </c>
      <c r="UVB2187" s="594" t="s">
        <v>1232</v>
      </c>
      <c r="UVC2187" s="594" t="s">
        <v>1232</v>
      </c>
      <c r="UVD2187" s="594" t="s">
        <v>1232</v>
      </c>
      <c r="UVE2187" s="594" t="s">
        <v>1232</v>
      </c>
      <c r="UVF2187" s="594" t="s">
        <v>1232</v>
      </c>
      <c r="UVG2187" s="594" t="s">
        <v>1232</v>
      </c>
      <c r="UVH2187" s="594" t="s">
        <v>1232</v>
      </c>
      <c r="UVI2187" s="594" t="s">
        <v>1232</v>
      </c>
      <c r="UVJ2187" s="594" t="s">
        <v>1232</v>
      </c>
      <c r="UVK2187" s="594" t="s">
        <v>1232</v>
      </c>
      <c r="UVL2187" s="594" t="s">
        <v>1232</v>
      </c>
      <c r="UVM2187" s="594" t="s">
        <v>1232</v>
      </c>
      <c r="UVN2187" s="594" t="s">
        <v>1232</v>
      </c>
      <c r="UVO2187" s="594" t="s">
        <v>1232</v>
      </c>
      <c r="UVP2187" s="594" t="s">
        <v>1232</v>
      </c>
      <c r="UVQ2187" s="594" t="s">
        <v>1232</v>
      </c>
      <c r="UVR2187" s="594" t="s">
        <v>1232</v>
      </c>
      <c r="UVS2187" s="594" t="s">
        <v>1232</v>
      </c>
      <c r="UVT2187" s="594" t="s">
        <v>1232</v>
      </c>
      <c r="UVU2187" s="594" t="s">
        <v>1232</v>
      </c>
      <c r="UVV2187" s="594" t="s">
        <v>1232</v>
      </c>
      <c r="UVW2187" s="594" t="s">
        <v>1232</v>
      </c>
      <c r="UVX2187" s="594" t="s">
        <v>1232</v>
      </c>
      <c r="UVY2187" s="594" t="s">
        <v>1232</v>
      </c>
      <c r="UVZ2187" s="594" t="s">
        <v>1232</v>
      </c>
      <c r="UWA2187" s="594" t="s">
        <v>1232</v>
      </c>
      <c r="UWB2187" s="594" t="s">
        <v>1232</v>
      </c>
      <c r="UWC2187" s="594" t="s">
        <v>1232</v>
      </c>
      <c r="UWD2187" s="594" t="s">
        <v>1232</v>
      </c>
      <c r="UWE2187" s="594" t="s">
        <v>1232</v>
      </c>
      <c r="UWF2187" s="594" t="s">
        <v>1232</v>
      </c>
      <c r="UWG2187" s="594" t="s">
        <v>1232</v>
      </c>
      <c r="UWH2187" s="594" t="s">
        <v>1232</v>
      </c>
      <c r="UWI2187" s="594" t="s">
        <v>1232</v>
      </c>
      <c r="UWJ2187" s="594" t="s">
        <v>1232</v>
      </c>
      <c r="UWK2187" s="594" t="s">
        <v>1232</v>
      </c>
      <c r="UWL2187" s="594" t="s">
        <v>1232</v>
      </c>
      <c r="UWM2187" s="594" t="s">
        <v>1232</v>
      </c>
      <c r="UWN2187" s="594" t="s">
        <v>1232</v>
      </c>
      <c r="UWO2187" s="594" t="s">
        <v>1232</v>
      </c>
      <c r="UWP2187" s="594" t="s">
        <v>1232</v>
      </c>
      <c r="UWQ2187" s="594" t="s">
        <v>1232</v>
      </c>
      <c r="UWR2187" s="594" t="s">
        <v>1232</v>
      </c>
      <c r="UWS2187" s="594" t="s">
        <v>1232</v>
      </c>
      <c r="UWT2187" s="594" t="s">
        <v>1232</v>
      </c>
      <c r="UWU2187" s="594" t="s">
        <v>1232</v>
      </c>
      <c r="UWV2187" s="594" t="s">
        <v>1232</v>
      </c>
      <c r="UWW2187" s="594" t="s">
        <v>1232</v>
      </c>
      <c r="UWX2187" s="594" t="s">
        <v>1232</v>
      </c>
      <c r="UWY2187" s="594" t="s">
        <v>1232</v>
      </c>
      <c r="UWZ2187" s="594" t="s">
        <v>1232</v>
      </c>
      <c r="UXA2187" s="594" t="s">
        <v>1232</v>
      </c>
      <c r="UXB2187" s="594" t="s">
        <v>1232</v>
      </c>
      <c r="UXC2187" s="594" t="s">
        <v>1232</v>
      </c>
      <c r="UXD2187" s="594" t="s">
        <v>1232</v>
      </c>
      <c r="UXE2187" s="594" t="s">
        <v>1232</v>
      </c>
      <c r="UXF2187" s="594" t="s">
        <v>1232</v>
      </c>
      <c r="UXG2187" s="594" t="s">
        <v>1232</v>
      </c>
      <c r="UXH2187" s="594" t="s">
        <v>1232</v>
      </c>
      <c r="UXI2187" s="594" t="s">
        <v>1232</v>
      </c>
      <c r="UXJ2187" s="594" t="s">
        <v>1232</v>
      </c>
      <c r="UXK2187" s="594" t="s">
        <v>1232</v>
      </c>
      <c r="UXL2187" s="594" t="s">
        <v>1232</v>
      </c>
      <c r="UXM2187" s="594" t="s">
        <v>1232</v>
      </c>
      <c r="UXN2187" s="594" t="s">
        <v>1232</v>
      </c>
      <c r="UXO2187" s="594" t="s">
        <v>1232</v>
      </c>
      <c r="UXP2187" s="594" t="s">
        <v>1232</v>
      </c>
      <c r="UXQ2187" s="594" t="s">
        <v>1232</v>
      </c>
      <c r="UXR2187" s="594" t="s">
        <v>1232</v>
      </c>
      <c r="UXS2187" s="594" t="s">
        <v>1232</v>
      </c>
      <c r="UXT2187" s="594" t="s">
        <v>1232</v>
      </c>
      <c r="UXU2187" s="594" t="s">
        <v>1232</v>
      </c>
      <c r="UXV2187" s="594" t="s">
        <v>1232</v>
      </c>
      <c r="UXW2187" s="594" t="s">
        <v>1232</v>
      </c>
      <c r="UXX2187" s="594" t="s">
        <v>1232</v>
      </c>
      <c r="UXY2187" s="594" t="s">
        <v>1232</v>
      </c>
      <c r="UXZ2187" s="594" t="s">
        <v>1232</v>
      </c>
      <c r="UYA2187" s="594" t="s">
        <v>1232</v>
      </c>
      <c r="UYB2187" s="594" t="s">
        <v>1232</v>
      </c>
      <c r="UYC2187" s="594" t="s">
        <v>1232</v>
      </c>
      <c r="UYD2187" s="594" t="s">
        <v>1232</v>
      </c>
      <c r="UYE2187" s="594" t="s">
        <v>1232</v>
      </c>
      <c r="UYF2187" s="594" t="s">
        <v>1232</v>
      </c>
      <c r="UYG2187" s="594" t="s">
        <v>1232</v>
      </c>
      <c r="UYH2187" s="594" t="s">
        <v>1232</v>
      </c>
      <c r="UYI2187" s="594" t="s">
        <v>1232</v>
      </c>
      <c r="UYJ2187" s="594" t="s">
        <v>1232</v>
      </c>
      <c r="UYK2187" s="594" t="s">
        <v>1232</v>
      </c>
      <c r="UYL2187" s="594" t="s">
        <v>1232</v>
      </c>
      <c r="UYM2187" s="594" t="s">
        <v>1232</v>
      </c>
      <c r="UYN2187" s="594" t="s">
        <v>1232</v>
      </c>
      <c r="UYO2187" s="594" t="s">
        <v>1232</v>
      </c>
      <c r="UYP2187" s="594" t="s">
        <v>1232</v>
      </c>
      <c r="UYQ2187" s="594" t="s">
        <v>1232</v>
      </c>
      <c r="UYR2187" s="594" t="s">
        <v>1232</v>
      </c>
      <c r="UYS2187" s="594" t="s">
        <v>1232</v>
      </c>
      <c r="UYT2187" s="594" t="s">
        <v>1232</v>
      </c>
      <c r="UYU2187" s="594" t="s">
        <v>1232</v>
      </c>
      <c r="UYV2187" s="594" t="s">
        <v>1232</v>
      </c>
      <c r="UYW2187" s="594" t="s">
        <v>1232</v>
      </c>
      <c r="UYX2187" s="594" t="s">
        <v>1232</v>
      </c>
      <c r="UYY2187" s="594" t="s">
        <v>1232</v>
      </c>
      <c r="UYZ2187" s="594" t="s">
        <v>1232</v>
      </c>
      <c r="UZA2187" s="594" t="s">
        <v>1232</v>
      </c>
      <c r="UZB2187" s="594" t="s">
        <v>1232</v>
      </c>
      <c r="UZC2187" s="594" t="s">
        <v>1232</v>
      </c>
      <c r="UZD2187" s="594" t="s">
        <v>1232</v>
      </c>
      <c r="UZE2187" s="594" t="s">
        <v>1232</v>
      </c>
      <c r="UZF2187" s="594" t="s">
        <v>1232</v>
      </c>
      <c r="UZG2187" s="594" t="s">
        <v>1232</v>
      </c>
      <c r="UZH2187" s="594" t="s">
        <v>1232</v>
      </c>
      <c r="UZI2187" s="594" t="s">
        <v>1232</v>
      </c>
      <c r="UZJ2187" s="594" t="s">
        <v>1232</v>
      </c>
      <c r="UZK2187" s="594" t="s">
        <v>1232</v>
      </c>
      <c r="UZL2187" s="594" t="s">
        <v>1232</v>
      </c>
      <c r="UZM2187" s="594" t="s">
        <v>1232</v>
      </c>
      <c r="UZN2187" s="594" t="s">
        <v>1232</v>
      </c>
      <c r="UZO2187" s="594" t="s">
        <v>1232</v>
      </c>
      <c r="UZP2187" s="594" t="s">
        <v>1232</v>
      </c>
      <c r="UZQ2187" s="594" t="s">
        <v>1232</v>
      </c>
      <c r="UZR2187" s="594" t="s">
        <v>1232</v>
      </c>
      <c r="UZS2187" s="594" t="s">
        <v>1232</v>
      </c>
      <c r="UZT2187" s="594" t="s">
        <v>1232</v>
      </c>
      <c r="UZU2187" s="594" t="s">
        <v>1232</v>
      </c>
      <c r="UZV2187" s="594" t="s">
        <v>1232</v>
      </c>
      <c r="UZW2187" s="594" t="s">
        <v>1232</v>
      </c>
      <c r="UZX2187" s="594" t="s">
        <v>1232</v>
      </c>
      <c r="UZY2187" s="594" t="s">
        <v>1232</v>
      </c>
      <c r="UZZ2187" s="594" t="s">
        <v>1232</v>
      </c>
      <c r="VAA2187" s="594" t="s">
        <v>1232</v>
      </c>
      <c r="VAB2187" s="594" t="s">
        <v>1232</v>
      </c>
      <c r="VAC2187" s="594" t="s">
        <v>1232</v>
      </c>
      <c r="VAD2187" s="594" t="s">
        <v>1232</v>
      </c>
      <c r="VAE2187" s="594" t="s">
        <v>1232</v>
      </c>
      <c r="VAF2187" s="594" t="s">
        <v>1232</v>
      </c>
      <c r="VAG2187" s="594" t="s">
        <v>1232</v>
      </c>
      <c r="VAH2187" s="594" t="s">
        <v>1232</v>
      </c>
      <c r="VAI2187" s="594" t="s">
        <v>1232</v>
      </c>
      <c r="VAJ2187" s="594" t="s">
        <v>1232</v>
      </c>
      <c r="VAK2187" s="594" t="s">
        <v>1232</v>
      </c>
      <c r="VAL2187" s="594" t="s">
        <v>1232</v>
      </c>
      <c r="VAM2187" s="594" t="s">
        <v>1232</v>
      </c>
      <c r="VAN2187" s="594" t="s">
        <v>1232</v>
      </c>
      <c r="VAO2187" s="594" t="s">
        <v>1232</v>
      </c>
      <c r="VAP2187" s="594" t="s">
        <v>1232</v>
      </c>
      <c r="VAQ2187" s="594" t="s">
        <v>1232</v>
      </c>
      <c r="VAR2187" s="594" t="s">
        <v>1232</v>
      </c>
      <c r="VAS2187" s="594" t="s">
        <v>1232</v>
      </c>
      <c r="VAT2187" s="594" t="s">
        <v>1232</v>
      </c>
      <c r="VAU2187" s="594" t="s">
        <v>1232</v>
      </c>
      <c r="VAV2187" s="594" t="s">
        <v>1232</v>
      </c>
      <c r="VAW2187" s="594" t="s">
        <v>1232</v>
      </c>
      <c r="VAX2187" s="594" t="s">
        <v>1232</v>
      </c>
      <c r="VAY2187" s="594" t="s">
        <v>1232</v>
      </c>
      <c r="VAZ2187" s="594" t="s">
        <v>1232</v>
      </c>
      <c r="VBA2187" s="594" t="s">
        <v>1232</v>
      </c>
      <c r="VBB2187" s="594" t="s">
        <v>1232</v>
      </c>
      <c r="VBC2187" s="594" t="s">
        <v>1232</v>
      </c>
      <c r="VBD2187" s="594" t="s">
        <v>1232</v>
      </c>
      <c r="VBE2187" s="594" t="s">
        <v>1232</v>
      </c>
      <c r="VBF2187" s="594" t="s">
        <v>1232</v>
      </c>
      <c r="VBG2187" s="594" t="s">
        <v>1232</v>
      </c>
      <c r="VBH2187" s="594" t="s">
        <v>1232</v>
      </c>
      <c r="VBI2187" s="594" t="s">
        <v>1232</v>
      </c>
      <c r="VBJ2187" s="594" t="s">
        <v>1232</v>
      </c>
      <c r="VBK2187" s="594" t="s">
        <v>1232</v>
      </c>
      <c r="VBL2187" s="594" t="s">
        <v>1232</v>
      </c>
      <c r="VBM2187" s="594" t="s">
        <v>1232</v>
      </c>
      <c r="VBN2187" s="594" t="s">
        <v>1232</v>
      </c>
      <c r="VBO2187" s="594" t="s">
        <v>1232</v>
      </c>
      <c r="VBP2187" s="594" t="s">
        <v>1232</v>
      </c>
      <c r="VBQ2187" s="594" t="s">
        <v>1232</v>
      </c>
      <c r="VBR2187" s="594" t="s">
        <v>1232</v>
      </c>
      <c r="VBS2187" s="594" t="s">
        <v>1232</v>
      </c>
      <c r="VBT2187" s="594" t="s">
        <v>1232</v>
      </c>
      <c r="VBU2187" s="594" t="s">
        <v>1232</v>
      </c>
      <c r="VBV2187" s="594" t="s">
        <v>1232</v>
      </c>
      <c r="VBW2187" s="594" t="s">
        <v>1232</v>
      </c>
      <c r="VBX2187" s="594" t="s">
        <v>1232</v>
      </c>
      <c r="VBY2187" s="594" t="s">
        <v>1232</v>
      </c>
      <c r="VBZ2187" s="594" t="s">
        <v>1232</v>
      </c>
      <c r="VCA2187" s="594" t="s">
        <v>1232</v>
      </c>
      <c r="VCB2187" s="594" t="s">
        <v>1232</v>
      </c>
      <c r="VCC2187" s="594" t="s">
        <v>1232</v>
      </c>
      <c r="VCD2187" s="594" t="s">
        <v>1232</v>
      </c>
      <c r="VCE2187" s="594" t="s">
        <v>1232</v>
      </c>
      <c r="VCF2187" s="594" t="s">
        <v>1232</v>
      </c>
      <c r="VCG2187" s="594" t="s">
        <v>1232</v>
      </c>
      <c r="VCH2187" s="594" t="s">
        <v>1232</v>
      </c>
      <c r="VCI2187" s="594" t="s">
        <v>1232</v>
      </c>
      <c r="VCJ2187" s="594" t="s">
        <v>1232</v>
      </c>
      <c r="VCK2187" s="594" t="s">
        <v>1232</v>
      </c>
      <c r="VCL2187" s="594" t="s">
        <v>1232</v>
      </c>
      <c r="VCM2187" s="594" t="s">
        <v>1232</v>
      </c>
      <c r="VCN2187" s="594" t="s">
        <v>1232</v>
      </c>
      <c r="VCO2187" s="594" t="s">
        <v>1232</v>
      </c>
      <c r="VCP2187" s="594" t="s">
        <v>1232</v>
      </c>
      <c r="VCQ2187" s="594" t="s">
        <v>1232</v>
      </c>
      <c r="VCR2187" s="594" t="s">
        <v>1232</v>
      </c>
      <c r="VCS2187" s="594" t="s">
        <v>1232</v>
      </c>
      <c r="VCT2187" s="594" t="s">
        <v>1232</v>
      </c>
      <c r="VCU2187" s="594" t="s">
        <v>1232</v>
      </c>
      <c r="VCV2187" s="594" t="s">
        <v>1232</v>
      </c>
      <c r="VCW2187" s="594" t="s">
        <v>1232</v>
      </c>
      <c r="VCX2187" s="594" t="s">
        <v>1232</v>
      </c>
      <c r="VCY2187" s="594" t="s">
        <v>1232</v>
      </c>
      <c r="VCZ2187" s="594" t="s">
        <v>1232</v>
      </c>
      <c r="VDA2187" s="594" t="s">
        <v>1232</v>
      </c>
      <c r="VDB2187" s="594" t="s">
        <v>1232</v>
      </c>
      <c r="VDC2187" s="594" t="s">
        <v>1232</v>
      </c>
      <c r="VDD2187" s="594" t="s">
        <v>1232</v>
      </c>
      <c r="VDE2187" s="594" t="s">
        <v>1232</v>
      </c>
      <c r="VDF2187" s="594" t="s">
        <v>1232</v>
      </c>
      <c r="VDG2187" s="594" t="s">
        <v>1232</v>
      </c>
      <c r="VDH2187" s="594" t="s">
        <v>1232</v>
      </c>
      <c r="VDI2187" s="594" t="s">
        <v>1232</v>
      </c>
      <c r="VDJ2187" s="594" t="s">
        <v>1232</v>
      </c>
      <c r="VDK2187" s="594" t="s">
        <v>1232</v>
      </c>
      <c r="VDL2187" s="594" t="s">
        <v>1232</v>
      </c>
      <c r="VDM2187" s="594" t="s">
        <v>1232</v>
      </c>
      <c r="VDN2187" s="594" t="s">
        <v>1232</v>
      </c>
      <c r="VDO2187" s="594" t="s">
        <v>1232</v>
      </c>
      <c r="VDP2187" s="594" t="s">
        <v>1232</v>
      </c>
      <c r="VDQ2187" s="594" t="s">
        <v>1232</v>
      </c>
      <c r="VDR2187" s="594" t="s">
        <v>1232</v>
      </c>
      <c r="VDS2187" s="594" t="s">
        <v>1232</v>
      </c>
      <c r="VDT2187" s="594" t="s">
        <v>1232</v>
      </c>
      <c r="VDU2187" s="594" t="s">
        <v>1232</v>
      </c>
      <c r="VDV2187" s="594" t="s">
        <v>1232</v>
      </c>
      <c r="VDW2187" s="594" t="s">
        <v>1232</v>
      </c>
      <c r="VDX2187" s="594" t="s">
        <v>1232</v>
      </c>
      <c r="VDY2187" s="594" t="s">
        <v>1232</v>
      </c>
      <c r="VDZ2187" s="594" t="s">
        <v>1232</v>
      </c>
      <c r="VEA2187" s="594" t="s">
        <v>1232</v>
      </c>
      <c r="VEB2187" s="594" t="s">
        <v>1232</v>
      </c>
      <c r="VEC2187" s="594" t="s">
        <v>1232</v>
      </c>
      <c r="VED2187" s="594" t="s">
        <v>1232</v>
      </c>
      <c r="VEE2187" s="594" t="s">
        <v>1232</v>
      </c>
      <c r="VEF2187" s="594" t="s">
        <v>1232</v>
      </c>
      <c r="VEG2187" s="594" t="s">
        <v>1232</v>
      </c>
      <c r="VEH2187" s="594" t="s">
        <v>1232</v>
      </c>
      <c r="VEI2187" s="594" t="s">
        <v>1232</v>
      </c>
      <c r="VEJ2187" s="594" t="s">
        <v>1232</v>
      </c>
      <c r="VEK2187" s="594" t="s">
        <v>1232</v>
      </c>
      <c r="VEL2187" s="594" t="s">
        <v>1232</v>
      </c>
      <c r="VEM2187" s="594" t="s">
        <v>1232</v>
      </c>
      <c r="VEN2187" s="594" t="s">
        <v>1232</v>
      </c>
      <c r="VEO2187" s="594" t="s">
        <v>1232</v>
      </c>
      <c r="VEP2187" s="594" t="s">
        <v>1232</v>
      </c>
      <c r="VEQ2187" s="594" t="s">
        <v>1232</v>
      </c>
      <c r="VER2187" s="594" t="s">
        <v>1232</v>
      </c>
      <c r="VES2187" s="594" t="s">
        <v>1232</v>
      </c>
      <c r="VET2187" s="594" t="s">
        <v>1232</v>
      </c>
      <c r="VEU2187" s="594" t="s">
        <v>1232</v>
      </c>
      <c r="VEV2187" s="594" t="s">
        <v>1232</v>
      </c>
      <c r="VEW2187" s="594" t="s">
        <v>1232</v>
      </c>
      <c r="VEX2187" s="594" t="s">
        <v>1232</v>
      </c>
      <c r="VEY2187" s="594" t="s">
        <v>1232</v>
      </c>
      <c r="VEZ2187" s="594" t="s">
        <v>1232</v>
      </c>
      <c r="VFA2187" s="594" t="s">
        <v>1232</v>
      </c>
      <c r="VFB2187" s="594" t="s">
        <v>1232</v>
      </c>
      <c r="VFC2187" s="594" t="s">
        <v>1232</v>
      </c>
      <c r="VFD2187" s="594" t="s">
        <v>1232</v>
      </c>
      <c r="VFE2187" s="594" t="s">
        <v>1232</v>
      </c>
      <c r="VFF2187" s="594" t="s">
        <v>1232</v>
      </c>
      <c r="VFG2187" s="594" t="s">
        <v>1232</v>
      </c>
      <c r="VFH2187" s="594" t="s">
        <v>1232</v>
      </c>
      <c r="VFI2187" s="594" t="s">
        <v>1232</v>
      </c>
      <c r="VFJ2187" s="594" t="s">
        <v>1232</v>
      </c>
      <c r="VFK2187" s="594" t="s">
        <v>1232</v>
      </c>
      <c r="VFL2187" s="594" t="s">
        <v>1232</v>
      </c>
      <c r="VFM2187" s="594" t="s">
        <v>1232</v>
      </c>
      <c r="VFN2187" s="594" t="s">
        <v>1232</v>
      </c>
      <c r="VFO2187" s="594" t="s">
        <v>1232</v>
      </c>
      <c r="VFP2187" s="594" t="s">
        <v>1232</v>
      </c>
      <c r="VFQ2187" s="594" t="s">
        <v>1232</v>
      </c>
      <c r="VFR2187" s="594" t="s">
        <v>1232</v>
      </c>
      <c r="VFS2187" s="594" t="s">
        <v>1232</v>
      </c>
      <c r="VFT2187" s="594" t="s">
        <v>1232</v>
      </c>
      <c r="VFU2187" s="594" t="s">
        <v>1232</v>
      </c>
      <c r="VFV2187" s="594" t="s">
        <v>1232</v>
      </c>
      <c r="VFW2187" s="594" t="s">
        <v>1232</v>
      </c>
      <c r="VFX2187" s="594" t="s">
        <v>1232</v>
      </c>
      <c r="VFY2187" s="594" t="s">
        <v>1232</v>
      </c>
      <c r="VFZ2187" s="594" t="s">
        <v>1232</v>
      </c>
      <c r="VGA2187" s="594" t="s">
        <v>1232</v>
      </c>
      <c r="VGB2187" s="594" t="s">
        <v>1232</v>
      </c>
      <c r="VGC2187" s="594" t="s">
        <v>1232</v>
      </c>
      <c r="VGD2187" s="594" t="s">
        <v>1232</v>
      </c>
      <c r="VGE2187" s="594" t="s">
        <v>1232</v>
      </c>
      <c r="VGF2187" s="594" t="s">
        <v>1232</v>
      </c>
      <c r="VGG2187" s="594" t="s">
        <v>1232</v>
      </c>
      <c r="VGH2187" s="594" t="s">
        <v>1232</v>
      </c>
      <c r="VGI2187" s="594" t="s">
        <v>1232</v>
      </c>
      <c r="VGJ2187" s="594" t="s">
        <v>1232</v>
      </c>
      <c r="VGK2187" s="594" t="s">
        <v>1232</v>
      </c>
      <c r="VGL2187" s="594" t="s">
        <v>1232</v>
      </c>
      <c r="VGM2187" s="594" t="s">
        <v>1232</v>
      </c>
      <c r="VGN2187" s="594" t="s">
        <v>1232</v>
      </c>
      <c r="VGO2187" s="594" t="s">
        <v>1232</v>
      </c>
      <c r="VGP2187" s="594" t="s">
        <v>1232</v>
      </c>
      <c r="VGQ2187" s="594" t="s">
        <v>1232</v>
      </c>
      <c r="VGR2187" s="594" t="s">
        <v>1232</v>
      </c>
      <c r="VGS2187" s="594" t="s">
        <v>1232</v>
      </c>
      <c r="VGT2187" s="594" t="s">
        <v>1232</v>
      </c>
      <c r="VGU2187" s="594" t="s">
        <v>1232</v>
      </c>
      <c r="VGV2187" s="594" t="s">
        <v>1232</v>
      </c>
      <c r="VGW2187" s="594" t="s">
        <v>1232</v>
      </c>
      <c r="VGX2187" s="594" t="s">
        <v>1232</v>
      </c>
      <c r="VGY2187" s="594" t="s">
        <v>1232</v>
      </c>
      <c r="VGZ2187" s="594" t="s">
        <v>1232</v>
      </c>
      <c r="VHA2187" s="594" t="s">
        <v>1232</v>
      </c>
      <c r="VHB2187" s="594" t="s">
        <v>1232</v>
      </c>
      <c r="VHC2187" s="594" t="s">
        <v>1232</v>
      </c>
      <c r="VHD2187" s="594" t="s">
        <v>1232</v>
      </c>
      <c r="VHE2187" s="594" t="s">
        <v>1232</v>
      </c>
      <c r="VHF2187" s="594" t="s">
        <v>1232</v>
      </c>
      <c r="VHG2187" s="594" t="s">
        <v>1232</v>
      </c>
      <c r="VHH2187" s="594" t="s">
        <v>1232</v>
      </c>
      <c r="VHI2187" s="594" t="s">
        <v>1232</v>
      </c>
      <c r="VHJ2187" s="594" t="s">
        <v>1232</v>
      </c>
      <c r="VHK2187" s="594" t="s">
        <v>1232</v>
      </c>
      <c r="VHL2187" s="594" t="s">
        <v>1232</v>
      </c>
      <c r="VHM2187" s="594" t="s">
        <v>1232</v>
      </c>
      <c r="VHN2187" s="594" t="s">
        <v>1232</v>
      </c>
      <c r="VHO2187" s="594" t="s">
        <v>1232</v>
      </c>
      <c r="VHP2187" s="594" t="s">
        <v>1232</v>
      </c>
      <c r="VHQ2187" s="594" t="s">
        <v>1232</v>
      </c>
      <c r="VHR2187" s="594" t="s">
        <v>1232</v>
      </c>
      <c r="VHS2187" s="594" t="s">
        <v>1232</v>
      </c>
      <c r="VHT2187" s="594" t="s">
        <v>1232</v>
      </c>
      <c r="VHU2187" s="594" t="s">
        <v>1232</v>
      </c>
      <c r="VHV2187" s="594" t="s">
        <v>1232</v>
      </c>
      <c r="VHW2187" s="594" t="s">
        <v>1232</v>
      </c>
      <c r="VHX2187" s="594" t="s">
        <v>1232</v>
      </c>
      <c r="VHY2187" s="594" t="s">
        <v>1232</v>
      </c>
      <c r="VHZ2187" s="594" t="s">
        <v>1232</v>
      </c>
      <c r="VIA2187" s="594" t="s">
        <v>1232</v>
      </c>
      <c r="VIB2187" s="594" t="s">
        <v>1232</v>
      </c>
      <c r="VIC2187" s="594" t="s">
        <v>1232</v>
      </c>
      <c r="VID2187" s="594" t="s">
        <v>1232</v>
      </c>
      <c r="VIE2187" s="594" t="s">
        <v>1232</v>
      </c>
      <c r="VIF2187" s="594" t="s">
        <v>1232</v>
      </c>
      <c r="VIG2187" s="594" t="s">
        <v>1232</v>
      </c>
      <c r="VIH2187" s="594" t="s">
        <v>1232</v>
      </c>
      <c r="VII2187" s="594" t="s">
        <v>1232</v>
      </c>
      <c r="VIJ2187" s="594" t="s">
        <v>1232</v>
      </c>
      <c r="VIK2187" s="594" t="s">
        <v>1232</v>
      </c>
      <c r="VIL2187" s="594" t="s">
        <v>1232</v>
      </c>
      <c r="VIM2187" s="594" t="s">
        <v>1232</v>
      </c>
      <c r="VIN2187" s="594" t="s">
        <v>1232</v>
      </c>
      <c r="VIO2187" s="594" t="s">
        <v>1232</v>
      </c>
      <c r="VIP2187" s="594" t="s">
        <v>1232</v>
      </c>
      <c r="VIQ2187" s="594" t="s">
        <v>1232</v>
      </c>
      <c r="VIR2187" s="594" t="s">
        <v>1232</v>
      </c>
      <c r="VIS2187" s="594" t="s">
        <v>1232</v>
      </c>
      <c r="VIT2187" s="594" t="s">
        <v>1232</v>
      </c>
      <c r="VIU2187" s="594" t="s">
        <v>1232</v>
      </c>
      <c r="VIV2187" s="594" t="s">
        <v>1232</v>
      </c>
      <c r="VIW2187" s="594" t="s">
        <v>1232</v>
      </c>
      <c r="VIX2187" s="594" t="s">
        <v>1232</v>
      </c>
      <c r="VIY2187" s="594" t="s">
        <v>1232</v>
      </c>
      <c r="VIZ2187" s="594" t="s">
        <v>1232</v>
      </c>
      <c r="VJA2187" s="594" t="s">
        <v>1232</v>
      </c>
      <c r="VJB2187" s="594" t="s">
        <v>1232</v>
      </c>
      <c r="VJC2187" s="594" t="s">
        <v>1232</v>
      </c>
      <c r="VJD2187" s="594" t="s">
        <v>1232</v>
      </c>
      <c r="VJE2187" s="594" t="s">
        <v>1232</v>
      </c>
      <c r="VJF2187" s="594" t="s">
        <v>1232</v>
      </c>
      <c r="VJG2187" s="594" t="s">
        <v>1232</v>
      </c>
      <c r="VJH2187" s="594" t="s">
        <v>1232</v>
      </c>
      <c r="VJI2187" s="594" t="s">
        <v>1232</v>
      </c>
      <c r="VJJ2187" s="594" t="s">
        <v>1232</v>
      </c>
      <c r="VJK2187" s="594" t="s">
        <v>1232</v>
      </c>
      <c r="VJL2187" s="594" t="s">
        <v>1232</v>
      </c>
      <c r="VJM2187" s="594" t="s">
        <v>1232</v>
      </c>
      <c r="VJN2187" s="594" t="s">
        <v>1232</v>
      </c>
      <c r="VJO2187" s="594" t="s">
        <v>1232</v>
      </c>
      <c r="VJP2187" s="594" t="s">
        <v>1232</v>
      </c>
      <c r="VJQ2187" s="594" t="s">
        <v>1232</v>
      </c>
      <c r="VJR2187" s="594" t="s">
        <v>1232</v>
      </c>
      <c r="VJS2187" s="594" t="s">
        <v>1232</v>
      </c>
      <c r="VJT2187" s="594" t="s">
        <v>1232</v>
      </c>
      <c r="VJU2187" s="594" t="s">
        <v>1232</v>
      </c>
      <c r="VJV2187" s="594" t="s">
        <v>1232</v>
      </c>
      <c r="VJW2187" s="594" t="s">
        <v>1232</v>
      </c>
      <c r="VJX2187" s="594" t="s">
        <v>1232</v>
      </c>
      <c r="VJY2187" s="594" t="s">
        <v>1232</v>
      </c>
      <c r="VJZ2187" s="594" t="s">
        <v>1232</v>
      </c>
      <c r="VKA2187" s="594" t="s">
        <v>1232</v>
      </c>
      <c r="VKB2187" s="594" t="s">
        <v>1232</v>
      </c>
      <c r="VKC2187" s="594" t="s">
        <v>1232</v>
      </c>
      <c r="VKD2187" s="594" t="s">
        <v>1232</v>
      </c>
      <c r="VKE2187" s="594" t="s">
        <v>1232</v>
      </c>
      <c r="VKF2187" s="594" t="s">
        <v>1232</v>
      </c>
      <c r="VKG2187" s="594" t="s">
        <v>1232</v>
      </c>
      <c r="VKH2187" s="594" t="s">
        <v>1232</v>
      </c>
      <c r="VKI2187" s="594" t="s">
        <v>1232</v>
      </c>
      <c r="VKJ2187" s="594" t="s">
        <v>1232</v>
      </c>
      <c r="VKK2187" s="594" t="s">
        <v>1232</v>
      </c>
      <c r="VKL2187" s="594" t="s">
        <v>1232</v>
      </c>
      <c r="VKM2187" s="594" t="s">
        <v>1232</v>
      </c>
      <c r="VKN2187" s="594" t="s">
        <v>1232</v>
      </c>
      <c r="VKO2187" s="594" t="s">
        <v>1232</v>
      </c>
      <c r="VKP2187" s="594" t="s">
        <v>1232</v>
      </c>
      <c r="VKQ2187" s="594" t="s">
        <v>1232</v>
      </c>
      <c r="VKR2187" s="594" t="s">
        <v>1232</v>
      </c>
      <c r="VKS2187" s="594" t="s">
        <v>1232</v>
      </c>
      <c r="VKT2187" s="594" t="s">
        <v>1232</v>
      </c>
      <c r="VKU2187" s="594" t="s">
        <v>1232</v>
      </c>
      <c r="VKV2187" s="594" t="s">
        <v>1232</v>
      </c>
      <c r="VKW2187" s="594" t="s">
        <v>1232</v>
      </c>
      <c r="VKX2187" s="594" t="s">
        <v>1232</v>
      </c>
      <c r="VKY2187" s="594" t="s">
        <v>1232</v>
      </c>
      <c r="VKZ2187" s="594" t="s">
        <v>1232</v>
      </c>
      <c r="VLA2187" s="594" t="s">
        <v>1232</v>
      </c>
      <c r="VLB2187" s="594" t="s">
        <v>1232</v>
      </c>
      <c r="VLC2187" s="594" t="s">
        <v>1232</v>
      </c>
      <c r="VLD2187" s="594" t="s">
        <v>1232</v>
      </c>
      <c r="VLE2187" s="594" t="s">
        <v>1232</v>
      </c>
      <c r="VLF2187" s="594" t="s">
        <v>1232</v>
      </c>
      <c r="VLG2187" s="594" t="s">
        <v>1232</v>
      </c>
      <c r="VLH2187" s="594" t="s">
        <v>1232</v>
      </c>
      <c r="VLI2187" s="594" t="s">
        <v>1232</v>
      </c>
      <c r="VLJ2187" s="594" t="s">
        <v>1232</v>
      </c>
      <c r="VLK2187" s="594" t="s">
        <v>1232</v>
      </c>
      <c r="VLL2187" s="594" t="s">
        <v>1232</v>
      </c>
      <c r="VLM2187" s="594" t="s">
        <v>1232</v>
      </c>
      <c r="VLN2187" s="594" t="s">
        <v>1232</v>
      </c>
      <c r="VLO2187" s="594" t="s">
        <v>1232</v>
      </c>
      <c r="VLP2187" s="594" t="s">
        <v>1232</v>
      </c>
      <c r="VLQ2187" s="594" t="s">
        <v>1232</v>
      </c>
      <c r="VLR2187" s="594" t="s">
        <v>1232</v>
      </c>
      <c r="VLS2187" s="594" t="s">
        <v>1232</v>
      </c>
      <c r="VLT2187" s="594" t="s">
        <v>1232</v>
      </c>
      <c r="VLU2187" s="594" t="s">
        <v>1232</v>
      </c>
      <c r="VLV2187" s="594" t="s">
        <v>1232</v>
      </c>
      <c r="VLW2187" s="594" t="s">
        <v>1232</v>
      </c>
      <c r="VLX2187" s="594" t="s">
        <v>1232</v>
      </c>
      <c r="VLY2187" s="594" t="s">
        <v>1232</v>
      </c>
      <c r="VLZ2187" s="594" t="s">
        <v>1232</v>
      </c>
      <c r="VMA2187" s="594" t="s">
        <v>1232</v>
      </c>
      <c r="VMB2187" s="594" t="s">
        <v>1232</v>
      </c>
      <c r="VMC2187" s="594" t="s">
        <v>1232</v>
      </c>
      <c r="VMD2187" s="594" t="s">
        <v>1232</v>
      </c>
      <c r="VME2187" s="594" t="s">
        <v>1232</v>
      </c>
      <c r="VMF2187" s="594" t="s">
        <v>1232</v>
      </c>
      <c r="VMG2187" s="594" t="s">
        <v>1232</v>
      </c>
      <c r="VMH2187" s="594" t="s">
        <v>1232</v>
      </c>
      <c r="VMI2187" s="594" t="s">
        <v>1232</v>
      </c>
      <c r="VMJ2187" s="594" t="s">
        <v>1232</v>
      </c>
      <c r="VMK2187" s="594" t="s">
        <v>1232</v>
      </c>
      <c r="VML2187" s="594" t="s">
        <v>1232</v>
      </c>
      <c r="VMM2187" s="594" t="s">
        <v>1232</v>
      </c>
      <c r="VMN2187" s="594" t="s">
        <v>1232</v>
      </c>
      <c r="VMO2187" s="594" t="s">
        <v>1232</v>
      </c>
      <c r="VMP2187" s="594" t="s">
        <v>1232</v>
      </c>
      <c r="VMQ2187" s="594" t="s">
        <v>1232</v>
      </c>
      <c r="VMR2187" s="594" t="s">
        <v>1232</v>
      </c>
      <c r="VMS2187" s="594" t="s">
        <v>1232</v>
      </c>
      <c r="VMT2187" s="594" t="s">
        <v>1232</v>
      </c>
      <c r="VMU2187" s="594" t="s">
        <v>1232</v>
      </c>
      <c r="VMV2187" s="594" t="s">
        <v>1232</v>
      </c>
      <c r="VMW2187" s="594" t="s">
        <v>1232</v>
      </c>
      <c r="VMX2187" s="594" t="s">
        <v>1232</v>
      </c>
      <c r="VMY2187" s="594" t="s">
        <v>1232</v>
      </c>
      <c r="VMZ2187" s="594" t="s">
        <v>1232</v>
      </c>
      <c r="VNA2187" s="594" t="s">
        <v>1232</v>
      </c>
      <c r="VNB2187" s="594" t="s">
        <v>1232</v>
      </c>
      <c r="VNC2187" s="594" t="s">
        <v>1232</v>
      </c>
      <c r="VND2187" s="594" t="s">
        <v>1232</v>
      </c>
      <c r="VNE2187" s="594" t="s">
        <v>1232</v>
      </c>
      <c r="VNF2187" s="594" t="s">
        <v>1232</v>
      </c>
      <c r="VNG2187" s="594" t="s">
        <v>1232</v>
      </c>
      <c r="VNH2187" s="594" t="s">
        <v>1232</v>
      </c>
      <c r="VNI2187" s="594" t="s">
        <v>1232</v>
      </c>
      <c r="VNJ2187" s="594" t="s">
        <v>1232</v>
      </c>
      <c r="VNK2187" s="594" t="s">
        <v>1232</v>
      </c>
      <c r="VNL2187" s="594" t="s">
        <v>1232</v>
      </c>
      <c r="VNM2187" s="594" t="s">
        <v>1232</v>
      </c>
      <c r="VNN2187" s="594" t="s">
        <v>1232</v>
      </c>
      <c r="VNO2187" s="594" t="s">
        <v>1232</v>
      </c>
      <c r="VNP2187" s="594" t="s">
        <v>1232</v>
      </c>
      <c r="VNQ2187" s="594" t="s">
        <v>1232</v>
      </c>
      <c r="VNR2187" s="594" t="s">
        <v>1232</v>
      </c>
      <c r="VNS2187" s="594" t="s">
        <v>1232</v>
      </c>
      <c r="VNT2187" s="594" t="s">
        <v>1232</v>
      </c>
      <c r="VNU2187" s="594" t="s">
        <v>1232</v>
      </c>
      <c r="VNV2187" s="594" t="s">
        <v>1232</v>
      </c>
      <c r="VNW2187" s="594" t="s">
        <v>1232</v>
      </c>
      <c r="VNX2187" s="594" t="s">
        <v>1232</v>
      </c>
      <c r="VNY2187" s="594" t="s">
        <v>1232</v>
      </c>
      <c r="VNZ2187" s="594" t="s">
        <v>1232</v>
      </c>
      <c r="VOA2187" s="594" t="s">
        <v>1232</v>
      </c>
      <c r="VOB2187" s="594" t="s">
        <v>1232</v>
      </c>
      <c r="VOC2187" s="594" t="s">
        <v>1232</v>
      </c>
      <c r="VOD2187" s="594" t="s">
        <v>1232</v>
      </c>
      <c r="VOE2187" s="594" t="s">
        <v>1232</v>
      </c>
      <c r="VOF2187" s="594" t="s">
        <v>1232</v>
      </c>
      <c r="VOG2187" s="594" t="s">
        <v>1232</v>
      </c>
      <c r="VOH2187" s="594" t="s">
        <v>1232</v>
      </c>
      <c r="VOI2187" s="594" t="s">
        <v>1232</v>
      </c>
      <c r="VOJ2187" s="594" t="s">
        <v>1232</v>
      </c>
      <c r="VOK2187" s="594" t="s">
        <v>1232</v>
      </c>
      <c r="VOL2187" s="594" t="s">
        <v>1232</v>
      </c>
      <c r="VOM2187" s="594" t="s">
        <v>1232</v>
      </c>
      <c r="VON2187" s="594" t="s">
        <v>1232</v>
      </c>
      <c r="VOO2187" s="594" t="s">
        <v>1232</v>
      </c>
      <c r="VOP2187" s="594" t="s">
        <v>1232</v>
      </c>
      <c r="VOQ2187" s="594" t="s">
        <v>1232</v>
      </c>
      <c r="VOR2187" s="594" t="s">
        <v>1232</v>
      </c>
      <c r="VOS2187" s="594" t="s">
        <v>1232</v>
      </c>
      <c r="VOT2187" s="594" t="s">
        <v>1232</v>
      </c>
      <c r="VOU2187" s="594" t="s">
        <v>1232</v>
      </c>
      <c r="VOV2187" s="594" t="s">
        <v>1232</v>
      </c>
      <c r="VOW2187" s="594" t="s">
        <v>1232</v>
      </c>
      <c r="VOX2187" s="594" t="s">
        <v>1232</v>
      </c>
      <c r="VOY2187" s="594" t="s">
        <v>1232</v>
      </c>
      <c r="VOZ2187" s="594" t="s">
        <v>1232</v>
      </c>
      <c r="VPA2187" s="594" t="s">
        <v>1232</v>
      </c>
      <c r="VPB2187" s="594" t="s">
        <v>1232</v>
      </c>
      <c r="VPC2187" s="594" t="s">
        <v>1232</v>
      </c>
      <c r="VPD2187" s="594" t="s">
        <v>1232</v>
      </c>
      <c r="VPE2187" s="594" t="s">
        <v>1232</v>
      </c>
      <c r="VPF2187" s="594" t="s">
        <v>1232</v>
      </c>
      <c r="VPG2187" s="594" t="s">
        <v>1232</v>
      </c>
      <c r="VPH2187" s="594" t="s">
        <v>1232</v>
      </c>
      <c r="VPI2187" s="594" t="s">
        <v>1232</v>
      </c>
      <c r="VPJ2187" s="594" t="s">
        <v>1232</v>
      </c>
      <c r="VPK2187" s="594" t="s">
        <v>1232</v>
      </c>
      <c r="VPL2187" s="594" t="s">
        <v>1232</v>
      </c>
      <c r="VPM2187" s="594" t="s">
        <v>1232</v>
      </c>
      <c r="VPN2187" s="594" t="s">
        <v>1232</v>
      </c>
      <c r="VPO2187" s="594" t="s">
        <v>1232</v>
      </c>
      <c r="VPP2187" s="594" t="s">
        <v>1232</v>
      </c>
      <c r="VPQ2187" s="594" t="s">
        <v>1232</v>
      </c>
      <c r="VPR2187" s="594" t="s">
        <v>1232</v>
      </c>
      <c r="VPS2187" s="594" t="s">
        <v>1232</v>
      </c>
      <c r="VPT2187" s="594" t="s">
        <v>1232</v>
      </c>
      <c r="VPU2187" s="594" t="s">
        <v>1232</v>
      </c>
      <c r="VPV2187" s="594" t="s">
        <v>1232</v>
      </c>
      <c r="VPW2187" s="594" t="s">
        <v>1232</v>
      </c>
      <c r="VPX2187" s="594" t="s">
        <v>1232</v>
      </c>
      <c r="VPY2187" s="594" t="s">
        <v>1232</v>
      </c>
      <c r="VPZ2187" s="594" t="s">
        <v>1232</v>
      </c>
      <c r="VQA2187" s="594" t="s">
        <v>1232</v>
      </c>
      <c r="VQB2187" s="594" t="s">
        <v>1232</v>
      </c>
      <c r="VQC2187" s="594" t="s">
        <v>1232</v>
      </c>
      <c r="VQD2187" s="594" t="s">
        <v>1232</v>
      </c>
      <c r="VQE2187" s="594" t="s">
        <v>1232</v>
      </c>
      <c r="VQF2187" s="594" t="s">
        <v>1232</v>
      </c>
      <c r="VQG2187" s="594" t="s">
        <v>1232</v>
      </c>
      <c r="VQH2187" s="594" t="s">
        <v>1232</v>
      </c>
      <c r="VQI2187" s="594" t="s">
        <v>1232</v>
      </c>
      <c r="VQJ2187" s="594" t="s">
        <v>1232</v>
      </c>
      <c r="VQK2187" s="594" t="s">
        <v>1232</v>
      </c>
      <c r="VQL2187" s="594" t="s">
        <v>1232</v>
      </c>
      <c r="VQM2187" s="594" t="s">
        <v>1232</v>
      </c>
      <c r="VQN2187" s="594" t="s">
        <v>1232</v>
      </c>
      <c r="VQO2187" s="594" t="s">
        <v>1232</v>
      </c>
      <c r="VQP2187" s="594" t="s">
        <v>1232</v>
      </c>
      <c r="VQQ2187" s="594" t="s">
        <v>1232</v>
      </c>
      <c r="VQR2187" s="594" t="s">
        <v>1232</v>
      </c>
      <c r="VQS2187" s="594" t="s">
        <v>1232</v>
      </c>
      <c r="VQT2187" s="594" t="s">
        <v>1232</v>
      </c>
      <c r="VQU2187" s="594" t="s">
        <v>1232</v>
      </c>
      <c r="VQV2187" s="594" t="s">
        <v>1232</v>
      </c>
      <c r="VQW2187" s="594" t="s">
        <v>1232</v>
      </c>
      <c r="VQX2187" s="594" t="s">
        <v>1232</v>
      </c>
      <c r="VQY2187" s="594" t="s">
        <v>1232</v>
      </c>
      <c r="VQZ2187" s="594" t="s">
        <v>1232</v>
      </c>
      <c r="VRA2187" s="594" t="s">
        <v>1232</v>
      </c>
      <c r="VRB2187" s="594" t="s">
        <v>1232</v>
      </c>
      <c r="VRC2187" s="594" t="s">
        <v>1232</v>
      </c>
      <c r="VRD2187" s="594" t="s">
        <v>1232</v>
      </c>
      <c r="VRE2187" s="594" t="s">
        <v>1232</v>
      </c>
      <c r="VRF2187" s="594" t="s">
        <v>1232</v>
      </c>
      <c r="VRG2187" s="594" t="s">
        <v>1232</v>
      </c>
      <c r="VRH2187" s="594" t="s">
        <v>1232</v>
      </c>
      <c r="VRI2187" s="594" t="s">
        <v>1232</v>
      </c>
      <c r="VRJ2187" s="594" t="s">
        <v>1232</v>
      </c>
      <c r="VRK2187" s="594" t="s">
        <v>1232</v>
      </c>
      <c r="VRL2187" s="594" t="s">
        <v>1232</v>
      </c>
      <c r="VRM2187" s="594" t="s">
        <v>1232</v>
      </c>
      <c r="VRN2187" s="594" t="s">
        <v>1232</v>
      </c>
      <c r="VRO2187" s="594" t="s">
        <v>1232</v>
      </c>
      <c r="VRP2187" s="594" t="s">
        <v>1232</v>
      </c>
      <c r="VRQ2187" s="594" t="s">
        <v>1232</v>
      </c>
      <c r="VRR2187" s="594" t="s">
        <v>1232</v>
      </c>
      <c r="VRS2187" s="594" t="s">
        <v>1232</v>
      </c>
      <c r="VRT2187" s="594" t="s">
        <v>1232</v>
      </c>
      <c r="VRU2187" s="594" t="s">
        <v>1232</v>
      </c>
      <c r="VRV2187" s="594" t="s">
        <v>1232</v>
      </c>
      <c r="VRW2187" s="594" t="s">
        <v>1232</v>
      </c>
      <c r="VRX2187" s="594" t="s">
        <v>1232</v>
      </c>
      <c r="VRY2187" s="594" t="s">
        <v>1232</v>
      </c>
      <c r="VRZ2187" s="594" t="s">
        <v>1232</v>
      </c>
      <c r="VSA2187" s="594" t="s">
        <v>1232</v>
      </c>
      <c r="VSB2187" s="594" t="s">
        <v>1232</v>
      </c>
      <c r="VSC2187" s="594" t="s">
        <v>1232</v>
      </c>
      <c r="VSD2187" s="594" t="s">
        <v>1232</v>
      </c>
      <c r="VSE2187" s="594" t="s">
        <v>1232</v>
      </c>
      <c r="VSF2187" s="594" t="s">
        <v>1232</v>
      </c>
      <c r="VSG2187" s="594" t="s">
        <v>1232</v>
      </c>
      <c r="VSH2187" s="594" t="s">
        <v>1232</v>
      </c>
      <c r="VSI2187" s="594" t="s">
        <v>1232</v>
      </c>
      <c r="VSJ2187" s="594" t="s">
        <v>1232</v>
      </c>
      <c r="VSK2187" s="594" t="s">
        <v>1232</v>
      </c>
      <c r="VSL2187" s="594" t="s">
        <v>1232</v>
      </c>
      <c r="VSM2187" s="594" t="s">
        <v>1232</v>
      </c>
      <c r="VSN2187" s="594" t="s">
        <v>1232</v>
      </c>
      <c r="VSO2187" s="594" t="s">
        <v>1232</v>
      </c>
      <c r="VSP2187" s="594" t="s">
        <v>1232</v>
      </c>
      <c r="VSQ2187" s="594" t="s">
        <v>1232</v>
      </c>
      <c r="VSR2187" s="594" t="s">
        <v>1232</v>
      </c>
      <c r="VSS2187" s="594" t="s">
        <v>1232</v>
      </c>
      <c r="VST2187" s="594" t="s">
        <v>1232</v>
      </c>
      <c r="VSU2187" s="594" t="s">
        <v>1232</v>
      </c>
      <c r="VSV2187" s="594" t="s">
        <v>1232</v>
      </c>
      <c r="VSW2187" s="594" t="s">
        <v>1232</v>
      </c>
      <c r="VSX2187" s="594" t="s">
        <v>1232</v>
      </c>
      <c r="VSY2187" s="594" t="s">
        <v>1232</v>
      </c>
      <c r="VSZ2187" s="594" t="s">
        <v>1232</v>
      </c>
      <c r="VTA2187" s="594" t="s">
        <v>1232</v>
      </c>
      <c r="VTB2187" s="594" t="s">
        <v>1232</v>
      </c>
      <c r="VTC2187" s="594" t="s">
        <v>1232</v>
      </c>
      <c r="VTD2187" s="594" t="s">
        <v>1232</v>
      </c>
      <c r="VTE2187" s="594" t="s">
        <v>1232</v>
      </c>
      <c r="VTF2187" s="594" t="s">
        <v>1232</v>
      </c>
      <c r="VTG2187" s="594" t="s">
        <v>1232</v>
      </c>
      <c r="VTH2187" s="594" t="s">
        <v>1232</v>
      </c>
      <c r="VTI2187" s="594" t="s">
        <v>1232</v>
      </c>
      <c r="VTJ2187" s="594" t="s">
        <v>1232</v>
      </c>
      <c r="VTK2187" s="594" t="s">
        <v>1232</v>
      </c>
      <c r="VTL2187" s="594" t="s">
        <v>1232</v>
      </c>
      <c r="VTM2187" s="594" t="s">
        <v>1232</v>
      </c>
      <c r="VTN2187" s="594" t="s">
        <v>1232</v>
      </c>
      <c r="VTO2187" s="594" t="s">
        <v>1232</v>
      </c>
      <c r="VTP2187" s="594" t="s">
        <v>1232</v>
      </c>
      <c r="VTQ2187" s="594" t="s">
        <v>1232</v>
      </c>
      <c r="VTR2187" s="594" t="s">
        <v>1232</v>
      </c>
      <c r="VTS2187" s="594" t="s">
        <v>1232</v>
      </c>
      <c r="VTT2187" s="594" t="s">
        <v>1232</v>
      </c>
      <c r="VTU2187" s="594" t="s">
        <v>1232</v>
      </c>
      <c r="VTV2187" s="594" t="s">
        <v>1232</v>
      </c>
      <c r="VTW2187" s="594" t="s">
        <v>1232</v>
      </c>
      <c r="VTX2187" s="594" t="s">
        <v>1232</v>
      </c>
      <c r="VTY2187" s="594" t="s">
        <v>1232</v>
      </c>
      <c r="VTZ2187" s="594" t="s">
        <v>1232</v>
      </c>
      <c r="VUA2187" s="594" t="s">
        <v>1232</v>
      </c>
      <c r="VUB2187" s="594" t="s">
        <v>1232</v>
      </c>
      <c r="VUC2187" s="594" t="s">
        <v>1232</v>
      </c>
      <c r="VUD2187" s="594" t="s">
        <v>1232</v>
      </c>
      <c r="VUE2187" s="594" t="s">
        <v>1232</v>
      </c>
      <c r="VUF2187" s="594" t="s">
        <v>1232</v>
      </c>
      <c r="VUG2187" s="594" t="s">
        <v>1232</v>
      </c>
      <c r="VUH2187" s="594" t="s">
        <v>1232</v>
      </c>
      <c r="VUI2187" s="594" t="s">
        <v>1232</v>
      </c>
      <c r="VUJ2187" s="594" t="s">
        <v>1232</v>
      </c>
      <c r="VUK2187" s="594" t="s">
        <v>1232</v>
      </c>
      <c r="VUL2187" s="594" t="s">
        <v>1232</v>
      </c>
      <c r="VUM2187" s="594" t="s">
        <v>1232</v>
      </c>
      <c r="VUN2187" s="594" t="s">
        <v>1232</v>
      </c>
      <c r="VUO2187" s="594" t="s">
        <v>1232</v>
      </c>
      <c r="VUP2187" s="594" t="s">
        <v>1232</v>
      </c>
      <c r="VUQ2187" s="594" t="s">
        <v>1232</v>
      </c>
      <c r="VUR2187" s="594" t="s">
        <v>1232</v>
      </c>
      <c r="VUS2187" s="594" t="s">
        <v>1232</v>
      </c>
      <c r="VUT2187" s="594" t="s">
        <v>1232</v>
      </c>
      <c r="VUU2187" s="594" t="s">
        <v>1232</v>
      </c>
      <c r="VUV2187" s="594" t="s">
        <v>1232</v>
      </c>
      <c r="VUW2187" s="594" t="s">
        <v>1232</v>
      </c>
      <c r="VUX2187" s="594" t="s">
        <v>1232</v>
      </c>
      <c r="VUY2187" s="594" t="s">
        <v>1232</v>
      </c>
      <c r="VUZ2187" s="594" t="s">
        <v>1232</v>
      </c>
      <c r="VVA2187" s="594" t="s">
        <v>1232</v>
      </c>
      <c r="VVB2187" s="594" t="s">
        <v>1232</v>
      </c>
      <c r="VVC2187" s="594" t="s">
        <v>1232</v>
      </c>
      <c r="VVD2187" s="594" t="s">
        <v>1232</v>
      </c>
      <c r="VVE2187" s="594" t="s">
        <v>1232</v>
      </c>
      <c r="VVF2187" s="594" t="s">
        <v>1232</v>
      </c>
      <c r="VVG2187" s="594" t="s">
        <v>1232</v>
      </c>
      <c r="VVH2187" s="594" t="s">
        <v>1232</v>
      </c>
      <c r="VVI2187" s="594" t="s">
        <v>1232</v>
      </c>
      <c r="VVJ2187" s="594" t="s">
        <v>1232</v>
      </c>
      <c r="VVK2187" s="594" t="s">
        <v>1232</v>
      </c>
      <c r="VVL2187" s="594" t="s">
        <v>1232</v>
      </c>
      <c r="VVM2187" s="594" t="s">
        <v>1232</v>
      </c>
      <c r="VVN2187" s="594" t="s">
        <v>1232</v>
      </c>
      <c r="VVO2187" s="594" t="s">
        <v>1232</v>
      </c>
      <c r="VVP2187" s="594" t="s">
        <v>1232</v>
      </c>
      <c r="VVQ2187" s="594" t="s">
        <v>1232</v>
      </c>
      <c r="VVR2187" s="594" t="s">
        <v>1232</v>
      </c>
      <c r="VVS2187" s="594" t="s">
        <v>1232</v>
      </c>
      <c r="VVT2187" s="594" t="s">
        <v>1232</v>
      </c>
      <c r="VVU2187" s="594" t="s">
        <v>1232</v>
      </c>
      <c r="VVV2187" s="594" t="s">
        <v>1232</v>
      </c>
      <c r="VVW2187" s="594" t="s">
        <v>1232</v>
      </c>
      <c r="VVX2187" s="594" t="s">
        <v>1232</v>
      </c>
      <c r="VVY2187" s="594" t="s">
        <v>1232</v>
      </c>
      <c r="VVZ2187" s="594" t="s">
        <v>1232</v>
      </c>
      <c r="VWA2187" s="594" t="s">
        <v>1232</v>
      </c>
      <c r="VWB2187" s="594" t="s">
        <v>1232</v>
      </c>
      <c r="VWC2187" s="594" t="s">
        <v>1232</v>
      </c>
      <c r="VWD2187" s="594" t="s">
        <v>1232</v>
      </c>
      <c r="VWE2187" s="594" t="s">
        <v>1232</v>
      </c>
      <c r="VWF2187" s="594" t="s">
        <v>1232</v>
      </c>
      <c r="VWG2187" s="594" t="s">
        <v>1232</v>
      </c>
      <c r="VWH2187" s="594" t="s">
        <v>1232</v>
      </c>
      <c r="VWI2187" s="594" t="s">
        <v>1232</v>
      </c>
      <c r="VWJ2187" s="594" t="s">
        <v>1232</v>
      </c>
      <c r="VWK2187" s="594" t="s">
        <v>1232</v>
      </c>
      <c r="VWL2187" s="594" t="s">
        <v>1232</v>
      </c>
      <c r="VWM2187" s="594" t="s">
        <v>1232</v>
      </c>
      <c r="VWN2187" s="594" t="s">
        <v>1232</v>
      </c>
      <c r="VWO2187" s="594" t="s">
        <v>1232</v>
      </c>
      <c r="VWP2187" s="594" t="s">
        <v>1232</v>
      </c>
      <c r="VWQ2187" s="594" t="s">
        <v>1232</v>
      </c>
      <c r="VWR2187" s="594" t="s">
        <v>1232</v>
      </c>
      <c r="VWS2187" s="594" t="s">
        <v>1232</v>
      </c>
      <c r="VWT2187" s="594" t="s">
        <v>1232</v>
      </c>
      <c r="VWU2187" s="594" t="s">
        <v>1232</v>
      </c>
      <c r="VWV2187" s="594" t="s">
        <v>1232</v>
      </c>
      <c r="VWW2187" s="594" t="s">
        <v>1232</v>
      </c>
      <c r="VWX2187" s="594" t="s">
        <v>1232</v>
      </c>
      <c r="VWY2187" s="594" t="s">
        <v>1232</v>
      </c>
      <c r="VWZ2187" s="594" t="s">
        <v>1232</v>
      </c>
      <c r="VXA2187" s="594" t="s">
        <v>1232</v>
      </c>
      <c r="VXB2187" s="594" t="s">
        <v>1232</v>
      </c>
      <c r="VXC2187" s="594" t="s">
        <v>1232</v>
      </c>
      <c r="VXD2187" s="594" t="s">
        <v>1232</v>
      </c>
      <c r="VXE2187" s="594" t="s">
        <v>1232</v>
      </c>
      <c r="VXF2187" s="594" t="s">
        <v>1232</v>
      </c>
      <c r="VXG2187" s="594" t="s">
        <v>1232</v>
      </c>
      <c r="VXH2187" s="594" t="s">
        <v>1232</v>
      </c>
      <c r="VXI2187" s="594" t="s">
        <v>1232</v>
      </c>
      <c r="VXJ2187" s="594" t="s">
        <v>1232</v>
      </c>
      <c r="VXK2187" s="594" t="s">
        <v>1232</v>
      </c>
      <c r="VXL2187" s="594" t="s">
        <v>1232</v>
      </c>
      <c r="VXM2187" s="594" t="s">
        <v>1232</v>
      </c>
      <c r="VXN2187" s="594" t="s">
        <v>1232</v>
      </c>
      <c r="VXO2187" s="594" t="s">
        <v>1232</v>
      </c>
      <c r="VXP2187" s="594" t="s">
        <v>1232</v>
      </c>
      <c r="VXQ2187" s="594" t="s">
        <v>1232</v>
      </c>
      <c r="VXR2187" s="594" t="s">
        <v>1232</v>
      </c>
      <c r="VXS2187" s="594" t="s">
        <v>1232</v>
      </c>
      <c r="VXT2187" s="594" t="s">
        <v>1232</v>
      </c>
      <c r="VXU2187" s="594" t="s">
        <v>1232</v>
      </c>
      <c r="VXV2187" s="594" t="s">
        <v>1232</v>
      </c>
      <c r="VXW2187" s="594" t="s">
        <v>1232</v>
      </c>
      <c r="VXX2187" s="594" t="s">
        <v>1232</v>
      </c>
      <c r="VXY2187" s="594" t="s">
        <v>1232</v>
      </c>
      <c r="VXZ2187" s="594" t="s">
        <v>1232</v>
      </c>
      <c r="VYA2187" s="594" t="s">
        <v>1232</v>
      </c>
      <c r="VYB2187" s="594" t="s">
        <v>1232</v>
      </c>
      <c r="VYC2187" s="594" t="s">
        <v>1232</v>
      </c>
      <c r="VYD2187" s="594" t="s">
        <v>1232</v>
      </c>
      <c r="VYE2187" s="594" t="s">
        <v>1232</v>
      </c>
      <c r="VYF2187" s="594" t="s">
        <v>1232</v>
      </c>
      <c r="VYG2187" s="594" t="s">
        <v>1232</v>
      </c>
      <c r="VYH2187" s="594" t="s">
        <v>1232</v>
      </c>
      <c r="VYI2187" s="594" t="s">
        <v>1232</v>
      </c>
      <c r="VYJ2187" s="594" t="s">
        <v>1232</v>
      </c>
      <c r="VYK2187" s="594" t="s">
        <v>1232</v>
      </c>
      <c r="VYL2187" s="594" t="s">
        <v>1232</v>
      </c>
      <c r="VYM2187" s="594" t="s">
        <v>1232</v>
      </c>
      <c r="VYN2187" s="594" t="s">
        <v>1232</v>
      </c>
      <c r="VYO2187" s="594" t="s">
        <v>1232</v>
      </c>
      <c r="VYP2187" s="594" t="s">
        <v>1232</v>
      </c>
      <c r="VYQ2187" s="594" t="s">
        <v>1232</v>
      </c>
      <c r="VYR2187" s="594" t="s">
        <v>1232</v>
      </c>
      <c r="VYS2187" s="594" t="s">
        <v>1232</v>
      </c>
      <c r="VYT2187" s="594" t="s">
        <v>1232</v>
      </c>
      <c r="VYU2187" s="594" t="s">
        <v>1232</v>
      </c>
      <c r="VYV2187" s="594" t="s">
        <v>1232</v>
      </c>
      <c r="VYW2187" s="594" t="s">
        <v>1232</v>
      </c>
      <c r="VYX2187" s="594" t="s">
        <v>1232</v>
      </c>
      <c r="VYY2187" s="594" t="s">
        <v>1232</v>
      </c>
      <c r="VYZ2187" s="594" t="s">
        <v>1232</v>
      </c>
      <c r="VZA2187" s="594" t="s">
        <v>1232</v>
      </c>
      <c r="VZB2187" s="594" t="s">
        <v>1232</v>
      </c>
      <c r="VZC2187" s="594" t="s">
        <v>1232</v>
      </c>
      <c r="VZD2187" s="594" t="s">
        <v>1232</v>
      </c>
      <c r="VZE2187" s="594" t="s">
        <v>1232</v>
      </c>
      <c r="VZF2187" s="594" t="s">
        <v>1232</v>
      </c>
      <c r="VZG2187" s="594" t="s">
        <v>1232</v>
      </c>
      <c r="VZH2187" s="594" t="s">
        <v>1232</v>
      </c>
      <c r="VZI2187" s="594" t="s">
        <v>1232</v>
      </c>
      <c r="VZJ2187" s="594" t="s">
        <v>1232</v>
      </c>
      <c r="VZK2187" s="594" t="s">
        <v>1232</v>
      </c>
      <c r="VZL2187" s="594" t="s">
        <v>1232</v>
      </c>
      <c r="VZM2187" s="594" t="s">
        <v>1232</v>
      </c>
      <c r="VZN2187" s="594" t="s">
        <v>1232</v>
      </c>
      <c r="VZO2187" s="594" t="s">
        <v>1232</v>
      </c>
      <c r="VZP2187" s="594" t="s">
        <v>1232</v>
      </c>
      <c r="VZQ2187" s="594" t="s">
        <v>1232</v>
      </c>
      <c r="VZR2187" s="594" t="s">
        <v>1232</v>
      </c>
      <c r="VZS2187" s="594" t="s">
        <v>1232</v>
      </c>
      <c r="VZT2187" s="594" t="s">
        <v>1232</v>
      </c>
      <c r="VZU2187" s="594" t="s">
        <v>1232</v>
      </c>
      <c r="VZV2187" s="594" t="s">
        <v>1232</v>
      </c>
      <c r="VZW2187" s="594" t="s">
        <v>1232</v>
      </c>
      <c r="VZX2187" s="594" t="s">
        <v>1232</v>
      </c>
      <c r="VZY2187" s="594" t="s">
        <v>1232</v>
      </c>
      <c r="VZZ2187" s="594" t="s">
        <v>1232</v>
      </c>
      <c r="WAA2187" s="594" t="s">
        <v>1232</v>
      </c>
      <c r="WAB2187" s="594" t="s">
        <v>1232</v>
      </c>
      <c r="WAC2187" s="594" t="s">
        <v>1232</v>
      </c>
      <c r="WAD2187" s="594" t="s">
        <v>1232</v>
      </c>
      <c r="WAE2187" s="594" t="s">
        <v>1232</v>
      </c>
      <c r="WAF2187" s="594" t="s">
        <v>1232</v>
      </c>
      <c r="WAG2187" s="594" t="s">
        <v>1232</v>
      </c>
      <c r="WAH2187" s="594" t="s">
        <v>1232</v>
      </c>
      <c r="WAI2187" s="594" t="s">
        <v>1232</v>
      </c>
      <c r="WAJ2187" s="594" t="s">
        <v>1232</v>
      </c>
      <c r="WAK2187" s="594" t="s">
        <v>1232</v>
      </c>
      <c r="WAL2187" s="594" t="s">
        <v>1232</v>
      </c>
      <c r="WAM2187" s="594" t="s">
        <v>1232</v>
      </c>
      <c r="WAN2187" s="594" t="s">
        <v>1232</v>
      </c>
      <c r="WAO2187" s="594" t="s">
        <v>1232</v>
      </c>
      <c r="WAP2187" s="594" t="s">
        <v>1232</v>
      </c>
      <c r="WAQ2187" s="594" t="s">
        <v>1232</v>
      </c>
      <c r="WAR2187" s="594" t="s">
        <v>1232</v>
      </c>
      <c r="WAS2187" s="594" t="s">
        <v>1232</v>
      </c>
      <c r="WAT2187" s="594" t="s">
        <v>1232</v>
      </c>
      <c r="WAU2187" s="594" t="s">
        <v>1232</v>
      </c>
      <c r="WAV2187" s="594" t="s">
        <v>1232</v>
      </c>
      <c r="WAW2187" s="594" t="s">
        <v>1232</v>
      </c>
      <c r="WAX2187" s="594" t="s">
        <v>1232</v>
      </c>
      <c r="WAY2187" s="594" t="s">
        <v>1232</v>
      </c>
      <c r="WAZ2187" s="594" t="s">
        <v>1232</v>
      </c>
      <c r="WBA2187" s="594" t="s">
        <v>1232</v>
      </c>
      <c r="WBB2187" s="594" t="s">
        <v>1232</v>
      </c>
      <c r="WBC2187" s="594" t="s">
        <v>1232</v>
      </c>
      <c r="WBD2187" s="594" t="s">
        <v>1232</v>
      </c>
      <c r="WBE2187" s="594" t="s">
        <v>1232</v>
      </c>
      <c r="WBF2187" s="594" t="s">
        <v>1232</v>
      </c>
      <c r="WBG2187" s="594" t="s">
        <v>1232</v>
      </c>
      <c r="WBH2187" s="594" t="s">
        <v>1232</v>
      </c>
      <c r="WBI2187" s="594" t="s">
        <v>1232</v>
      </c>
      <c r="WBJ2187" s="594" t="s">
        <v>1232</v>
      </c>
      <c r="WBK2187" s="594" t="s">
        <v>1232</v>
      </c>
      <c r="WBL2187" s="594" t="s">
        <v>1232</v>
      </c>
      <c r="WBM2187" s="594" t="s">
        <v>1232</v>
      </c>
      <c r="WBN2187" s="594" t="s">
        <v>1232</v>
      </c>
      <c r="WBO2187" s="594" t="s">
        <v>1232</v>
      </c>
      <c r="WBP2187" s="594" t="s">
        <v>1232</v>
      </c>
      <c r="WBQ2187" s="594" t="s">
        <v>1232</v>
      </c>
      <c r="WBR2187" s="594" t="s">
        <v>1232</v>
      </c>
      <c r="WBS2187" s="594" t="s">
        <v>1232</v>
      </c>
      <c r="WBT2187" s="594" t="s">
        <v>1232</v>
      </c>
      <c r="WBU2187" s="594" t="s">
        <v>1232</v>
      </c>
      <c r="WBV2187" s="594" t="s">
        <v>1232</v>
      </c>
      <c r="WBW2187" s="594" t="s">
        <v>1232</v>
      </c>
      <c r="WBX2187" s="594" t="s">
        <v>1232</v>
      </c>
      <c r="WBY2187" s="594" t="s">
        <v>1232</v>
      </c>
      <c r="WBZ2187" s="594" t="s">
        <v>1232</v>
      </c>
      <c r="WCA2187" s="594" t="s">
        <v>1232</v>
      </c>
      <c r="WCB2187" s="594" t="s">
        <v>1232</v>
      </c>
      <c r="WCC2187" s="594" t="s">
        <v>1232</v>
      </c>
      <c r="WCD2187" s="594" t="s">
        <v>1232</v>
      </c>
      <c r="WCE2187" s="594" t="s">
        <v>1232</v>
      </c>
      <c r="WCF2187" s="594" t="s">
        <v>1232</v>
      </c>
      <c r="WCG2187" s="594" t="s">
        <v>1232</v>
      </c>
      <c r="WCH2187" s="594" t="s">
        <v>1232</v>
      </c>
      <c r="WCI2187" s="594" t="s">
        <v>1232</v>
      </c>
      <c r="WCJ2187" s="594" t="s">
        <v>1232</v>
      </c>
      <c r="WCK2187" s="594" t="s">
        <v>1232</v>
      </c>
      <c r="WCL2187" s="594" t="s">
        <v>1232</v>
      </c>
      <c r="WCM2187" s="594" t="s">
        <v>1232</v>
      </c>
      <c r="WCN2187" s="594" t="s">
        <v>1232</v>
      </c>
      <c r="WCO2187" s="594" t="s">
        <v>1232</v>
      </c>
      <c r="WCP2187" s="594" t="s">
        <v>1232</v>
      </c>
      <c r="WCQ2187" s="594" t="s">
        <v>1232</v>
      </c>
      <c r="WCR2187" s="594" t="s">
        <v>1232</v>
      </c>
      <c r="WCS2187" s="594" t="s">
        <v>1232</v>
      </c>
      <c r="WCT2187" s="594" t="s">
        <v>1232</v>
      </c>
      <c r="WCU2187" s="594" t="s">
        <v>1232</v>
      </c>
      <c r="WCV2187" s="594" t="s">
        <v>1232</v>
      </c>
      <c r="WCW2187" s="594" t="s">
        <v>1232</v>
      </c>
      <c r="WCX2187" s="594" t="s">
        <v>1232</v>
      </c>
      <c r="WCY2187" s="594" t="s">
        <v>1232</v>
      </c>
      <c r="WCZ2187" s="594" t="s">
        <v>1232</v>
      </c>
      <c r="WDA2187" s="594" t="s">
        <v>1232</v>
      </c>
      <c r="WDB2187" s="594" t="s">
        <v>1232</v>
      </c>
      <c r="WDC2187" s="594" t="s">
        <v>1232</v>
      </c>
      <c r="WDD2187" s="594" t="s">
        <v>1232</v>
      </c>
      <c r="WDE2187" s="594" t="s">
        <v>1232</v>
      </c>
      <c r="WDF2187" s="594" t="s">
        <v>1232</v>
      </c>
      <c r="WDG2187" s="594" t="s">
        <v>1232</v>
      </c>
      <c r="WDH2187" s="594" t="s">
        <v>1232</v>
      </c>
      <c r="WDI2187" s="594" t="s">
        <v>1232</v>
      </c>
      <c r="WDJ2187" s="594" t="s">
        <v>1232</v>
      </c>
      <c r="WDK2187" s="594" t="s">
        <v>1232</v>
      </c>
      <c r="WDL2187" s="594" t="s">
        <v>1232</v>
      </c>
      <c r="WDM2187" s="594" t="s">
        <v>1232</v>
      </c>
      <c r="WDN2187" s="594" t="s">
        <v>1232</v>
      </c>
      <c r="WDO2187" s="594" t="s">
        <v>1232</v>
      </c>
      <c r="WDP2187" s="594" t="s">
        <v>1232</v>
      </c>
      <c r="WDQ2187" s="594" t="s">
        <v>1232</v>
      </c>
      <c r="WDR2187" s="594" t="s">
        <v>1232</v>
      </c>
      <c r="WDS2187" s="594" t="s">
        <v>1232</v>
      </c>
      <c r="WDT2187" s="594" t="s">
        <v>1232</v>
      </c>
      <c r="WDU2187" s="594" t="s">
        <v>1232</v>
      </c>
      <c r="WDV2187" s="594" t="s">
        <v>1232</v>
      </c>
      <c r="WDW2187" s="594" t="s">
        <v>1232</v>
      </c>
      <c r="WDX2187" s="594" t="s">
        <v>1232</v>
      </c>
      <c r="WDY2187" s="594" t="s">
        <v>1232</v>
      </c>
      <c r="WDZ2187" s="594" t="s">
        <v>1232</v>
      </c>
      <c r="WEA2187" s="594" t="s">
        <v>1232</v>
      </c>
      <c r="WEB2187" s="594" t="s">
        <v>1232</v>
      </c>
      <c r="WEC2187" s="594" t="s">
        <v>1232</v>
      </c>
      <c r="WED2187" s="594" t="s">
        <v>1232</v>
      </c>
      <c r="WEE2187" s="594" t="s">
        <v>1232</v>
      </c>
      <c r="WEF2187" s="594" t="s">
        <v>1232</v>
      </c>
      <c r="WEG2187" s="594" t="s">
        <v>1232</v>
      </c>
      <c r="WEH2187" s="594" t="s">
        <v>1232</v>
      </c>
      <c r="WEI2187" s="594" t="s">
        <v>1232</v>
      </c>
      <c r="WEJ2187" s="594" t="s">
        <v>1232</v>
      </c>
      <c r="WEK2187" s="594" t="s">
        <v>1232</v>
      </c>
      <c r="WEL2187" s="594" t="s">
        <v>1232</v>
      </c>
      <c r="WEM2187" s="594" t="s">
        <v>1232</v>
      </c>
      <c r="WEN2187" s="594" t="s">
        <v>1232</v>
      </c>
      <c r="WEO2187" s="594" t="s">
        <v>1232</v>
      </c>
      <c r="WEP2187" s="594" t="s">
        <v>1232</v>
      </c>
      <c r="WEQ2187" s="594" t="s">
        <v>1232</v>
      </c>
      <c r="WER2187" s="594" t="s">
        <v>1232</v>
      </c>
      <c r="WES2187" s="594" t="s">
        <v>1232</v>
      </c>
      <c r="WET2187" s="594" t="s">
        <v>1232</v>
      </c>
      <c r="WEU2187" s="594" t="s">
        <v>1232</v>
      </c>
      <c r="WEV2187" s="594" t="s">
        <v>1232</v>
      </c>
      <c r="WEW2187" s="594" t="s">
        <v>1232</v>
      </c>
      <c r="WEX2187" s="594" t="s">
        <v>1232</v>
      </c>
      <c r="WEY2187" s="594" t="s">
        <v>1232</v>
      </c>
      <c r="WEZ2187" s="594" t="s">
        <v>1232</v>
      </c>
      <c r="WFA2187" s="594" t="s">
        <v>1232</v>
      </c>
      <c r="WFB2187" s="594" t="s">
        <v>1232</v>
      </c>
      <c r="WFC2187" s="594" t="s">
        <v>1232</v>
      </c>
      <c r="WFD2187" s="594" t="s">
        <v>1232</v>
      </c>
      <c r="WFE2187" s="594" t="s">
        <v>1232</v>
      </c>
      <c r="WFF2187" s="594" t="s">
        <v>1232</v>
      </c>
      <c r="WFG2187" s="594" t="s">
        <v>1232</v>
      </c>
      <c r="WFH2187" s="594" t="s">
        <v>1232</v>
      </c>
      <c r="WFI2187" s="594" t="s">
        <v>1232</v>
      </c>
      <c r="WFJ2187" s="594" t="s">
        <v>1232</v>
      </c>
      <c r="WFK2187" s="594" t="s">
        <v>1232</v>
      </c>
      <c r="WFL2187" s="594" t="s">
        <v>1232</v>
      </c>
      <c r="WFM2187" s="594" t="s">
        <v>1232</v>
      </c>
      <c r="WFN2187" s="594" t="s">
        <v>1232</v>
      </c>
      <c r="WFO2187" s="594" t="s">
        <v>1232</v>
      </c>
      <c r="WFP2187" s="594" t="s">
        <v>1232</v>
      </c>
      <c r="WFQ2187" s="594" t="s">
        <v>1232</v>
      </c>
      <c r="WFR2187" s="594" t="s">
        <v>1232</v>
      </c>
      <c r="WFS2187" s="594" t="s">
        <v>1232</v>
      </c>
      <c r="WFT2187" s="594" t="s">
        <v>1232</v>
      </c>
      <c r="WFU2187" s="594" t="s">
        <v>1232</v>
      </c>
      <c r="WFV2187" s="594" t="s">
        <v>1232</v>
      </c>
      <c r="WFW2187" s="594" t="s">
        <v>1232</v>
      </c>
      <c r="WFX2187" s="594" t="s">
        <v>1232</v>
      </c>
      <c r="WFY2187" s="594" t="s">
        <v>1232</v>
      </c>
      <c r="WFZ2187" s="594" t="s">
        <v>1232</v>
      </c>
      <c r="WGA2187" s="594" t="s">
        <v>1232</v>
      </c>
      <c r="WGB2187" s="594" t="s">
        <v>1232</v>
      </c>
      <c r="WGC2187" s="594" t="s">
        <v>1232</v>
      </c>
      <c r="WGD2187" s="594" t="s">
        <v>1232</v>
      </c>
      <c r="WGE2187" s="594" t="s">
        <v>1232</v>
      </c>
      <c r="WGF2187" s="594" t="s">
        <v>1232</v>
      </c>
      <c r="WGG2187" s="594" t="s">
        <v>1232</v>
      </c>
      <c r="WGH2187" s="594" t="s">
        <v>1232</v>
      </c>
      <c r="WGI2187" s="594" t="s">
        <v>1232</v>
      </c>
      <c r="WGJ2187" s="594" t="s">
        <v>1232</v>
      </c>
      <c r="WGK2187" s="594" t="s">
        <v>1232</v>
      </c>
      <c r="WGL2187" s="594" t="s">
        <v>1232</v>
      </c>
      <c r="WGM2187" s="594" t="s">
        <v>1232</v>
      </c>
      <c r="WGN2187" s="594" t="s">
        <v>1232</v>
      </c>
      <c r="WGO2187" s="594" t="s">
        <v>1232</v>
      </c>
      <c r="WGP2187" s="594" t="s">
        <v>1232</v>
      </c>
      <c r="WGQ2187" s="594" t="s">
        <v>1232</v>
      </c>
      <c r="WGR2187" s="594" t="s">
        <v>1232</v>
      </c>
      <c r="WGS2187" s="594" t="s">
        <v>1232</v>
      </c>
      <c r="WGT2187" s="594" t="s">
        <v>1232</v>
      </c>
      <c r="WGU2187" s="594" t="s">
        <v>1232</v>
      </c>
      <c r="WGV2187" s="594" t="s">
        <v>1232</v>
      </c>
      <c r="WGW2187" s="594" t="s">
        <v>1232</v>
      </c>
      <c r="WGX2187" s="594" t="s">
        <v>1232</v>
      </c>
      <c r="WGY2187" s="594" t="s">
        <v>1232</v>
      </c>
      <c r="WGZ2187" s="594" t="s">
        <v>1232</v>
      </c>
      <c r="WHA2187" s="594" t="s">
        <v>1232</v>
      </c>
      <c r="WHB2187" s="594" t="s">
        <v>1232</v>
      </c>
      <c r="WHC2187" s="594" t="s">
        <v>1232</v>
      </c>
      <c r="WHD2187" s="594" t="s">
        <v>1232</v>
      </c>
      <c r="WHE2187" s="594" t="s">
        <v>1232</v>
      </c>
      <c r="WHF2187" s="594" t="s">
        <v>1232</v>
      </c>
      <c r="WHG2187" s="594" t="s">
        <v>1232</v>
      </c>
      <c r="WHH2187" s="594" t="s">
        <v>1232</v>
      </c>
      <c r="WHI2187" s="594" t="s">
        <v>1232</v>
      </c>
      <c r="WHJ2187" s="594" t="s">
        <v>1232</v>
      </c>
      <c r="WHK2187" s="594" t="s">
        <v>1232</v>
      </c>
      <c r="WHL2187" s="594" t="s">
        <v>1232</v>
      </c>
      <c r="WHM2187" s="594" t="s">
        <v>1232</v>
      </c>
      <c r="WHN2187" s="594" t="s">
        <v>1232</v>
      </c>
      <c r="WHO2187" s="594" t="s">
        <v>1232</v>
      </c>
      <c r="WHP2187" s="594" t="s">
        <v>1232</v>
      </c>
      <c r="WHQ2187" s="594" t="s">
        <v>1232</v>
      </c>
      <c r="WHR2187" s="594" t="s">
        <v>1232</v>
      </c>
      <c r="WHS2187" s="594" t="s">
        <v>1232</v>
      </c>
      <c r="WHT2187" s="594" t="s">
        <v>1232</v>
      </c>
      <c r="WHU2187" s="594" t="s">
        <v>1232</v>
      </c>
      <c r="WHV2187" s="594" t="s">
        <v>1232</v>
      </c>
      <c r="WHW2187" s="594" t="s">
        <v>1232</v>
      </c>
      <c r="WHX2187" s="594" t="s">
        <v>1232</v>
      </c>
      <c r="WHY2187" s="594" t="s">
        <v>1232</v>
      </c>
      <c r="WHZ2187" s="594" t="s">
        <v>1232</v>
      </c>
      <c r="WIA2187" s="594" t="s">
        <v>1232</v>
      </c>
      <c r="WIB2187" s="594" t="s">
        <v>1232</v>
      </c>
      <c r="WIC2187" s="594" t="s">
        <v>1232</v>
      </c>
      <c r="WID2187" s="594" t="s">
        <v>1232</v>
      </c>
      <c r="WIE2187" s="594" t="s">
        <v>1232</v>
      </c>
      <c r="WIF2187" s="594" t="s">
        <v>1232</v>
      </c>
      <c r="WIG2187" s="594" t="s">
        <v>1232</v>
      </c>
      <c r="WIH2187" s="594" t="s">
        <v>1232</v>
      </c>
      <c r="WII2187" s="594" t="s">
        <v>1232</v>
      </c>
      <c r="WIJ2187" s="594" t="s">
        <v>1232</v>
      </c>
      <c r="WIK2187" s="594" t="s">
        <v>1232</v>
      </c>
      <c r="WIL2187" s="594" t="s">
        <v>1232</v>
      </c>
      <c r="WIM2187" s="594" t="s">
        <v>1232</v>
      </c>
      <c r="WIN2187" s="594" t="s">
        <v>1232</v>
      </c>
      <c r="WIO2187" s="594" t="s">
        <v>1232</v>
      </c>
      <c r="WIP2187" s="594" t="s">
        <v>1232</v>
      </c>
      <c r="WIQ2187" s="594" t="s">
        <v>1232</v>
      </c>
      <c r="WIR2187" s="594" t="s">
        <v>1232</v>
      </c>
      <c r="WIS2187" s="594" t="s">
        <v>1232</v>
      </c>
      <c r="WIT2187" s="594" t="s">
        <v>1232</v>
      </c>
      <c r="WIU2187" s="594" t="s">
        <v>1232</v>
      </c>
      <c r="WIV2187" s="594" t="s">
        <v>1232</v>
      </c>
      <c r="WIW2187" s="594" t="s">
        <v>1232</v>
      </c>
      <c r="WIX2187" s="594" t="s">
        <v>1232</v>
      </c>
      <c r="WIY2187" s="594" t="s">
        <v>1232</v>
      </c>
      <c r="WIZ2187" s="594" t="s">
        <v>1232</v>
      </c>
      <c r="WJA2187" s="594" t="s">
        <v>1232</v>
      </c>
      <c r="WJB2187" s="594" t="s">
        <v>1232</v>
      </c>
      <c r="WJC2187" s="594" t="s">
        <v>1232</v>
      </c>
      <c r="WJD2187" s="594" t="s">
        <v>1232</v>
      </c>
      <c r="WJE2187" s="594" t="s">
        <v>1232</v>
      </c>
      <c r="WJF2187" s="594" t="s">
        <v>1232</v>
      </c>
      <c r="WJG2187" s="594" t="s">
        <v>1232</v>
      </c>
      <c r="WJH2187" s="594" t="s">
        <v>1232</v>
      </c>
      <c r="WJI2187" s="594" t="s">
        <v>1232</v>
      </c>
      <c r="WJJ2187" s="594" t="s">
        <v>1232</v>
      </c>
      <c r="WJK2187" s="594" t="s">
        <v>1232</v>
      </c>
      <c r="WJL2187" s="594" t="s">
        <v>1232</v>
      </c>
      <c r="WJM2187" s="594" t="s">
        <v>1232</v>
      </c>
      <c r="WJN2187" s="594" t="s">
        <v>1232</v>
      </c>
      <c r="WJO2187" s="594" t="s">
        <v>1232</v>
      </c>
      <c r="WJP2187" s="594" t="s">
        <v>1232</v>
      </c>
      <c r="WJQ2187" s="594" t="s">
        <v>1232</v>
      </c>
      <c r="WJR2187" s="594" t="s">
        <v>1232</v>
      </c>
      <c r="WJS2187" s="594" t="s">
        <v>1232</v>
      </c>
      <c r="WJT2187" s="594" t="s">
        <v>1232</v>
      </c>
      <c r="WJU2187" s="594" t="s">
        <v>1232</v>
      </c>
      <c r="WJV2187" s="594" t="s">
        <v>1232</v>
      </c>
      <c r="WJW2187" s="594" t="s">
        <v>1232</v>
      </c>
      <c r="WJX2187" s="594" t="s">
        <v>1232</v>
      </c>
      <c r="WJY2187" s="594" t="s">
        <v>1232</v>
      </c>
      <c r="WJZ2187" s="594" t="s">
        <v>1232</v>
      </c>
      <c r="WKA2187" s="594" t="s">
        <v>1232</v>
      </c>
      <c r="WKB2187" s="594" t="s">
        <v>1232</v>
      </c>
      <c r="WKC2187" s="594" t="s">
        <v>1232</v>
      </c>
      <c r="WKD2187" s="594" t="s">
        <v>1232</v>
      </c>
      <c r="WKE2187" s="594" t="s">
        <v>1232</v>
      </c>
      <c r="WKF2187" s="594" t="s">
        <v>1232</v>
      </c>
      <c r="WKG2187" s="594" t="s">
        <v>1232</v>
      </c>
      <c r="WKH2187" s="594" t="s">
        <v>1232</v>
      </c>
      <c r="WKI2187" s="594" t="s">
        <v>1232</v>
      </c>
      <c r="WKJ2187" s="594" t="s">
        <v>1232</v>
      </c>
      <c r="WKK2187" s="594" t="s">
        <v>1232</v>
      </c>
      <c r="WKL2187" s="594" t="s">
        <v>1232</v>
      </c>
      <c r="WKM2187" s="594" t="s">
        <v>1232</v>
      </c>
      <c r="WKN2187" s="594" t="s">
        <v>1232</v>
      </c>
      <c r="WKO2187" s="594" t="s">
        <v>1232</v>
      </c>
      <c r="WKP2187" s="594" t="s">
        <v>1232</v>
      </c>
      <c r="WKQ2187" s="594" t="s">
        <v>1232</v>
      </c>
      <c r="WKR2187" s="594" t="s">
        <v>1232</v>
      </c>
      <c r="WKS2187" s="594" t="s">
        <v>1232</v>
      </c>
      <c r="WKT2187" s="594" t="s">
        <v>1232</v>
      </c>
      <c r="WKU2187" s="594" t="s">
        <v>1232</v>
      </c>
      <c r="WKV2187" s="594" t="s">
        <v>1232</v>
      </c>
      <c r="WKW2187" s="594" t="s">
        <v>1232</v>
      </c>
      <c r="WKX2187" s="594" t="s">
        <v>1232</v>
      </c>
      <c r="WKY2187" s="594" t="s">
        <v>1232</v>
      </c>
      <c r="WKZ2187" s="594" t="s">
        <v>1232</v>
      </c>
      <c r="WLA2187" s="594" t="s">
        <v>1232</v>
      </c>
      <c r="WLB2187" s="594" t="s">
        <v>1232</v>
      </c>
      <c r="WLC2187" s="594" t="s">
        <v>1232</v>
      </c>
      <c r="WLD2187" s="594" t="s">
        <v>1232</v>
      </c>
      <c r="WLE2187" s="594" t="s">
        <v>1232</v>
      </c>
      <c r="WLF2187" s="594" t="s">
        <v>1232</v>
      </c>
      <c r="WLG2187" s="594" t="s">
        <v>1232</v>
      </c>
      <c r="WLH2187" s="594" t="s">
        <v>1232</v>
      </c>
      <c r="WLI2187" s="594" t="s">
        <v>1232</v>
      </c>
      <c r="WLJ2187" s="594" t="s">
        <v>1232</v>
      </c>
      <c r="WLK2187" s="594" t="s">
        <v>1232</v>
      </c>
      <c r="WLL2187" s="594" t="s">
        <v>1232</v>
      </c>
      <c r="WLM2187" s="594" t="s">
        <v>1232</v>
      </c>
      <c r="WLN2187" s="594" t="s">
        <v>1232</v>
      </c>
      <c r="WLO2187" s="594" t="s">
        <v>1232</v>
      </c>
      <c r="WLP2187" s="594" t="s">
        <v>1232</v>
      </c>
      <c r="WLQ2187" s="594" t="s">
        <v>1232</v>
      </c>
      <c r="WLR2187" s="594" t="s">
        <v>1232</v>
      </c>
      <c r="WLS2187" s="594" t="s">
        <v>1232</v>
      </c>
      <c r="WLT2187" s="594" t="s">
        <v>1232</v>
      </c>
      <c r="WLU2187" s="594" t="s">
        <v>1232</v>
      </c>
      <c r="WLV2187" s="594" t="s">
        <v>1232</v>
      </c>
      <c r="WLW2187" s="594" t="s">
        <v>1232</v>
      </c>
      <c r="WLX2187" s="594" t="s">
        <v>1232</v>
      </c>
      <c r="WLY2187" s="594" t="s">
        <v>1232</v>
      </c>
      <c r="WLZ2187" s="594" t="s">
        <v>1232</v>
      </c>
      <c r="WMA2187" s="594" t="s">
        <v>1232</v>
      </c>
      <c r="WMB2187" s="594" t="s">
        <v>1232</v>
      </c>
      <c r="WMC2187" s="594" t="s">
        <v>1232</v>
      </c>
      <c r="WMD2187" s="594" t="s">
        <v>1232</v>
      </c>
      <c r="WME2187" s="594" t="s">
        <v>1232</v>
      </c>
      <c r="WMF2187" s="594" t="s">
        <v>1232</v>
      </c>
      <c r="WMG2187" s="594" t="s">
        <v>1232</v>
      </c>
      <c r="WMH2187" s="594" t="s">
        <v>1232</v>
      </c>
      <c r="WMI2187" s="594" t="s">
        <v>1232</v>
      </c>
      <c r="WMJ2187" s="594" t="s">
        <v>1232</v>
      </c>
      <c r="WMK2187" s="594" t="s">
        <v>1232</v>
      </c>
      <c r="WML2187" s="594" t="s">
        <v>1232</v>
      </c>
      <c r="WMM2187" s="594" t="s">
        <v>1232</v>
      </c>
      <c r="WMN2187" s="594" t="s">
        <v>1232</v>
      </c>
      <c r="WMO2187" s="594" t="s">
        <v>1232</v>
      </c>
      <c r="WMP2187" s="594" t="s">
        <v>1232</v>
      </c>
      <c r="WMQ2187" s="594" t="s">
        <v>1232</v>
      </c>
      <c r="WMR2187" s="594" t="s">
        <v>1232</v>
      </c>
      <c r="WMS2187" s="594" t="s">
        <v>1232</v>
      </c>
      <c r="WMT2187" s="594" t="s">
        <v>1232</v>
      </c>
      <c r="WMU2187" s="594" t="s">
        <v>1232</v>
      </c>
      <c r="WMV2187" s="594" t="s">
        <v>1232</v>
      </c>
      <c r="WMW2187" s="594" t="s">
        <v>1232</v>
      </c>
      <c r="WMX2187" s="594" t="s">
        <v>1232</v>
      </c>
      <c r="WMY2187" s="594" t="s">
        <v>1232</v>
      </c>
      <c r="WMZ2187" s="594" t="s">
        <v>1232</v>
      </c>
      <c r="WNA2187" s="594" t="s">
        <v>1232</v>
      </c>
      <c r="WNB2187" s="594" t="s">
        <v>1232</v>
      </c>
      <c r="WNC2187" s="594" t="s">
        <v>1232</v>
      </c>
      <c r="WND2187" s="594" t="s">
        <v>1232</v>
      </c>
      <c r="WNE2187" s="594" t="s">
        <v>1232</v>
      </c>
      <c r="WNF2187" s="594" t="s">
        <v>1232</v>
      </c>
      <c r="WNG2187" s="594" t="s">
        <v>1232</v>
      </c>
      <c r="WNH2187" s="594" t="s">
        <v>1232</v>
      </c>
      <c r="WNI2187" s="594" t="s">
        <v>1232</v>
      </c>
      <c r="WNJ2187" s="594" t="s">
        <v>1232</v>
      </c>
      <c r="WNK2187" s="594" t="s">
        <v>1232</v>
      </c>
      <c r="WNL2187" s="594" t="s">
        <v>1232</v>
      </c>
      <c r="WNM2187" s="594" t="s">
        <v>1232</v>
      </c>
      <c r="WNN2187" s="594" t="s">
        <v>1232</v>
      </c>
      <c r="WNO2187" s="594" t="s">
        <v>1232</v>
      </c>
      <c r="WNP2187" s="594" t="s">
        <v>1232</v>
      </c>
      <c r="WNQ2187" s="594" t="s">
        <v>1232</v>
      </c>
      <c r="WNR2187" s="594" t="s">
        <v>1232</v>
      </c>
      <c r="WNS2187" s="594" t="s">
        <v>1232</v>
      </c>
      <c r="WNT2187" s="594" t="s">
        <v>1232</v>
      </c>
      <c r="WNU2187" s="594" t="s">
        <v>1232</v>
      </c>
      <c r="WNV2187" s="594" t="s">
        <v>1232</v>
      </c>
      <c r="WNW2187" s="594" t="s">
        <v>1232</v>
      </c>
      <c r="WNX2187" s="594" t="s">
        <v>1232</v>
      </c>
      <c r="WNY2187" s="594" t="s">
        <v>1232</v>
      </c>
      <c r="WNZ2187" s="594" t="s">
        <v>1232</v>
      </c>
      <c r="WOA2187" s="594" t="s">
        <v>1232</v>
      </c>
      <c r="WOB2187" s="594" t="s">
        <v>1232</v>
      </c>
      <c r="WOC2187" s="594" t="s">
        <v>1232</v>
      </c>
      <c r="WOD2187" s="594" t="s">
        <v>1232</v>
      </c>
      <c r="WOE2187" s="594" t="s">
        <v>1232</v>
      </c>
      <c r="WOF2187" s="594" t="s">
        <v>1232</v>
      </c>
      <c r="WOG2187" s="594" t="s">
        <v>1232</v>
      </c>
      <c r="WOH2187" s="594" t="s">
        <v>1232</v>
      </c>
      <c r="WOI2187" s="594" t="s">
        <v>1232</v>
      </c>
      <c r="WOJ2187" s="594" t="s">
        <v>1232</v>
      </c>
      <c r="WOK2187" s="594" t="s">
        <v>1232</v>
      </c>
      <c r="WOL2187" s="594" t="s">
        <v>1232</v>
      </c>
      <c r="WOM2187" s="594" t="s">
        <v>1232</v>
      </c>
      <c r="WON2187" s="594" t="s">
        <v>1232</v>
      </c>
      <c r="WOO2187" s="594" t="s">
        <v>1232</v>
      </c>
      <c r="WOP2187" s="594" t="s">
        <v>1232</v>
      </c>
      <c r="WOQ2187" s="594" t="s">
        <v>1232</v>
      </c>
      <c r="WOR2187" s="594" t="s">
        <v>1232</v>
      </c>
      <c r="WOS2187" s="594" t="s">
        <v>1232</v>
      </c>
      <c r="WOT2187" s="594" t="s">
        <v>1232</v>
      </c>
      <c r="WOU2187" s="594" t="s">
        <v>1232</v>
      </c>
      <c r="WOV2187" s="594" t="s">
        <v>1232</v>
      </c>
      <c r="WOW2187" s="594" t="s">
        <v>1232</v>
      </c>
      <c r="WOX2187" s="594" t="s">
        <v>1232</v>
      </c>
      <c r="WOY2187" s="594" t="s">
        <v>1232</v>
      </c>
      <c r="WOZ2187" s="594" t="s">
        <v>1232</v>
      </c>
      <c r="WPA2187" s="594" t="s">
        <v>1232</v>
      </c>
      <c r="WPB2187" s="594" t="s">
        <v>1232</v>
      </c>
      <c r="WPC2187" s="594" t="s">
        <v>1232</v>
      </c>
      <c r="WPD2187" s="594" t="s">
        <v>1232</v>
      </c>
      <c r="WPE2187" s="594" t="s">
        <v>1232</v>
      </c>
      <c r="WPF2187" s="594" t="s">
        <v>1232</v>
      </c>
      <c r="WPG2187" s="594" t="s">
        <v>1232</v>
      </c>
      <c r="WPH2187" s="594" t="s">
        <v>1232</v>
      </c>
      <c r="WPI2187" s="594" t="s">
        <v>1232</v>
      </c>
      <c r="WPJ2187" s="594" t="s">
        <v>1232</v>
      </c>
      <c r="WPK2187" s="594" t="s">
        <v>1232</v>
      </c>
      <c r="WPL2187" s="594" t="s">
        <v>1232</v>
      </c>
      <c r="WPM2187" s="594" t="s">
        <v>1232</v>
      </c>
      <c r="WPN2187" s="594" t="s">
        <v>1232</v>
      </c>
      <c r="WPO2187" s="594" t="s">
        <v>1232</v>
      </c>
      <c r="WPP2187" s="594" t="s">
        <v>1232</v>
      </c>
      <c r="WPQ2187" s="594" t="s">
        <v>1232</v>
      </c>
      <c r="WPR2187" s="594" t="s">
        <v>1232</v>
      </c>
      <c r="WPS2187" s="594" t="s">
        <v>1232</v>
      </c>
      <c r="WPT2187" s="594" t="s">
        <v>1232</v>
      </c>
      <c r="WPU2187" s="594" t="s">
        <v>1232</v>
      </c>
      <c r="WPV2187" s="594" t="s">
        <v>1232</v>
      </c>
      <c r="WPW2187" s="594" t="s">
        <v>1232</v>
      </c>
      <c r="WPX2187" s="594" t="s">
        <v>1232</v>
      </c>
      <c r="WPY2187" s="594" t="s">
        <v>1232</v>
      </c>
      <c r="WPZ2187" s="594" t="s">
        <v>1232</v>
      </c>
      <c r="WQA2187" s="594" t="s">
        <v>1232</v>
      </c>
      <c r="WQB2187" s="594" t="s">
        <v>1232</v>
      </c>
      <c r="WQC2187" s="594" t="s">
        <v>1232</v>
      </c>
      <c r="WQD2187" s="594" t="s">
        <v>1232</v>
      </c>
      <c r="WQE2187" s="594" t="s">
        <v>1232</v>
      </c>
      <c r="WQF2187" s="594" t="s">
        <v>1232</v>
      </c>
      <c r="WQG2187" s="594" t="s">
        <v>1232</v>
      </c>
      <c r="WQH2187" s="594" t="s">
        <v>1232</v>
      </c>
      <c r="WQI2187" s="594" t="s">
        <v>1232</v>
      </c>
      <c r="WQJ2187" s="594" t="s">
        <v>1232</v>
      </c>
      <c r="WQK2187" s="594" t="s">
        <v>1232</v>
      </c>
      <c r="WQL2187" s="594" t="s">
        <v>1232</v>
      </c>
      <c r="WQM2187" s="594" t="s">
        <v>1232</v>
      </c>
      <c r="WQN2187" s="594" t="s">
        <v>1232</v>
      </c>
      <c r="WQO2187" s="594" t="s">
        <v>1232</v>
      </c>
      <c r="WQP2187" s="594" t="s">
        <v>1232</v>
      </c>
      <c r="WQQ2187" s="594" t="s">
        <v>1232</v>
      </c>
      <c r="WQR2187" s="594" t="s">
        <v>1232</v>
      </c>
      <c r="WQS2187" s="594" t="s">
        <v>1232</v>
      </c>
      <c r="WQT2187" s="594" t="s">
        <v>1232</v>
      </c>
      <c r="WQU2187" s="594" t="s">
        <v>1232</v>
      </c>
      <c r="WQV2187" s="594" t="s">
        <v>1232</v>
      </c>
      <c r="WQW2187" s="594" t="s">
        <v>1232</v>
      </c>
      <c r="WQX2187" s="594" t="s">
        <v>1232</v>
      </c>
      <c r="WQY2187" s="594" t="s">
        <v>1232</v>
      </c>
      <c r="WQZ2187" s="594" t="s">
        <v>1232</v>
      </c>
      <c r="WRA2187" s="594" t="s">
        <v>1232</v>
      </c>
      <c r="WRB2187" s="594" t="s">
        <v>1232</v>
      </c>
      <c r="WRC2187" s="594" t="s">
        <v>1232</v>
      </c>
      <c r="WRD2187" s="594" t="s">
        <v>1232</v>
      </c>
      <c r="WRE2187" s="594" t="s">
        <v>1232</v>
      </c>
      <c r="WRF2187" s="594" t="s">
        <v>1232</v>
      </c>
      <c r="WRG2187" s="594" t="s">
        <v>1232</v>
      </c>
      <c r="WRH2187" s="594" t="s">
        <v>1232</v>
      </c>
      <c r="WRI2187" s="594" t="s">
        <v>1232</v>
      </c>
      <c r="WRJ2187" s="594" t="s">
        <v>1232</v>
      </c>
      <c r="WRK2187" s="594" t="s">
        <v>1232</v>
      </c>
      <c r="WRL2187" s="594" t="s">
        <v>1232</v>
      </c>
      <c r="WRM2187" s="594" t="s">
        <v>1232</v>
      </c>
      <c r="WRN2187" s="594" t="s">
        <v>1232</v>
      </c>
      <c r="WRO2187" s="594" t="s">
        <v>1232</v>
      </c>
      <c r="WRP2187" s="594" t="s">
        <v>1232</v>
      </c>
      <c r="WRQ2187" s="594" t="s">
        <v>1232</v>
      </c>
      <c r="WRR2187" s="594" t="s">
        <v>1232</v>
      </c>
      <c r="WRS2187" s="594" t="s">
        <v>1232</v>
      </c>
      <c r="WRT2187" s="594" t="s">
        <v>1232</v>
      </c>
      <c r="WRU2187" s="594" t="s">
        <v>1232</v>
      </c>
      <c r="WRV2187" s="594" t="s">
        <v>1232</v>
      </c>
      <c r="WRW2187" s="594" t="s">
        <v>1232</v>
      </c>
      <c r="WRX2187" s="594" t="s">
        <v>1232</v>
      </c>
      <c r="WRY2187" s="594" t="s">
        <v>1232</v>
      </c>
      <c r="WRZ2187" s="594" t="s">
        <v>1232</v>
      </c>
      <c r="WSA2187" s="594" t="s">
        <v>1232</v>
      </c>
      <c r="WSB2187" s="594" t="s">
        <v>1232</v>
      </c>
      <c r="WSC2187" s="594" t="s">
        <v>1232</v>
      </c>
      <c r="WSD2187" s="594" t="s">
        <v>1232</v>
      </c>
      <c r="WSE2187" s="594" t="s">
        <v>1232</v>
      </c>
      <c r="WSF2187" s="594" t="s">
        <v>1232</v>
      </c>
      <c r="WSG2187" s="594" t="s">
        <v>1232</v>
      </c>
      <c r="WSH2187" s="594" t="s">
        <v>1232</v>
      </c>
      <c r="WSI2187" s="594" t="s">
        <v>1232</v>
      </c>
      <c r="WSJ2187" s="594" t="s">
        <v>1232</v>
      </c>
      <c r="WSK2187" s="594" t="s">
        <v>1232</v>
      </c>
      <c r="WSL2187" s="594" t="s">
        <v>1232</v>
      </c>
      <c r="WSM2187" s="594" t="s">
        <v>1232</v>
      </c>
      <c r="WSN2187" s="594" t="s">
        <v>1232</v>
      </c>
      <c r="WSO2187" s="594" t="s">
        <v>1232</v>
      </c>
      <c r="WSP2187" s="594" t="s">
        <v>1232</v>
      </c>
      <c r="WSQ2187" s="594" t="s">
        <v>1232</v>
      </c>
      <c r="WSR2187" s="594" t="s">
        <v>1232</v>
      </c>
      <c r="WSS2187" s="594" t="s">
        <v>1232</v>
      </c>
      <c r="WST2187" s="594" t="s">
        <v>1232</v>
      </c>
      <c r="WSU2187" s="594" t="s">
        <v>1232</v>
      </c>
      <c r="WSV2187" s="594" t="s">
        <v>1232</v>
      </c>
      <c r="WSW2187" s="594" t="s">
        <v>1232</v>
      </c>
      <c r="WSX2187" s="594" t="s">
        <v>1232</v>
      </c>
      <c r="WSY2187" s="594" t="s">
        <v>1232</v>
      </c>
      <c r="WSZ2187" s="594" t="s">
        <v>1232</v>
      </c>
      <c r="WTA2187" s="594" t="s">
        <v>1232</v>
      </c>
      <c r="WTB2187" s="594" t="s">
        <v>1232</v>
      </c>
      <c r="WTC2187" s="594" t="s">
        <v>1232</v>
      </c>
      <c r="WTD2187" s="594" t="s">
        <v>1232</v>
      </c>
      <c r="WTE2187" s="594" t="s">
        <v>1232</v>
      </c>
      <c r="WTF2187" s="594" t="s">
        <v>1232</v>
      </c>
      <c r="WTG2187" s="594" t="s">
        <v>1232</v>
      </c>
      <c r="WTH2187" s="594" t="s">
        <v>1232</v>
      </c>
      <c r="WTI2187" s="594" t="s">
        <v>1232</v>
      </c>
      <c r="WTJ2187" s="594" t="s">
        <v>1232</v>
      </c>
      <c r="WTK2187" s="594" t="s">
        <v>1232</v>
      </c>
      <c r="WTL2187" s="594" t="s">
        <v>1232</v>
      </c>
      <c r="WTM2187" s="594" t="s">
        <v>1232</v>
      </c>
      <c r="WTN2187" s="594" t="s">
        <v>1232</v>
      </c>
      <c r="WTO2187" s="594" t="s">
        <v>1232</v>
      </c>
      <c r="WTP2187" s="594" t="s">
        <v>1232</v>
      </c>
      <c r="WTQ2187" s="594" t="s">
        <v>1232</v>
      </c>
      <c r="WTR2187" s="594" t="s">
        <v>1232</v>
      </c>
      <c r="WTS2187" s="594" t="s">
        <v>1232</v>
      </c>
      <c r="WTT2187" s="594" t="s">
        <v>1232</v>
      </c>
      <c r="WTU2187" s="594" t="s">
        <v>1232</v>
      </c>
      <c r="WTV2187" s="594" t="s">
        <v>1232</v>
      </c>
      <c r="WTW2187" s="594" t="s">
        <v>1232</v>
      </c>
      <c r="WTX2187" s="594" t="s">
        <v>1232</v>
      </c>
      <c r="WTY2187" s="594" t="s">
        <v>1232</v>
      </c>
      <c r="WTZ2187" s="594" t="s">
        <v>1232</v>
      </c>
      <c r="WUA2187" s="594" t="s">
        <v>1232</v>
      </c>
      <c r="WUB2187" s="594" t="s">
        <v>1232</v>
      </c>
      <c r="WUC2187" s="594" t="s">
        <v>1232</v>
      </c>
      <c r="WUD2187" s="594" t="s">
        <v>1232</v>
      </c>
      <c r="WUE2187" s="594" t="s">
        <v>1232</v>
      </c>
      <c r="WUF2187" s="594" t="s">
        <v>1232</v>
      </c>
      <c r="WUG2187" s="594" t="s">
        <v>1232</v>
      </c>
      <c r="WUH2187" s="594" t="s">
        <v>1232</v>
      </c>
      <c r="WUI2187" s="594" t="s">
        <v>1232</v>
      </c>
      <c r="WUJ2187" s="594" t="s">
        <v>1232</v>
      </c>
      <c r="WUK2187" s="594" t="s">
        <v>1232</v>
      </c>
      <c r="WUL2187" s="594" t="s">
        <v>1232</v>
      </c>
      <c r="WUM2187" s="594" t="s">
        <v>1232</v>
      </c>
      <c r="WUN2187" s="594" t="s">
        <v>1232</v>
      </c>
      <c r="WUO2187" s="594" t="s">
        <v>1232</v>
      </c>
      <c r="WUP2187" s="594" t="s">
        <v>1232</v>
      </c>
      <c r="WUQ2187" s="594" t="s">
        <v>1232</v>
      </c>
      <c r="WUR2187" s="594" t="s">
        <v>1232</v>
      </c>
      <c r="WUS2187" s="594" t="s">
        <v>1232</v>
      </c>
      <c r="WUT2187" s="594" t="s">
        <v>1232</v>
      </c>
      <c r="WUU2187" s="594" t="s">
        <v>1232</v>
      </c>
      <c r="WUV2187" s="594" t="s">
        <v>1232</v>
      </c>
      <c r="WUW2187" s="594" t="s">
        <v>1232</v>
      </c>
      <c r="WUX2187" s="594" t="s">
        <v>1232</v>
      </c>
      <c r="WUY2187" s="594" t="s">
        <v>1232</v>
      </c>
      <c r="WUZ2187" s="594" t="s">
        <v>1232</v>
      </c>
      <c r="WVA2187" s="594" t="s">
        <v>1232</v>
      </c>
      <c r="WVB2187" s="594" t="s">
        <v>1232</v>
      </c>
      <c r="WVC2187" s="594" t="s">
        <v>1232</v>
      </c>
      <c r="WVD2187" s="594" t="s">
        <v>1232</v>
      </c>
      <c r="WVE2187" s="594" t="s">
        <v>1232</v>
      </c>
      <c r="WVF2187" s="594" t="s">
        <v>1232</v>
      </c>
      <c r="WVG2187" s="594" t="s">
        <v>1232</v>
      </c>
      <c r="WVH2187" s="594" t="s">
        <v>1232</v>
      </c>
      <c r="WVI2187" s="594" t="s">
        <v>1232</v>
      </c>
      <c r="WVJ2187" s="594" t="s">
        <v>1232</v>
      </c>
      <c r="WVK2187" s="594" t="s">
        <v>1232</v>
      </c>
      <c r="WVL2187" s="594" t="s">
        <v>1232</v>
      </c>
      <c r="WVM2187" s="594" t="s">
        <v>1232</v>
      </c>
      <c r="WVN2187" s="594" t="s">
        <v>1232</v>
      </c>
      <c r="WVO2187" s="594" t="s">
        <v>1232</v>
      </c>
      <c r="WVP2187" s="594" t="s">
        <v>1232</v>
      </c>
      <c r="WVQ2187" s="594" t="s">
        <v>1232</v>
      </c>
      <c r="WVR2187" s="594" t="s">
        <v>1232</v>
      </c>
      <c r="WVS2187" s="594" t="s">
        <v>1232</v>
      </c>
      <c r="WVT2187" s="594" t="s">
        <v>1232</v>
      </c>
      <c r="WVU2187" s="594" t="s">
        <v>1232</v>
      </c>
      <c r="WVV2187" s="594" t="s">
        <v>1232</v>
      </c>
      <c r="WVW2187" s="594" t="s">
        <v>1232</v>
      </c>
      <c r="WVX2187" s="594" t="s">
        <v>1232</v>
      </c>
      <c r="WVY2187" s="594" t="s">
        <v>1232</v>
      </c>
      <c r="WVZ2187" s="594" t="s">
        <v>1232</v>
      </c>
      <c r="WWA2187" s="594" t="s">
        <v>1232</v>
      </c>
      <c r="WWB2187" s="594" t="s">
        <v>1232</v>
      </c>
      <c r="WWC2187" s="594" t="s">
        <v>1232</v>
      </c>
      <c r="WWD2187" s="594" t="s">
        <v>1232</v>
      </c>
      <c r="WWE2187" s="594" t="s">
        <v>1232</v>
      </c>
      <c r="WWF2187" s="594" t="s">
        <v>1232</v>
      </c>
      <c r="WWG2187" s="594" t="s">
        <v>1232</v>
      </c>
      <c r="WWH2187" s="594" t="s">
        <v>1232</v>
      </c>
      <c r="WWI2187" s="594" t="s">
        <v>1232</v>
      </c>
      <c r="WWJ2187" s="594" t="s">
        <v>1232</v>
      </c>
      <c r="WWK2187" s="594" t="s">
        <v>1232</v>
      </c>
      <c r="WWL2187" s="594" t="s">
        <v>1232</v>
      </c>
      <c r="WWM2187" s="594" t="s">
        <v>1232</v>
      </c>
      <c r="WWN2187" s="594" t="s">
        <v>1232</v>
      </c>
      <c r="WWO2187" s="594" t="s">
        <v>1232</v>
      </c>
      <c r="WWP2187" s="594" t="s">
        <v>1232</v>
      </c>
      <c r="WWQ2187" s="594" t="s">
        <v>1232</v>
      </c>
      <c r="WWR2187" s="594" t="s">
        <v>1232</v>
      </c>
      <c r="WWS2187" s="594" t="s">
        <v>1232</v>
      </c>
      <c r="WWT2187" s="594" t="s">
        <v>1232</v>
      </c>
      <c r="WWU2187" s="594" t="s">
        <v>1232</v>
      </c>
      <c r="WWV2187" s="594" t="s">
        <v>1232</v>
      </c>
      <c r="WWW2187" s="594" t="s">
        <v>1232</v>
      </c>
      <c r="WWX2187" s="594" t="s">
        <v>1232</v>
      </c>
      <c r="WWY2187" s="594" t="s">
        <v>1232</v>
      </c>
      <c r="WWZ2187" s="594" t="s">
        <v>1232</v>
      </c>
      <c r="WXA2187" s="594" t="s">
        <v>1232</v>
      </c>
      <c r="WXB2187" s="594" t="s">
        <v>1232</v>
      </c>
      <c r="WXC2187" s="594" t="s">
        <v>1232</v>
      </c>
      <c r="WXD2187" s="594" t="s">
        <v>1232</v>
      </c>
      <c r="WXE2187" s="594" t="s">
        <v>1232</v>
      </c>
      <c r="WXF2187" s="594" t="s">
        <v>1232</v>
      </c>
      <c r="WXG2187" s="594" t="s">
        <v>1232</v>
      </c>
      <c r="WXH2187" s="594" t="s">
        <v>1232</v>
      </c>
      <c r="WXI2187" s="594" t="s">
        <v>1232</v>
      </c>
      <c r="WXJ2187" s="594" t="s">
        <v>1232</v>
      </c>
      <c r="WXK2187" s="594" t="s">
        <v>1232</v>
      </c>
      <c r="WXL2187" s="594" t="s">
        <v>1232</v>
      </c>
      <c r="WXM2187" s="594" t="s">
        <v>1232</v>
      </c>
      <c r="WXN2187" s="594" t="s">
        <v>1232</v>
      </c>
      <c r="WXO2187" s="594" t="s">
        <v>1232</v>
      </c>
      <c r="WXP2187" s="594" t="s">
        <v>1232</v>
      </c>
      <c r="WXQ2187" s="594" t="s">
        <v>1232</v>
      </c>
      <c r="WXR2187" s="594" t="s">
        <v>1232</v>
      </c>
      <c r="WXS2187" s="594" t="s">
        <v>1232</v>
      </c>
      <c r="WXT2187" s="594" t="s">
        <v>1232</v>
      </c>
      <c r="WXU2187" s="594" t="s">
        <v>1232</v>
      </c>
      <c r="WXV2187" s="594" t="s">
        <v>1232</v>
      </c>
      <c r="WXW2187" s="594" t="s">
        <v>1232</v>
      </c>
      <c r="WXX2187" s="594" t="s">
        <v>1232</v>
      </c>
      <c r="WXY2187" s="594" t="s">
        <v>1232</v>
      </c>
      <c r="WXZ2187" s="594" t="s">
        <v>1232</v>
      </c>
      <c r="WYA2187" s="594" t="s">
        <v>1232</v>
      </c>
      <c r="WYB2187" s="594" t="s">
        <v>1232</v>
      </c>
      <c r="WYC2187" s="594" t="s">
        <v>1232</v>
      </c>
      <c r="WYD2187" s="594" t="s">
        <v>1232</v>
      </c>
      <c r="WYE2187" s="594" t="s">
        <v>1232</v>
      </c>
      <c r="WYF2187" s="594" t="s">
        <v>1232</v>
      </c>
      <c r="WYG2187" s="594" t="s">
        <v>1232</v>
      </c>
      <c r="WYH2187" s="594" t="s">
        <v>1232</v>
      </c>
      <c r="WYI2187" s="594" t="s">
        <v>1232</v>
      </c>
      <c r="WYJ2187" s="594" t="s">
        <v>1232</v>
      </c>
      <c r="WYK2187" s="594" t="s">
        <v>1232</v>
      </c>
      <c r="WYL2187" s="594" t="s">
        <v>1232</v>
      </c>
      <c r="WYM2187" s="594" t="s">
        <v>1232</v>
      </c>
      <c r="WYN2187" s="594" t="s">
        <v>1232</v>
      </c>
      <c r="WYO2187" s="594" t="s">
        <v>1232</v>
      </c>
      <c r="WYP2187" s="594" t="s">
        <v>1232</v>
      </c>
      <c r="WYQ2187" s="594" t="s">
        <v>1232</v>
      </c>
      <c r="WYR2187" s="594" t="s">
        <v>1232</v>
      </c>
      <c r="WYS2187" s="594" t="s">
        <v>1232</v>
      </c>
      <c r="WYT2187" s="594" t="s">
        <v>1232</v>
      </c>
      <c r="WYU2187" s="594" t="s">
        <v>1232</v>
      </c>
      <c r="WYV2187" s="594" t="s">
        <v>1232</v>
      </c>
      <c r="WYW2187" s="594" t="s">
        <v>1232</v>
      </c>
      <c r="WYX2187" s="594" t="s">
        <v>1232</v>
      </c>
      <c r="WYY2187" s="594" t="s">
        <v>1232</v>
      </c>
      <c r="WYZ2187" s="594" t="s">
        <v>1232</v>
      </c>
      <c r="WZA2187" s="594" t="s">
        <v>1232</v>
      </c>
      <c r="WZB2187" s="594" t="s">
        <v>1232</v>
      </c>
      <c r="WZC2187" s="594" t="s">
        <v>1232</v>
      </c>
      <c r="WZD2187" s="594" t="s">
        <v>1232</v>
      </c>
      <c r="WZE2187" s="594" t="s">
        <v>1232</v>
      </c>
      <c r="WZF2187" s="594" t="s">
        <v>1232</v>
      </c>
      <c r="WZG2187" s="594" t="s">
        <v>1232</v>
      </c>
      <c r="WZH2187" s="594" t="s">
        <v>1232</v>
      </c>
      <c r="WZI2187" s="594" t="s">
        <v>1232</v>
      </c>
      <c r="WZJ2187" s="594" t="s">
        <v>1232</v>
      </c>
      <c r="WZK2187" s="594" t="s">
        <v>1232</v>
      </c>
      <c r="WZL2187" s="594" t="s">
        <v>1232</v>
      </c>
      <c r="WZM2187" s="594" t="s">
        <v>1232</v>
      </c>
      <c r="WZN2187" s="594" t="s">
        <v>1232</v>
      </c>
      <c r="WZO2187" s="594" t="s">
        <v>1232</v>
      </c>
      <c r="WZP2187" s="594" t="s">
        <v>1232</v>
      </c>
      <c r="WZQ2187" s="594" t="s">
        <v>1232</v>
      </c>
      <c r="WZR2187" s="594" t="s">
        <v>1232</v>
      </c>
      <c r="WZS2187" s="594" t="s">
        <v>1232</v>
      </c>
      <c r="WZT2187" s="594" t="s">
        <v>1232</v>
      </c>
      <c r="WZU2187" s="594" t="s">
        <v>1232</v>
      </c>
      <c r="WZV2187" s="594" t="s">
        <v>1232</v>
      </c>
      <c r="WZW2187" s="594" t="s">
        <v>1232</v>
      </c>
      <c r="WZX2187" s="594" t="s">
        <v>1232</v>
      </c>
      <c r="WZY2187" s="594" t="s">
        <v>1232</v>
      </c>
      <c r="WZZ2187" s="594" t="s">
        <v>1232</v>
      </c>
      <c r="XAA2187" s="594" t="s">
        <v>1232</v>
      </c>
      <c r="XAB2187" s="594" t="s">
        <v>1232</v>
      </c>
      <c r="XAC2187" s="594" t="s">
        <v>1232</v>
      </c>
      <c r="XAD2187" s="594" t="s">
        <v>1232</v>
      </c>
      <c r="XAE2187" s="594" t="s">
        <v>1232</v>
      </c>
      <c r="XAF2187" s="594" t="s">
        <v>1232</v>
      </c>
      <c r="XAG2187" s="594" t="s">
        <v>1232</v>
      </c>
      <c r="XAH2187" s="594" t="s">
        <v>1232</v>
      </c>
      <c r="XAI2187" s="594" t="s">
        <v>1232</v>
      </c>
      <c r="XAJ2187" s="594" t="s">
        <v>1232</v>
      </c>
      <c r="XAK2187" s="594" t="s">
        <v>1232</v>
      </c>
      <c r="XAL2187" s="594" t="s">
        <v>1232</v>
      </c>
      <c r="XAM2187" s="594" t="s">
        <v>1232</v>
      </c>
      <c r="XAN2187" s="594" t="s">
        <v>1232</v>
      </c>
      <c r="XAO2187" s="594" t="s">
        <v>1232</v>
      </c>
      <c r="XAP2187" s="594" t="s">
        <v>1232</v>
      </c>
      <c r="XAQ2187" s="594" t="s">
        <v>1232</v>
      </c>
      <c r="XAR2187" s="594" t="s">
        <v>1232</v>
      </c>
      <c r="XAS2187" s="594" t="s">
        <v>1232</v>
      </c>
      <c r="XAT2187" s="594" t="s">
        <v>1232</v>
      </c>
      <c r="XAU2187" s="594" t="s">
        <v>1232</v>
      </c>
      <c r="XAV2187" s="594" t="s">
        <v>1232</v>
      </c>
      <c r="XAW2187" s="594" t="s">
        <v>1232</v>
      </c>
      <c r="XAX2187" s="594" t="s">
        <v>1232</v>
      </c>
      <c r="XAY2187" s="594" t="s">
        <v>1232</v>
      </c>
      <c r="XAZ2187" s="594" t="s">
        <v>1232</v>
      </c>
      <c r="XBA2187" s="594" t="s">
        <v>1232</v>
      </c>
      <c r="XBB2187" s="594" t="s">
        <v>1232</v>
      </c>
      <c r="XBC2187" s="594" t="s">
        <v>1232</v>
      </c>
      <c r="XBD2187" s="594" t="s">
        <v>1232</v>
      </c>
      <c r="XBE2187" s="594" t="s">
        <v>1232</v>
      </c>
      <c r="XBF2187" s="594" t="s">
        <v>1232</v>
      </c>
      <c r="XBG2187" s="594" t="s">
        <v>1232</v>
      </c>
      <c r="XBH2187" s="594" t="s">
        <v>1232</v>
      </c>
      <c r="XBI2187" s="594" t="s">
        <v>1232</v>
      </c>
      <c r="XBJ2187" s="594" t="s">
        <v>1232</v>
      </c>
      <c r="XBK2187" s="594" t="s">
        <v>1232</v>
      </c>
      <c r="XBL2187" s="594" t="s">
        <v>1232</v>
      </c>
      <c r="XBM2187" s="594" t="s">
        <v>1232</v>
      </c>
      <c r="XBN2187" s="594" t="s">
        <v>1232</v>
      </c>
      <c r="XBO2187" s="594" t="s">
        <v>1232</v>
      </c>
      <c r="XBP2187" s="594" t="s">
        <v>1232</v>
      </c>
      <c r="XBQ2187" s="594" t="s">
        <v>1232</v>
      </c>
      <c r="XBR2187" s="594" t="s">
        <v>1232</v>
      </c>
      <c r="XBS2187" s="594" t="s">
        <v>1232</v>
      </c>
      <c r="XBT2187" s="594" t="s">
        <v>1232</v>
      </c>
      <c r="XBU2187" s="594" t="s">
        <v>1232</v>
      </c>
      <c r="XBV2187" s="594" t="s">
        <v>1232</v>
      </c>
      <c r="XBW2187" s="594" t="s">
        <v>1232</v>
      </c>
      <c r="XBX2187" s="594" t="s">
        <v>1232</v>
      </c>
      <c r="XBY2187" s="594" t="s">
        <v>1232</v>
      </c>
      <c r="XBZ2187" s="594" t="s">
        <v>1232</v>
      </c>
      <c r="XCA2187" s="594" t="s">
        <v>1232</v>
      </c>
      <c r="XCB2187" s="594" t="s">
        <v>1232</v>
      </c>
      <c r="XCC2187" s="594" t="s">
        <v>1232</v>
      </c>
      <c r="XCD2187" s="594" t="s">
        <v>1232</v>
      </c>
      <c r="XCE2187" s="594" t="s">
        <v>1232</v>
      </c>
      <c r="XCF2187" s="594" t="s">
        <v>1232</v>
      </c>
      <c r="XCG2187" s="594" t="s">
        <v>1232</v>
      </c>
      <c r="XCH2187" s="594" t="s">
        <v>1232</v>
      </c>
      <c r="XCI2187" s="594" t="s">
        <v>1232</v>
      </c>
      <c r="XCJ2187" s="594" t="s">
        <v>1232</v>
      </c>
      <c r="XCK2187" s="594" t="s">
        <v>1232</v>
      </c>
      <c r="XCL2187" s="594" t="s">
        <v>1232</v>
      </c>
      <c r="XCM2187" s="594" t="s">
        <v>1232</v>
      </c>
      <c r="XCN2187" s="594" t="s">
        <v>1232</v>
      </c>
      <c r="XCO2187" s="594" t="s">
        <v>1232</v>
      </c>
      <c r="XCP2187" s="594" t="s">
        <v>1232</v>
      </c>
      <c r="XCQ2187" s="594" t="s">
        <v>1232</v>
      </c>
      <c r="XCR2187" s="594" t="s">
        <v>1232</v>
      </c>
      <c r="XCS2187" s="594" t="s">
        <v>1232</v>
      </c>
      <c r="XCT2187" s="594" t="s">
        <v>1232</v>
      </c>
      <c r="XCU2187" s="594" t="s">
        <v>1232</v>
      </c>
      <c r="XCV2187" s="594" t="s">
        <v>1232</v>
      </c>
      <c r="XCW2187" s="594" t="s">
        <v>1232</v>
      </c>
      <c r="XCX2187" s="594" t="s">
        <v>1232</v>
      </c>
      <c r="XCY2187" s="594" t="s">
        <v>1232</v>
      </c>
      <c r="XCZ2187" s="594" t="s">
        <v>1232</v>
      </c>
      <c r="XDA2187" s="594" t="s">
        <v>1232</v>
      </c>
      <c r="XDB2187" s="594" t="s">
        <v>1232</v>
      </c>
      <c r="XDC2187" s="594" t="s">
        <v>1232</v>
      </c>
      <c r="XDD2187" s="594" t="s">
        <v>1232</v>
      </c>
      <c r="XDE2187" s="594" t="s">
        <v>1232</v>
      </c>
      <c r="XDF2187" s="594" t="s">
        <v>1232</v>
      </c>
      <c r="XDG2187" s="594" t="s">
        <v>1232</v>
      </c>
      <c r="XDH2187" s="594" t="s">
        <v>1232</v>
      </c>
      <c r="XDI2187" s="594" t="s">
        <v>1232</v>
      </c>
      <c r="XDJ2187" s="594" t="s">
        <v>1232</v>
      </c>
      <c r="XDK2187" s="594" t="s">
        <v>1232</v>
      </c>
      <c r="XDL2187" s="594" t="s">
        <v>1232</v>
      </c>
      <c r="XDM2187" s="594" t="s">
        <v>1232</v>
      </c>
      <c r="XDN2187" s="594" t="s">
        <v>1232</v>
      </c>
      <c r="XDO2187" s="594" t="s">
        <v>1232</v>
      </c>
      <c r="XDP2187" s="594" t="s">
        <v>1232</v>
      </c>
      <c r="XDQ2187" s="594" t="s">
        <v>1232</v>
      </c>
      <c r="XDR2187" s="594" t="s">
        <v>1232</v>
      </c>
      <c r="XDS2187" s="594" t="s">
        <v>1232</v>
      </c>
      <c r="XDT2187" s="594" t="s">
        <v>1232</v>
      </c>
      <c r="XDU2187" s="594" t="s">
        <v>1232</v>
      </c>
      <c r="XDV2187" s="594" t="s">
        <v>1232</v>
      </c>
      <c r="XDW2187" s="594" t="s">
        <v>1232</v>
      </c>
      <c r="XDX2187" s="594" t="s">
        <v>1232</v>
      </c>
      <c r="XDY2187" s="594" t="s">
        <v>1232</v>
      </c>
      <c r="XDZ2187" s="594" t="s">
        <v>1232</v>
      </c>
      <c r="XEA2187" s="594" t="s">
        <v>1232</v>
      </c>
      <c r="XEB2187" s="594" t="s">
        <v>1232</v>
      </c>
      <c r="XEC2187" s="594" t="s">
        <v>1232</v>
      </c>
      <c r="XED2187" s="594" t="s">
        <v>1232</v>
      </c>
      <c r="XEE2187" s="594" t="s">
        <v>1232</v>
      </c>
      <c r="XEF2187" s="594" t="s">
        <v>1232</v>
      </c>
      <c r="XEG2187" s="594" t="s">
        <v>1232</v>
      </c>
      <c r="XEH2187" s="594" t="s">
        <v>1232</v>
      </c>
      <c r="XEI2187" s="594" t="s">
        <v>1232</v>
      </c>
      <c r="XEJ2187" s="594" t="s">
        <v>1232</v>
      </c>
      <c r="XEK2187" s="594" t="s">
        <v>1232</v>
      </c>
      <c r="XEL2187" s="594" t="s">
        <v>1232</v>
      </c>
      <c r="XEM2187" s="594" t="s">
        <v>1232</v>
      </c>
      <c r="XEN2187" s="594" t="s">
        <v>1232</v>
      </c>
      <c r="XEO2187" s="594" t="s">
        <v>1232</v>
      </c>
      <c r="XEP2187" s="594" t="s">
        <v>1232</v>
      </c>
      <c r="XEQ2187" s="594" t="s">
        <v>1232</v>
      </c>
      <c r="XER2187" s="594" t="s">
        <v>1232</v>
      </c>
      <c r="XES2187" s="594" t="s">
        <v>1232</v>
      </c>
      <c r="XET2187" s="594" t="s">
        <v>1232</v>
      </c>
      <c r="XEU2187" s="594" t="s">
        <v>1232</v>
      </c>
      <c r="XEV2187" s="594" t="s">
        <v>1232</v>
      </c>
      <c r="XEW2187" s="594" t="s">
        <v>1232</v>
      </c>
      <c r="XEX2187" s="594" t="s">
        <v>1232</v>
      </c>
      <c r="XEY2187" s="594" t="s">
        <v>1232</v>
      </c>
      <c r="XEZ2187" s="594" t="s">
        <v>1232</v>
      </c>
      <c r="XFA2187" s="594" t="s">
        <v>1232</v>
      </c>
      <c r="XFB2187" s="594" t="s">
        <v>1232</v>
      </c>
      <c r="XFC2187" s="594" t="s">
        <v>1232</v>
      </c>
      <c r="XFD2187" s="594" t="s">
        <v>1232</v>
      </c>
    </row>
    <row r="2188" spans="1:16384" s="3" customFormat="1" x14ac:dyDescent="0.25">
      <c r="A2188" s="39" t="s">
        <v>539</v>
      </c>
      <c r="L2188" s="64"/>
    </row>
    <row r="2189" spans="1:16384" s="3" customFormat="1" x14ac:dyDescent="0.25">
      <c r="A2189" s="39" t="s">
        <v>670</v>
      </c>
      <c r="L2189" s="64"/>
    </row>
    <row r="2190" spans="1:16384" s="50" customFormat="1" ht="12.75" customHeight="1" x14ac:dyDescent="0.3">
      <c r="A2190" s="39" t="s">
        <v>1028</v>
      </c>
      <c r="B2190" s="3"/>
      <c r="C2190" s="3"/>
      <c r="D2190" s="3"/>
      <c r="E2190" s="3"/>
      <c r="F2190" s="3"/>
      <c r="G2190" s="3"/>
      <c r="H2190" s="3"/>
      <c r="I2190" s="3"/>
      <c r="J2190" s="3"/>
      <c r="K2190" s="3"/>
      <c r="L2190" s="64"/>
      <c r="M2190" s="3"/>
      <c r="N2190" s="3"/>
      <c r="O2190" s="3"/>
      <c r="P2190" s="3"/>
      <c r="Q2190" s="3"/>
      <c r="R2190" s="3"/>
      <c r="S2190" s="3"/>
      <c r="T2190" s="3"/>
      <c r="U2190" s="3"/>
      <c r="V2190" s="3"/>
      <c r="W2190" s="3"/>
      <c r="X2190" s="3"/>
      <c r="Y2190" s="3"/>
      <c r="Z2190" s="3"/>
    </row>
    <row r="2191" spans="1:16384" s="3" customFormat="1" x14ac:dyDescent="0.25">
      <c r="A2191" s="41" t="s">
        <v>872</v>
      </c>
      <c r="B2191" s="34"/>
      <c r="C2191" s="34"/>
      <c r="D2191" s="34"/>
      <c r="E2191" s="34"/>
      <c r="F2191" s="34"/>
      <c r="G2191" s="34"/>
      <c r="H2191" s="34"/>
      <c r="I2191" s="34"/>
      <c r="J2191" s="34"/>
      <c r="K2191" s="34"/>
      <c r="L2191" s="48"/>
    </row>
    <row r="2192" spans="1:16384" s="3" customFormat="1" x14ac:dyDescent="0.25"/>
    <row r="2193" spans="1:11" s="3" customFormat="1" x14ac:dyDescent="0.25"/>
    <row r="2194" spans="1:11" s="3" customFormat="1" x14ac:dyDescent="0.25">
      <c r="A2194" s="6" t="s">
        <v>24</v>
      </c>
      <c r="B2194" s="7" t="s">
        <v>540</v>
      </c>
    </row>
    <row r="2195" spans="1:11" s="3" customFormat="1" x14ac:dyDescent="0.25">
      <c r="A2195" s="151" t="s">
        <v>14</v>
      </c>
      <c r="B2195" s="24" t="s">
        <v>624</v>
      </c>
      <c r="C2195" s="481" t="s">
        <v>26</v>
      </c>
    </row>
    <row r="2196" spans="1:11" s="3" customFormat="1" x14ac:dyDescent="0.25">
      <c r="A2196" s="170" t="s">
        <v>27</v>
      </c>
      <c r="B2196" s="276">
        <v>2016</v>
      </c>
      <c r="C2196" s="154">
        <v>2017</v>
      </c>
      <c r="D2196" s="482">
        <v>2018</v>
      </c>
      <c r="E2196" s="154">
        <v>2019</v>
      </c>
      <c r="F2196" s="154">
        <v>2020</v>
      </c>
      <c r="G2196" s="154">
        <v>2021</v>
      </c>
      <c r="H2196" s="154">
        <v>2022</v>
      </c>
      <c r="I2196" s="154">
        <v>2023</v>
      </c>
      <c r="J2196" s="154">
        <v>2024</v>
      </c>
      <c r="K2196" s="154">
        <v>2025</v>
      </c>
    </row>
    <row r="2197" spans="1:11" s="3" customFormat="1" x14ac:dyDescent="0.25">
      <c r="A2197" s="11" t="s">
        <v>28</v>
      </c>
      <c r="B2197" s="72">
        <v>250</v>
      </c>
      <c r="C2197" s="72">
        <v>250</v>
      </c>
      <c r="D2197" s="72">
        <v>300</v>
      </c>
      <c r="E2197" s="72">
        <v>300</v>
      </c>
      <c r="F2197" s="12">
        <v>300</v>
      </c>
      <c r="G2197" s="12">
        <v>337.5</v>
      </c>
      <c r="H2197" s="12">
        <v>337.5</v>
      </c>
      <c r="I2197" s="12">
        <v>337.5</v>
      </c>
      <c r="J2197" s="12">
        <v>421.9</v>
      </c>
      <c r="K2197" s="12">
        <v>421.9</v>
      </c>
    </row>
    <row r="2198" spans="1:11" s="3" customFormat="1" x14ac:dyDescent="0.25">
      <c r="A2198" s="11" t="s">
        <v>29</v>
      </c>
      <c r="B2198" s="72">
        <v>-415.21000000000004</v>
      </c>
      <c r="C2198" s="72">
        <f>B2201+C2197+60+150+114</f>
        <v>-128.19000000000005</v>
      </c>
      <c r="D2198" s="72">
        <f>C2201+D2197</f>
        <v>-129.54000000000008</v>
      </c>
      <c r="E2198" s="72">
        <f>E2197+D2201</f>
        <v>5.0099999999999341</v>
      </c>
      <c r="F2198" s="72">
        <f>E2201+F2197</f>
        <v>84.089999999999947</v>
      </c>
      <c r="G2198" s="72">
        <f>G2197+F2201</f>
        <v>175.66999999999996</v>
      </c>
      <c r="H2198" s="72">
        <f>H2197+G2201</f>
        <v>214.65699999999998</v>
      </c>
      <c r="I2198" s="72">
        <f>I2197+H2201</f>
        <v>234.81599999999997</v>
      </c>
      <c r="J2198" s="72">
        <f>J2197+I2201</f>
        <v>443.82599999999996</v>
      </c>
      <c r="K2198" s="72">
        <f>K2197+0.25*J2197</f>
        <v>527.375</v>
      </c>
    </row>
    <row r="2199" spans="1:11" s="3" customFormat="1" x14ac:dyDescent="0.25">
      <c r="A2199" s="11" t="s">
        <v>30</v>
      </c>
      <c r="B2199" s="494"/>
      <c r="C2199" s="595" t="s">
        <v>543</v>
      </c>
      <c r="D2199" s="494" t="s">
        <v>544</v>
      </c>
      <c r="E2199" s="494" t="s">
        <v>545</v>
      </c>
      <c r="F2199" s="494" t="s">
        <v>548</v>
      </c>
      <c r="G2199" s="494" t="s">
        <v>550</v>
      </c>
      <c r="H2199" s="494" t="s">
        <v>693</v>
      </c>
      <c r="I2199" s="494" t="s">
        <v>852</v>
      </c>
      <c r="J2199" s="494" t="s">
        <v>1020</v>
      </c>
      <c r="K2199" s="494" t="s">
        <v>1126</v>
      </c>
    </row>
    <row r="2200" spans="1:11" s="3" customFormat="1" x14ac:dyDescent="0.25">
      <c r="A2200" s="11" t="s">
        <v>31</v>
      </c>
      <c r="B2200" s="72">
        <v>286.98</v>
      </c>
      <c r="C2200" s="72">
        <v>301.35000000000002</v>
      </c>
      <c r="D2200" s="72">
        <v>165.45</v>
      </c>
      <c r="E2200" s="72">
        <v>220.92</v>
      </c>
      <c r="F2200" s="12">
        <v>245.92</v>
      </c>
      <c r="G2200" s="12">
        <v>298.51299999999998</v>
      </c>
      <c r="H2200" s="12">
        <v>317.34100000000001</v>
      </c>
      <c r="I2200" s="12">
        <v>212.89</v>
      </c>
      <c r="J2200" s="11">
        <v>179.49600000000001</v>
      </c>
      <c r="K2200" s="11"/>
    </row>
    <row r="2201" spans="1:11" s="3" customFormat="1" x14ac:dyDescent="0.25">
      <c r="A2201" s="11" t="s">
        <v>32</v>
      </c>
      <c r="B2201" s="72">
        <f t="shared" ref="B2201:J2201" si="88">B2198-B2200</f>
        <v>-702.19</v>
      </c>
      <c r="C2201" s="72">
        <f t="shared" si="88"/>
        <v>-429.54000000000008</v>
      </c>
      <c r="D2201" s="72">
        <f t="shared" si="88"/>
        <v>-294.99000000000007</v>
      </c>
      <c r="E2201" s="72">
        <f t="shared" si="88"/>
        <v>-215.91000000000005</v>
      </c>
      <c r="F2201" s="72">
        <f t="shared" si="88"/>
        <v>-161.83000000000004</v>
      </c>
      <c r="G2201" s="12">
        <f t="shared" si="88"/>
        <v>-122.84300000000002</v>
      </c>
      <c r="H2201" s="12">
        <f t="shared" si="88"/>
        <v>-102.68400000000003</v>
      </c>
      <c r="I2201" s="12">
        <f t="shared" si="88"/>
        <v>21.925999999999988</v>
      </c>
      <c r="J2201" s="12">
        <f t="shared" si="88"/>
        <v>264.32999999999993</v>
      </c>
      <c r="K2201" s="11"/>
    </row>
    <row r="2202" spans="1:11" s="3" customFormat="1" x14ac:dyDescent="0.25">
      <c r="A2202" s="16" t="s">
        <v>33</v>
      </c>
      <c r="B2202" s="159">
        <v>2018</v>
      </c>
      <c r="C2202" s="159">
        <v>2018</v>
      </c>
      <c r="D2202" s="159">
        <v>2019</v>
      </c>
      <c r="E2202" s="159">
        <v>2020</v>
      </c>
      <c r="F2202" s="159">
        <v>2021</v>
      </c>
      <c r="G2202" s="159">
        <v>2022</v>
      </c>
      <c r="H2202" s="159">
        <v>2023</v>
      </c>
      <c r="I2202" s="159">
        <v>2024</v>
      </c>
      <c r="J2202" s="159">
        <v>2025</v>
      </c>
      <c r="K2202" s="197">
        <v>2026</v>
      </c>
    </row>
    <row r="2203" spans="1:11" s="3" customFormat="1" x14ac:dyDescent="0.25">
      <c r="A2203" s="18" t="s">
        <v>542</v>
      </c>
      <c r="B2203" s="447"/>
      <c r="C2203" s="447"/>
      <c r="D2203" s="447"/>
      <c r="E2203" s="447"/>
      <c r="F2203" s="447"/>
      <c r="G2203" s="19"/>
      <c r="H2203" s="19"/>
      <c r="I2203" s="19"/>
      <c r="J2203" s="19"/>
      <c r="K2203" s="63"/>
    </row>
    <row r="2204" spans="1:11" s="3" customFormat="1" x14ac:dyDescent="0.25">
      <c r="A2204" s="39" t="s">
        <v>546</v>
      </c>
      <c r="B2204" s="454"/>
      <c r="C2204" s="454"/>
      <c r="D2204" s="454"/>
      <c r="E2204" s="454"/>
      <c r="F2204" s="454"/>
      <c r="K2204" s="64"/>
    </row>
    <row r="2205" spans="1:11" s="3" customFormat="1" x14ac:dyDescent="0.25">
      <c r="A2205" s="39" t="s">
        <v>547</v>
      </c>
      <c r="B2205" s="454"/>
      <c r="C2205" s="454"/>
      <c r="D2205" s="454"/>
      <c r="E2205" s="454"/>
      <c r="F2205" s="454"/>
      <c r="K2205" s="64"/>
    </row>
    <row r="2206" spans="1:11" s="3" customFormat="1" x14ac:dyDescent="0.25">
      <c r="A2206" s="39" t="s">
        <v>549</v>
      </c>
      <c r="B2206" s="454"/>
      <c r="C2206" s="454"/>
      <c r="D2206" s="454"/>
      <c r="E2206" s="454"/>
      <c r="F2206" s="454"/>
      <c r="K2206" s="64"/>
    </row>
    <row r="2207" spans="1:11" s="3" customFormat="1" x14ac:dyDescent="0.25">
      <c r="A2207" s="39" t="s">
        <v>551</v>
      </c>
      <c r="B2207" s="454"/>
      <c r="C2207" s="454"/>
      <c r="D2207" s="454"/>
      <c r="E2207" s="454"/>
      <c r="F2207" s="454"/>
      <c r="K2207" s="64"/>
    </row>
    <row r="2208" spans="1:11" s="3" customFormat="1" x14ac:dyDescent="0.25">
      <c r="A2208" s="39" t="s">
        <v>694</v>
      </c>
      <c r="B2208" s="454"/>
      <c r="C2208" s="454"/>
      <c r="D2208" s="454"/>
      <c r="E2208" s="454"/>
      <c r="F2208" s="454"/>
      <c r="K2208" s="64"/>
    </row>
    <row r="2209" spans="1:11" s="3" customFormat="1" x14ac:dyDescent="0.25">
      <c r="A2209" s="39" t="s">
        <v>853</v>
      </c>
      <c r="B2209" s="454"/>
      <c r="C2209" s="454"/>
      <c r="D2209" s="454"/>
      <c r="E2209" s="454"/>
      <c r="F2209" s="454"/>
      <c r="K2209" s="64"/>
    </row>
    <row r="2210" spans="1:11" s="3" customFormat="1" x14ac:dyDescent="0.25">
      <c r="A2210" s="39" t="s">
        <v>1021</v>
      </c>
      <c r="B2210" s="454"/>
      <c r="C2210" s="454"/>
      <c r="D2210" s="454"/>
      <c r="E2210" s="454"/>
      <c r="F2210" s="454"/>
      <c r="K2210" s="64"/>
    </row>
    <row r="2211" spans="1:11" s="3" customFormat="1" x14ac:dyDescent="0.25">
      <c r="A2211" s="39" t="s">
        <v>1129</v>
      </c>
      <c r="B2211" s="454"/>
      <c r="C2211" s="454"/>
      <c r="D2211" s="454"/>
      <c r="E2211" s="454"/>
      <c r="F2211" s="454"/>
      <c r="K2211" s="64"/>
    </row>
    <row r="2212" spans="1:11" s="3" customFormat="1" x14ac:dyDescent="0.25">
      <c r="A2212" s="41" t="s">
        <v>541</v>
      </c>
      <c r="B2212" s="495"/>
      <c r="C2212" s="495"/>
      <c r="D2212" s="495"/>
      <c r="E2212" s="495"/>
      <c r="F2212" s="495"/>
      <c r="G2212" s="34"/>
      <c r="H2212" s="34"/>
      <c r="I2212" s="34"/>
      <c r="J2212" s="34"/>
      <c r="K2212" s="48"/>
    </row>
    <row r="2213" spans="1:11" s="3" customFormat="1" x14ac:dyDescent="0.25">
      <c r="A2213" s="2"/>
      <c r="B2213" s="2"/>
    </row>
    <row r="2214" spans="1:11" s="3" customFormat="1" x14ac:dyDescent="0.25">
      <c r="A2214" s="6" t="s">
        <v>14</v>
      </c>
      <c r="B2214" s="7" t="s">
        <v>623</v>
      </c>
      <c r="C2214" s="481" t="s">
        <v>26</v>
      </c>
    </row>
    <row r="2215" spans="1:11" s="3" customFormat="1" x14ac:dyDescent="0.25">
      <c r="A2215" s="170" t="s">
        <v>27</v>
      </c>
      <c r="B2215" s="154">
        <v>2016</v>
      </c>
      <c r="C2215" s="154">
        <v>2017</v>
      </c>
      <c r="D2215" s="482">
        <v>2018</v>
      </c>
      <c r="E2215" s="154">
        <v>2019</v>
      </c>
      <c r="F2215" s="154">
        <v>2020</v>
      </c>
      <c r="G2215" s="154">
        <v>2021</v>
      </c>
      <c r="H2215" s="154">
        <v>2022</v>
      </c>
      <c r="I2215" s="154">
        <v>2023</v>
      </c>
      <c r="J2215" s="154">
        <v>2024</v>
      </c>
      <c r="K2215" s="154">
        <v>2025</v>
      </c>
    </row>
    <row r="2216" spans="1:11" s="3" customFormat="1" x14ac:dyDescent="0.25">
      <c r="A2216" s="11" t="s">
        <v>28</v>
      </c>
      <c r="B2216" s="72">
        <v>85</v>
      </c>
      <c r="C2216" s="72">
        <v>85</v>
      </c>
      <c r="D2216" s="72">
        <v>85</v>
      </c>
      <c r="E2216" s="72">
        <v>85</v>
      </c>
      <c r="F2216" s="12">
        <v>85</v>
      </c>
      <c r="G2216" s="12">
        <v>85</v>
      </c>
      <c r="H2216" s="12">
        <v>85</v>
      </c>
      <c r="I2216" s="12">
        <v>85</v>
      </c>
      <c r="J2216" s="12">
        <v>85</v>
      </c>
      <c r="K2216" s="12">
        <v>85</v>
      </c>
    </row>
    <row r="2217" spans="1:11" s="3" customFormat="1" x14ac:dyDescent="0.25">
      <c r="A2217" s="11" t="s">
        <v>29</v>
      </c>
      <c r="B2217" s="72">
        <f>B2216*1.5</f>
        <v>127.5</v>
      </c>
      <c r="C2217" s="72">
        <f>C2216+0.5*B2216-12.75</f>
        <v>114.75</v>
      </c>
      <c r="D2217" s="72">
        <f>D2216+0.4*B2216-12.75</f>
        <v>106.25</v>
      </c>
      <c r="E2217" s="72">
        <f t="shared" ref="E2217:K2217" si="89">E2216+0.4*C2216</f>
        <v>119</v>
      </c>
      <c r="F2217" s="72">
        <f t="shared" si="89"/>
        <v>119</v>
      </c>
      <c r="G2217" s="72">
        <f t="shared" si="89"/>
        <v>119</v>
      </c>
      <c r="H2217" s="72">
        <f t="shared" si="89"/>
        <v>119</v>
      </c>
      <c r="I2217" s="72">
        <f t="shared" si="89"/>
        <v>119</v>
      </c>
      <c r="J2217" s="72">
        <f t="shared" si="89"/>
        <v>119</v>
      </c>
      <c r="K2217" s="72">
        <f t="shared" si="89"/>
        <v>119</v>
      </c>
    </row>
    <row r="2218" spans="1:11" s="3" customFormat="1" x14ac:dyDescent="0.25">
      <c r="A2218" s="11" t="s">
        <v>30</v>
      </c>
      <c r="B2218" s="252" t="s">
        <v>552</v>
      </c>
      <c r="C2218" s="252" t="s">
        <v>555</v>
      </c>
      <c r="D2218" s="252" t="s">
        <v>556</v>
      </c>
      <c r="E2218" s="252" t="s">
        <v>557</v>
      </c>
      <c r="F2218" s="252" t="s">
        <v>557</v>
      </c>
      <c r="G2218" s="252" t="s">
        <v>557</v>
      </c>
      <c r="H2218" s="252" t="s">
        <v>557</v>
      </c>
      <c r="I2218" s="252" t="s">
        <v>557</v>
      </c>
      <c r="J2218" s="252" t="s">
        <v>557</v>
      </c>
      <c r="K2218" s="252" t="s">
        <v>557</v>
      </c>
    </row>
    <row r="2219" spans="1:11" s="3" customFormat="1" x14ac:dyDescent="0.25">
      <c r="A2219" s="11" t="s">
        <v>31</v>
      </c>
      <c r="B2219" s="72">
        <v>52.75</v>
      </c>
      <c r="C2219" s="72">
        <v>52.26</v>
      </c>
      <c r="D2219" s="72">
        <v>30.79</v>
      </c>
      <c r="E2219" s="72">
        <v>31.39</v>
      </c>
      <c r="F2219" s="12">
        <v>14.36</v>
      </c>
      <c r="G2219" s="12">
        <v>13.391</v>
      </c>
      <c r="H2219" s="12">
        <v>16.809999999999999</v>
      </c>
      <c r="I2219" s="12">
        <v>31.181000000000001</v>
      </c>
      <c r="J2219" s="12">
        <v>38.901000000000003</v>
      </c>
      <c r="K2219" s="112"/>
    </row>
    <row r="2220" spans="1:11" s="3" customFormat="1" x14ac:dyDescent="0.25">
      <c r="A2220" s="11" t="s">
        <v>32</v>
      </c>
      <c r="B2220" s="72">
        <f t="shared" ref="B2220:J2220" si="90">B2217-B2219</f>
        <v>74.75</v>
      </c>
      <c r="C2220" s="72">
        <f t="shared" si="90"/>
        <v>62.49</v>
      </c>
      <c r="D2220" s="72">
        <f t="shared" si="90"/>
        <v>75.460000000000008</v>
      </c>
      <c r="E2220" s="72">
        <f t="shared" si="90"/>
        <v>87.61</v>
      </c>
      <c r="F2220" s="72">
        <f t="shared" si="90"/>
        <v>104.64</v>
      </c>
      <c r="G2220" s="12">
        <f t="shared" si="90"/>
        <v>105.60899999999999</v>
      </c>
      <c r="H2220" s="12">
        <f t="shared" si="90"/>
        <v>102.19</v>
      </c>
      <c r="I2220" s="12">
        <f t="shared" si="90"/>
        <v>87.819000000000003</v>
      </c>
      <c r="J2220" s="12">
        <f t="shared" si="90"/>
        <v>80.09899999999999</v>
      </c>
      <c r="K2220" s="113"/>
    </row>
    <row r="2221" spans="1:11" s="3" customFormat="1" x14ac:dyDescent="0.25">
      <c r="A2221" s="16" t="s">
        <v>33</v>
      </c>
      <c r="B2221" s="159">
        <v>2018</v>
      </c>
      <c r="C2221" s="159">
        <v>2019</v>
      </c>
      <c r="D2221" s="483">
        <v>2020</v>
      </c>
      <c r="E2221" s="159">
        <v>2021</v>
      </c>
      <c r="F2221" s="159">
        <v>2022</v>
      </c>
      <c r="G2221" s="159">
        <v>2023</v>
      </c>
      <c r="H2221" s="159">
        <v>2024</v>
      </c>
      <c r="I2221" s="159">
        <v>2025</v>
      </c>
      <c r="J2221" s="159">
        <v>2025</v>
      </c>
      <c r="K2221" s="596">
        <v>2027</v>
      </c>
    </row>
    <row r="2222" spans="1:11" s="3" customFormat="1" ht="13.2" customHeight="1" x14ac:dyDescent="0.25">
      <c r="A2222" s="18" t="s">
        <v>502</v>
      </c>
      <c r="B2222" s="597"/>
      <c r="C2222" s="597"/>
      <c r="D2222" s="597"/>
      <c r="E2222" s="597"/>
      <c r="F2222" s="597"/>
      <c r="G2222" s="597"/>
      <c r="H2222" s="597"/>
      <c r="I2222" s="597"/>
      <c r="J2222" s="597"/>
      <c r="K2222" s="63"/>
    </row>
    <row r="2223" spans="1:11" s="3" customFormat="1" x14ac:dyDescent="0.25">
      <c r="A2223" s="161" t="s">
        <v>503</v>
      </c>
      <c r="B2223" s="32"/>
      <c r="C2223" s="32"/>
      <c r="D2223" s="32"/>
      <c r="E2223" s="32"/>
      <c r="F2223" s="32"/>
      <c r="G2223" s="32"/>
      <c r="H2223" s="32"/>
      <c r="I2223" s="32"/>
      <c r="J2223" s="32"/>
      <c r="K2223" s="64"/>
    </row>
    <row r="2224" spans="1:11" s="3" customFormat="1" x14ac:dyDescent="0.25">
      <c r="A2224" s="39" t="s">
        <v>553</v>
      </c>
      <c r="K2224" s="64"/>
    </row>
    <row r="2225" spans="1:11" s="3" customFormat="1" x14ac:dyDescent="0.25">
      <c r="A2225" s="41" t="s">
        <v>554</v>
      </c>
      <c r="B2225" s="34"/>
      <c r="C2225" s="34"/>
      <c r="D2225" s="34"/>
      <c r="E2225" s="34"/>
      <c r="F2225" s="34"/>
      <c r="G2225" s="34"/>
      <c r="H2225" s="34"/>
      <c r="I2225" s="34"/>
      <c r="J2225" s="34"/>
      <c r="K2225" s="48"/>
    </row>
    <row r="2226" spans="1:11" s="3" customFormat="1" x14ac:dyDescent="0.25"/>
    <row r="2227" spans="1:11" s="3" customFormat="1" x14ac:dyDescent="0.25">
      <c r="A2227" s="6" t="s">
        <v>14</v>
      </c>
      <c r="B2227" s="7" t="s">
        <v>74</v>
      </c>
      <c r="C2227" s="481" t="s">
        <v>26</v>
      </c>
    </row>
    <row r="2228" spans="1:11" s="3" customFormat="1" x14ac:dyDescent="0.25">
      <c r="A2228" s="170" t="s">
        <v>27</v>
      </c>
      <c r="B2228" s="154">
        <v>2016</v>
      </c>
      <c r="C2228" s="154">
        <v>2017</v>
      </c>
      <c r="D2228" s="482">
        <v>2018</v>
      </c>
      <c r="E2228" s="154">
        <v>2019</v>
      </c>
      <c r="F2228" s="154">
        <v>2020</v>
      </c>
      <c r="G2228" s="154">
        <v>2021</v>
      </c>
      <c r="H2228" s="154">
        <v>2022</v>
      </c>
      <c r="I2228" s="154">
        <v>2023</v>
      </c>
      <c r="J2228" s="154">
        <v>2024</v>
      </c>
      <c r="K2228" s="154">
        <v>2025</v>
      </c>
    </row>
    <row r="2229" spans="1:11" s="3" customFormat="1" x14ac:dyDescent="0.25">
      <c r="A2229" s="11" t="s">
        <v>28</v>
      </c>
      <c r="B2229" s="72">
        <v>100</v>
      </c>
      <c r="C2229" s="72">
        <v>100</v>
      </c>
      <c r="D2229" s="72">
        <v>100</v>
      </c>
      <c r="E2229" s="72">
        <v>100</v>
      </c>
      <c r="F2229" s="12">
        <v>84.1</v>
      </c>
      <c r="G2229" s="12">
        <v>84.1</v>
      </c>
      <c r="H2229" s="12">
        <v>84.1</v>
      </c>
      <c r="I2229" s="12">
        <v>84.1</v>
      </c>
      <c r="J2229" s="12">
        <v>84.1</v>
      </c>
      <c r="K2229" s="12">
        <v>84.1</v>
      </c>
    </row>
    <row r="2230" spans="1:11" s="3" customFormat="1" x14ac:dyDescent="0.25">
      <c r="A2230" s="11" t="s">
        <v>29</v>
      </c>
      <c r="B2230" s="72">
        <f>B2229*1.1</f>
        <v>110.00000000000001</v>
      </c>
      <c r="C2230" s="72">
        <f>C2229*1.1-30</f>
        <v>80.000000000000014</v>
      </c>
      <c r="D2230" s="72">
        <f>D2229+C2233+0.1*B2229</f>
        <v>92.590000000000018</v>
      </c>
      <c r="E2230" s="72">
        <v>100</v>
      </c>
      <c r="F2230" s="72">
        <f>F2229+0.1*D2229</f>
        <v>94.1</v>
      </c>
      <c r="G2230" s="72">
        <f>G2229+0.1*E2229</f>
        <v>94.1</v>
      </c>
      <c r="H2230" s="72"/>
      <c r="I2230" s="72"/>
      <c r="J2230" s="72">
        <f>J2229+I2233</f>
        <v>82.440999999999988</v>
      </c>
      <c r="K2230" s="72">
        <f>K2229+1.25*J2233</f>
        <v>60.978749999999977</v>
      </c>
    </row>
    <row r="2231" spans="1:11" s="3" customFormat="1" x14ac:dyDescent="0.25">
      <c r="A2231" s="11" t="s">
        <v>30</v>
      </c>
      <c r="B2231" s="252" t="s">
        <v>559</v>
      </c>
      <c r="C2231" s="252" t="s">
        <v>560</v>
      </c>
      <c r="D2231" s="598" t="s">
        <v>543</v>
      </c>
      <c r="E2231" s="252"/>
      <c r="F2231" s="252" t="s">
        <v>562</v>
      </c>
      <c r="G2231" s="252" t="s">
        <v>562</v>
      </c>
      <c r="H2231" s="252"/>
      <c r="I2231" s="252"/>
      <c r="J2231" s="252"/>
      <c r="K2231" s="252" t="s">
        <v>400</v>
      </c>
    </row>
    <row r="2232" spans="1:11" s="3" customFormat="1" x14ac:dyDescent="0.25">
      <c r="A2232" s="11" t="s">
        <v>31</v>
      </c>
      <c r="B2232" s="72">
        <v>82.51</v>
      </c>
      <c r="C2232" s="72">
        <v>97.41</v>
      </c>
      <c r="D2232" s="72">
        <v>61.54</v>
      </c>
      <c r="E2232" s="72">
        <v>60.49</v>
      </c>
      <c r="F2232" s="12">
        <v>42.46</v>
      </c>
      <c r="G2232" s="12">
        <v>42.97</v>
      </c>
      <c r="H2232" s="12">
        <v>71.760000000000005</v>
      </c>
      <c r="I2232" s="12">
        <v>85.759</v>
      </c>
      <c r="J2232" s="12">
        <v>100.938</v>
      </c>
      <c r="K2232" s="12"/>
    </row>
    <row r="2233" spans="1:11" s="3" customFormat="1" x14ac:dyDescent="0.25">
      <c r="A2233" s="11" t="s">
        <v>32</v>
      </c>
      <c r="B2233" s="72">
        <f t="shared" ref="B2233:G2233" si="91">B2230-B2232</f>
        <v>27.490000000000009</v>
      </c>
      <c r="C2233" s="72">
        <f t="shared" si="91"/>
        <v>-17.409999999999982</v>
      </c>
      <c r="D2233" s="72">
        <f t="shared" si="91"/>
        <v>31.050000000000018</v>
      </c>
      <c r="E2233" s="72">
        <f t="shared" si="91"/>
        <v>39.51</v>
      </c>
      <c r="F2233" s="72">
        <f t="shared" si="91"/>
        <v>51.639999999999993</v>
      </c>
      <c r="G2233" s="12">
        <f t="shared" si="91"/>
        <v>51.129999999999995</v>
      </c>
      <c r="H2233" s="12">
        <f>H2229-H2232</f>
        <v>12.339999999999989</v>
      </c>
      <c r="I2233" s="12">
        <f>I2229-I2232</f>
        <v>-1.659000000000006</v>
      </c>
      <c r="J2233" s="12">
        <f>J2230-J2232</f>
        <v>-18.497000000000014</v>
      </c>
      <c r="K2233" s="12"/>
    </row>
    <row r="2234" spans="1:11" s="3" customFormat="1" x14ac:dyDescent="0.25">
      <c r="A2234" s="16" t="s">
        <v>33</v>
      </c>
      <c r="B2234" s="159">
        <v>2018</v>
      </c>
      <c r="C2234" s="159">
        <v>2018</v>
      </c>
      <c r="D2234" s="483">
        <v>2020</v>
      </c>
      <c r="E2234" s="159">
        <v>2021</v>
      </c>
      <c r="F2234" s="159"/>
      <c r="G2234" s="159"/>
      <c r="H2234" s="159"/>
      <c r="I2234" s="159">
        <v>2024</v>
      </c>
      <c r="J2234" s="159">
        <v>2025</v>
      </c>
      <c r="K2234" s="159">
        <v>2026</v>
      </c>
    </row>
    <row r="2235" spans="1:11" s="3" customFormat="1" x14ac:dyDescent="0.25">
      <c r="A2235" s="18" t="s">
        <v>558</v>
      </c>
      <c r="B2235" s="597"/>
      <c r="C2235" s="597"/>
      <c r="D2235" s="597"/>
      <c r="E2235" s="597"/>
      <c r="F2235" s="597"/>
      <c r="G2235" s="597"/>
      <c r="H2235" s="597"/>
      <c r="I2235" s="597"/>
      <c r="J2235" s="597"/>
      <c r="K2235" s="63"/>
    </row>
    <row r="2236" spans="1:11" s="3" customFormat="1" x14ac:dyDescent="0.25">
      <c r="A2236" s="39" t="s">
        <v>563</v>
      </c>
      <c r="B2236" s="4"/>
      <c r="C2236" s="4"/>
      <c r="D2236" s="4"/>
      <c r="E2236" s="4"/>
      <c r="F2236" s="4"/>
      <c r="G2236" s="4"/>
      <c r="H2236" s="4"/>
      <c r="I2236" s="4"/>
      <c r="J2236" s="4"/>
      <c r="K2236" s="64"/>
    </row>
    <row r="2237" spans="1:11" s="3" customFormat="1" x14ac:dyDescent="0.25">
      <c r="A2237" s="39" t="s">
        <v>561</v>
      </c>
      <c r="B2237" s="4"/>
      <c r="C2237" s="4"/>
      <c r="D2237" s="4"/>
      <c r="E2237" s="4"/>
      <c r="F2237" s="4"/>
      <c r="G2237" s="4"/>
      <c r="H2237" s="4"/>
      <c r="I2237" s="4"/>
      <c r="J2237" s="4"/>
      <c r="K2237" s="64"/>
    </row>
    <row r="2238" spans="1:11" s="3" customFormat="1" x14ac:dyDescent="0.25">
      <c r="A2238" s="41" t="s">
        <v>1237</v>
      </c>
      <c r="B2238" s="34"/>
      <c r="C2238" s="34"/>
      <c r="D2238" s="34"/>
      <c r="E2238" s="34"/>
      <c r="F2238" s="34"/>
      <c r="G2238" s="34"/>
      <c r="H2238" s="34"/>
      <c r="I2238" s="34"/>
      <c r="J2238" s="34"/>
      <c r="K2238" s="48"/>
    </row>
    <row r="2239" spans="1:11" s="3" customFormat="1" x14ac:dyDescent="0.25"/>
    <row r="2240" spans="1:11" s="3" customFormat="1" x14ac:dyDescent="0.25">
      <c r="A2240" s="6" t="s">
        <v>14</v>
      </c>
      <c r="B2240" s="7" t="s">
        <v>79</v>
      </c>
      <c r="C2240" s="481" t="s">
        <v>26</v>
      </c>
    </row>
    <row r="2241" spans="1:11" s="3" customFormat="1" x14ac:dyDescent="0.25">
      <c r="A2241" s="170" t="s">
        <v>27</v>
      </c>
      <c r="B2241" s="154">
        <v>2016</v>
      </c>
      <c r="C2241" s="154">
        <v>2017</v>
      </c>
      <c r="D2241" s="482">
        <v>2018</v>
      </c>
      <c r="E2241" s="154">
        <v>2019</v>
      </c>
      <c r="F2241" s="154">
        <v>2020</v>
      </c>
      <c r="G2241" s="154">
        <v>2021</v>
      </c>
      <c r="H2241" s="154">
        <v>2022</v>
      </c>
      <c r="I2241" s="154">
        <v>2023</v>
      </c>
      <c r="J2241" s="154">
        <v>2024</v>
      </c>
      <c r="K2241" s="154">
        <v>2025</v>
      </c>
    </row>
    <row r="2242" spans="1:11" s="3" customFormat="1" x14ac:dyDescent="0.25">
      <c r="A2242" s="11" t="s">
        <v>28</v>
      </c>
      <c r="B2242" s="72">
        <v>50</v>
      </c>
      <c r="C2242" s="72">
        <v>50</v>
      </c>
      <c r="D2242" s="72">
        <v>50</v>
      </c>
      <c r="E2242" s="72">
        <v>50</v>
      </c>
      <c r="F2242" s="72">
        <v>50</v>
      </c>
      <c r="G2242" s="72">
        <v>50</v>
      </c>
      <c r="H2242" s="72">
        <v>50</v>
      </c>
      <c r="I2242" s="72">
        <v>50</v>
      </c>
      <c r="J2242" s="72">
        <v>50</v>
      </c>
      <c r="K2242" s="12">
        <v>50</v>
      </c>
    </row>
    <row r="2243" spans="1:11" s="3" customFormat="1" x14ac:dyDescent="0.25">
      <c r="A2243" s="11" t="s">
        <v>29</v>
      </c>
      <c r="B2243" s="72"/>
      <c r="C2243" s="72">
        <f>C2242+B2246</f>
        <v>-57.97999999999999</v>
      </c>
      <c r="D2243" s="72">
        <f>D2242+C2246</f>
        <v>-158.07</v>
      </c>
      <c r="E2243" s="72">
        <f>D2246+E2242</f>
        <v>-175.964</v>
      </c>
      <c r="F2243" s="72">
        <f>E2246+F2242</f>
        <v>-177.393</v>
      </c>
      <c r="G2243" s="72">
        <f>F2246+G2242</f>
        <v>-162.78800000000001</v>
      </c>
      <c r="H2243" s="72">
        <f>G2246*1.25+H2242</f>
        <v>-193.19875000000002</v>
      </c>
      <c r="I2243" s="72">
        <f>H2246*1.25+I2242</f>
        <v>-245.52468750000003</v>
      </c>
      <c r="J2243" s="72">
        <f>I2246*1.25+J2242</f>
        <v>-318.318359375</v>
      </c>
      <c r="K2243" s="72">
        <f>K2242+1.25*J2246</f>
        <v>-400.58919921875003</v>
      </c>
    </row>
    <row r="2244" spans="1:11" s="3" customFormat="1" x14ac:dyDescent="0.25">
      <c r="A2244" s="11" t="s">
        <v>30</v>
      </c>
      <c r="B2244" s="252"/>
      <c r="C2244" s="494" t="s">
        <v>543</v>
      </c>
      <c r="D2244" s="494" t="s">
        <v>544</v>
      </c>
      <c r="E2244" s="494" t="s">
        <v>545</v>
      </c>
      <c r="F2244" s="494" t="s">
        <v>548</v>
      </c>
      <c r="G2244" s="494" t="s">
        <v>550</v>
      </c>
      <c r="H2244" s="494" t="s">
        <v>693</v>
      </c>
      <c r="I2244" s="494" t="s">
        <v>852</v>
      </c>
      <c r="J2244" s="494" t="s">
        <v>1020</v>
      </c>
      <c r="K2244" s="494" t="s">
        <v>1126</v>
      </c>
    </row>
    <row r="2245" spans="1:11" s="3" customFormat="1" x14ac:dyDescent="0.25">
      <c r="A2245" s="11" t="s">
        <v>31</v>
      </c>
      <c r="B2245" s="72">
        <v>157.97999999999999</v>
      </c>
      <c r="C2245" s="72">
        <v>150.09</v>
      </c>
      <c r="D2245" s="72">
        <v>67.894000000000005</v>
      </c>
      <c r="E2245" s="72">
        <v>51.429000000000002</v>
      </c>
      <c r="F2245" s="12">
        <v>35.395000000000003</v>
      </c>
      <c r="G2245" s="12">
        <v>31.771000000000001</v>
      </c>
      <c r="H2245" s="12">
        <v>43.220999999999997</v>
      </c>
      <c r="I2245" s="12">
        <v>49.13</v>
      </c>
      <c r="J2245" s="12">
        <v>42.152999999999999</v>
      </c>
      <c r="K2245" s="12"/>
    </row>
    <row r="2246" spans="1:11" s="3" customFormat="1" x14ac:dyDescent="0.25">
      <c r="A2246" s="11" t="s">
        <v>32</v>
      </c>
      <c r="B2246" s="72">
        <f>B2242-B2245</f>
        <v>-107.97999999999999</v>
      </c>
      <c r="C2246" s="72">
        <f t="shared" ref="C2246:J2246" si="92">C2243-C2245</f>
        <v>-208.07</v>
      </c>
      <c r="D2246" s="72">
        <f t="shared" si="92"/>
        <v>-225.964</v>
      </c>
      <c r="E2246" s="72">
        <f t="shared" si="92"/>
        <v>-227.393</v>
      </c>
      <c r="F2246" s="72">
        <f t="shared" si="92"/>
        <v>-212.78800000000001</v>
      </c>
      <c r="G2246" s="72">
        <f t="shared" si="92"/>
        <v>-194.55900000000003</v>
      </c>
      <c r="H2246" s="72">
        <f t="shared" si="92"/>
        <v>-236.41975000000002</v>
      </c>
      <c r="I2246" s="72">
        <f t="shared" si="92"/>
        <v>-294.65468750000002</v>
      </c>
      <c r="J2246" s="72">
        <f t="shared" si="92"/>
        <v>-360.47135937500002</v>
      </c>
      <c r="K2246" s="12"/>
    </row>
    <row r="2247" spans="1:11" s="3" customFormat="1" x14ac:dyDescent="0.25">
      <c r="A2247" s="16" t="s">
        <v>33</v>
      </c>
      <c r="B2247" s="159">
        <v>2017</v>
      </c>
      <c r="C2247" s="159">
        <v>2018</v>
      </c>
      <c r="D2247" s="159">
        <v>2019</v>
      </c>
      <c r="E2247" s="159">
        <v>2020</v>
      </c>
      <c r="F2247" s="159">
        <v>2021</v>
      </c>
      <c r="G2247" s="159">
        <v>2022</v>
      </c>
      <c r="H2247" s="159">
        <v>2023</v>
      </c>
      <c r="I2247" s="159">
        <v>2024</v>
      </c>
      <c r="J2247" s="159">
        <v>2025</v>
      </c>
      <c r="K2247" s="159">
        <v>2026</v>
      </c>
    </row>
    <row r="2248" spans="1:11" s="3" customFormat="1" x14ac:dyDescent="0.25">
      <c r="A2248" s="18" t="s">
        <v>695</v>
      </c>
      <c r="B2248" s="597"/>
      <c r="C2248" s="597"/>
      <c r="D2248" s="597"/>
      <c r="E2248" s="597"/>
      <c r="F2248" s="597"/>
      <c r="G2248" s="597"/>
      <c r="H2248" s="597"/>
      <c r="I2248" s="597"/>
      <c r="J2248" s="597"/>
      <c r="K2248" s="63"/>
    </row>
    <row r="2249" spans="1:11" s="3" customFormat="1" x14ac:dyDescent="0.25">
      <c r="A2249" s="39" t="s">
        <v>546</v>
      </c>
      <c r="B2249" s="4"/>
      <c r="C2249" s="4"/>
      <c r="D2249" s="4"/>
      <c r="E2249" s="4"/>
      <c r="F2249" s="4"/>
      <c r="G2249" s="4"/>
      <c r="H2249" s="4"/>
      <c r="I2249" s="4"/>
      <c r="J2249" s="4"/>
      <c r="K2249" s="64"/>
    </row>
    <row r="2250" spans="1:11" s="3" customFormat="1" x14ac:dyDescent="0.25">
      <c r="A2250" s="39" t="s">
        <v>547</v>
      </c>
      <c r="K2250" s="64"/>
    </row>
    <row r="2251" spans="1:11" s="3" customFormat="1" x14ac:dyDescent="0.25">
      <c r="A2251" s="39" t="s">
        <v>549</v>
      </c>
      <c r="K2251" s="64"/>
    </row>
    <row r="2252" spans="1:11" s="3" customFormat="1" x14ac:dyDescent="0.25">
      <c r="A2252" s="39" t="s">
        <v>551</v>
      </c>
      <c r="K2252" s="64"/>
    </row>
    <row r="2253" spans="1:11" s="3" customFormat="1" x14ac:dyDescent="0.25">
      <c r="A2253" s="39" t="s">
        <v>906</v>
      </c>
      <c r="K2253" s="64"/>
    </row>
    <row r="2254" spans="1:11" s="3" customFormat="1" x14ac:dyDescent="0.25">
      <c r="A2254" s="39" t="s">
        <v>907</v>
      </c>
      <c r="K2254" s="64"/>
    </row>
    <row r="2255" spans="1:11" s="3" customFormat="1" x14ac:dyDescent="0.25">
      <c r="A2255" s="39" t="s">
        <v>1022</v>
      </c>
      <c r="K2255" s="64"/>
    </row>
    <row r="2256" spans="1:11" s="34" customFormat="1" x14ac:dyDescent="0.25">
      <c r="A2256" s="41" t="s">
        <v>1138</v>
      </c>
      <c r="K2256" s="48"/>
    </row>
    <row r="2257" s="3" customFormat="1" x14ac:dyDescent="0.25"/>
    <row r="2258" s="3" customFormat="1" x14ac:dyDescent="0.25"/>
    <row r="2259" s="3" customFormat="1" x14ac:dyDescent="0.25"/>
  </sheetData>
  <mergeCells count="54">
    <mergeCell ref="A268:L268"/>
    <mergeCell ref="B476:M476"/>
    <mergeCell ref="A1672:H1672"/>
    <mergeCell ref="A331:O331"/>
    <mergeCell ref="A749:E749"/>
    <mergeCell ref="A906:F906"/>
    <mergeCell ref="A814:J814"/>
    <mergeCell ref="A700:H700"/>
    <mergeCell ref="A369:M369"/>
    <mergeCell ref="A458:G458"/>
    <mergeCell ref="A584:F584"/>
    <mergeCell ref="A515:F515"/>
    <mergeCell ref="A569:F569"/>
    <mergeCell ref="A1607:E1607"/>
    <mergeCell ref="A1618:E1618"/>
    <mergeCell ref="A1452:G1452"/>
    <mergeCell ref="A15:E15"/>
    <mergeCell ref="A267:F267"/>
    <mergeCell ref="A200:G200"/>
    <mergeCell ref="A28:D28"/>
    <mergeCell ref="E110:K110"/>
    <mergeCell ref="C131:K131"/>
    <mergeCell ref="C147:K147"/>
    <mergeCell ref="A114:F114"/>
    <mergeCell ref="A115:F115"/>
    <mergeCell ref="A217:G217"/>
    <mergeCell ref="A231:G231"/>
    <mergeCell ref="A219:G219"/>
    <mergeCell ref="A29:D29"/>
    <mergeCell ref="A257:L257"/>
    <mergeCell ref="A1975:G1975"/>
    <mergeCell ref="A909:G909"/>
    <mergeCell ref="A1725:G1725"/>
    <mergeCell ref="A1453:G1453"/>
    <mergeCell ref="A1454:G1454"/>
    <mergeCell ref="A1696:D1696"/>
    <mergeCell ref="A1671:H1671"/>
    <mergeCell ref="A1669:H1669"/>
    <mergeCell ref="A1670:H1670"/>
    <mergeCell ref="A910:G910"/>
    <mergeCell ref="A1062:N1062"/>
    <mergeCell ref="C1403:J1403"/>
    <mergeCell ref="A1673:H1673"/>
    <mergeCell ref="A1455:G1455"/>
    <mergeCell ref="A914:G914"/>
    <mergeCell ref="A911:G911"/>
    <mergeCell ref="A464:G464"/>
    <mergeCell ref="A477:F477"/>
    <mergeCell ref="A494:F494"/>
    <mergeCell ref="A908:G908"/>
    <mergeCell ref="A903:F903"/>
    <mergeCell ref="A799:L799"/>
    <mergeCell ref="A905:F905"/>
    <mergeCell ref="A907:G907"/>
  </mergeCells>
  <phoneticPr fontId="10" type="noConversion"/>
  <pageMargins left="0.7" right="0.7" top="0.75" bottom="0.75" header="0.3" footer="0.3"/>
  <pageSetup paperSize="9" scale="10" orientation="landscape" r:id="rId1"/>
  <ignoredErrors>
    <ignoredError sqref="F1583 K1073 E2198:F2198 H163 I471 I1613 J1865" formula="1"/>
    <ignoredError sqref="H1949 I772:K772 I806:J806 H837 H787 H1931 C820 I787:J787 E820" unlockedFormula="1"/>
    <ignoredError sqref="C1690 H2244 E708"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Adjustement data</vt:lpstr>
      <vt:lpstr>'Adjustement data'!Print_Area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Carmen Ochoa</dc:creator>
  <cp:lastModifiedBy>Valerie Samedy</cp:lastModifiedBy>
  <cp:lastPrinted>2021-10-08T09:47:24Z</cp:lastPrinted>
  <dcterms:created xsi:type="dcterms:W3CDTF">2018-06-01T11:58:01Z</dcterms:created>
  <dcterms:modified xsi:type="dcterms:W3CDTF">2025-11-15T08:52:07Z</dcterms:modified>
</cp:coreProperties>
</file>