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tunadata\WorkingPublications\2025_Commission\1_Documents\Originals\COC\COC-304\"/>
    </mc:Choice>
  </mc:AlternateContent>
  <xr:revisionPtr revIDLastSave="0" documentId="13_ncr:1_{DF575AAA-96EC-4B29-B645-DA08137C91B6}" xr6:coauthVersionLast="47" xr6:coauthVersionMax="47" xr10:uidLastSave="{00000000-0000-0000-0000-000000000000}"/>
  <bookViews>
    <workbookView xWindow="4530" yWindow="4500" windowWidth="21600" windowHeight="11295" xr2:uid="{00000000-000D-0000-FFFF-FFFF00000000}"/>
  </bookViews>
  <sheets>
    <sheet name="Adjustement data" sheetId="1" r:id="rId1"/>
  </sheets>
  <definedNames>
    <definedName name="_xlnm.Print_Area" localSheetId="0">'Adjustement data'!$A$1:$R$1933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44" i="1" l="1"/>
  <c r="D1644" i="1"/>
  <c r="C1644" i="1"/>
  <c r="B1644" i="1"/>
  <c r="H1641" i="1"/>
  <c r="M1279" i="1" l="1"/>
  <c r="L1279" i="1"/>
  <c r="L1282" i="1" s="1"/>
  <c r="M827" i="1"/>
  <c r="L827" i="1"/>
  <c r="Q1164" i="1"/>
  <c r="O1164" i="1"/>
  <c r="Q1167" i="1" l="1"/>
  <c r="F719" i="1" l="1"/>
  <c r="K2178" i="1" l="1"/>
  <c r="K2159" i="1"/>
  <c r="K2114" i="1" l="1"/>
  <c r="K2095" i="1"/>
  <c r="G2041" i="1"/>
  <c r="D1962" i="1" l="1"/>
  <c r="K1865" i="1" l="1"/>
  <c r="K1846" i="1" l="1"/>
  <c r="K1849" i="1" s="1"/>
  <c r="L1827" i="1"/>
  <c r="B1817" i="1" l="1"/>
  <c r="C1814" i="1" s="1"/>
  <c r="I1765" i="1"/>
  <c r="L1680" i="1" l="1"/>
  <c r="I1628" i="1" l="1"/>
  <c r="B1615" i="1"/>
  <c r="M1548" i="1"/>
  <c r="M1528" i="1"/>
  <c r="L1528" i="1"/>
  <c r="N1488" i="1"/>
  <c r="M1491" i="1"/>
  <c r="K1425" i="1" l="1"/>
  <c r="K1408" i="1"/>
  <c r="L1353" i="1"/>
  <c r="N1302" i="1"/>
  <c r="M1302" i="1"/>
  <c r="M1305" i="1" s="1"/>
  <c r="M1290" i="1"/>
  <c r="L1293" i="1"/>
  <c r="N1279" i="1"/>
  <c r="M1269" i="1"/>
  <c r="C1258" i="1" l="1"/>
  <c r="Q1218" i="1"/>
  <c r="R1218" i="1"/>
  <c r="R1061" i="1"/>
  <c r="K934" i="1" l="1"/>
  <c r="L844" i="1" l="1"/>
  <c r="L830" i="1"/>
  <c r="G810" i="1"/>
  <c r="L765" i="1"/>
  <c r="G737" i="1"/>
  <c r="H737" i="1"/>
  <c r="I737" i="1"/>
  <c r="E710" i="1" l="1"/>
  <c r="F707" i="1" s="1"/>
  <c r="L682" i="1" l="1"/>
  <c r="L671" i="1"/>
  <c r="K581" i="1" l="1"/>
  <c r="K566" i="1"/>
  <c r="K531" i="1"/>
  <c r="J531" i="1"/>
  <c r="J491" i="1"/>
  <c r="P437" i="1" l="1"/>
  <c r="P421" i="1"/>
  <c r="Q382" i="1"/>
  <c r="C276" i="1" l="1"/>
  <c r="K255" i="1"/>
  <c r="L255" i="1"/>
  <c r="J255" i="1"/>
  <c r="G237" i="1"/>
  <c r="K237" i="1"/>
  <c r="J237" i="1"/>
  <c r="N212" i="1"/>
  <c r="M212" i="1"/>
  <c r="M195" i="1"/>
  <c r="M184" i="1"/>
  <c r="J109" i="1" l="1"/>
  <c r="I109" i="1" l="1"/>
  <c r="J112" i="1"/>
  <c r="H57" i="1" l="1"/>
  <c r="H36" i="1"/>
  <c r="H39" i="1" s="1"/>
  <c r="L866" i="1" l="1"/>
  <c r="F1949" i="1" l="1"/>
  <c r="F1948" i="1"/>
  <c r="J1932" i="1"/>
  <c r="L1269" i="1" l="1"/>
  <c r="L1272" i="1" s="1"/>
  <c r="C25" i="1" l="1"/>
  <c r="F12" i="1" l="1"/>
  <c r="K1478" i="1"/>
  <c r="K1744" i="1" l="1"/>
  <c r="K1725" i="1"/>
  <c r="K1387" i="1"/>
  <c r="K988" i="1"/>
  <c r="K970" i="1"/>
  <c r="K635" i="1"/>
  <c r="H563" i="1" l="1"/>
  <c r="J566" i="1"/>
  <c r="O421" i="1"/>
  <c r="M1564" i="1"/>
  <c r="S1032" i="1"/>
  <c r="N762" i="1"/>
  <c r="E656" i="1"/>
  <c r="Q344" i="1"/>
  <c r="R344" i="1"/>
  <c r="L130" i="1"/>
  <c r="K130" i="1"/>
  <c r="H810" i="1" l="1"/>
  <c r="L2071" i="1"/>
  <c r="K2071" i="1"/>
  <c r="K2074" i="1" s="1"/>
  <c r="G719" i="1" l="1"/>
  <c r="I36" i="1"/>
  <c r="K866" i="1" l="1"/>
  <c r="K869" i="1" s="1"/>
  <c r="L451" i="1"/>
  <c r="L454" i="1" s="1"/>
  <c r="M226" i="1" l="1"/>
  <c r="N226" i="1"/>
  <c r="K226" i="1"/>
  <c r="L226" i="1"/>
  <c r="L229" i="1" s="1"/>
  <c r="L212" i="1"/>
  <c r="L215" i="1" s="1"/>
  <c r="K212" i="1"/>
  <c r="K215" i="1" s="1"/>
  <c r="M762" i="1" l="1"/>
  <c r="D656" i="1"/>
  <c r="G2055" i="1"/>
  <c r="F2055" i="1"/>
  <c r="B1707" i="1" l="1"/>
  <c r="C1704" i="1" s="1"/>
  <c r="C1707" i="1" s="1"/>
  <c r="D1704" i="1" s="1"/>
  <c r="D1707" i="1" s="1"/>
  <c r="E1704" i="1" s="1"/>
  <c r="E1707" i="1" s="1"/>
  <c r="B1258" i="1"/>
  <c r="G1238" i="1"/>
  <c r="R1091" i="1"/>
  <c r="F2041" i="1"/>
  <c r="F2044" i="1" s="1"/>
  <c r="F2028" i="1"/>
  <c r="F2031" i="1" s="1"/>
  <c r="F2015" i="1"/>
  <c r="F2018" i="1" s="1"/>
  <c r="G2015" i="1"/>
  <c r="E2015" i="1"/>
  <c r="E2018" i="1" s="1"/>
  <c r="G2000" i="1"/>
  <c r="G1987" i="1"/>
  <c r="G1971" i="1"/>
  <c r="F1704" i="1" l="1"/>
  <c r="F1707" i="1" s="1"/>
  <c r="G1704" i="1" s="1"/>
  <c r="G1707" i="1" s="1"/>
  <c r="H1704" i="1" s="1"/>
  <c r="H1707" i="1" s="1"/>
  <c r="C1962" i="1"/>
  <c r="I1932" i="1"/>
  <c r="I1704" i="1" l="1"/>
  <c r="I1707" i="1" s="1"/>
  <c r="J1704" i="1" s="1"/>
  <c r="J1707" i="1" s="1"/>
  <c r="K1704" i="1" s="1"/>
  <c r="L1878" i="1"/>
  <c r="K1880" i="1"/>
  <c r="L1893" i="1"/>
  <c r="E1692" i="1" l="1"/>
  <c r="K1680" i="1" l="1"/>
  <c r="K1683" i="1" s="1"/>
  <c r="I1846" i="1" l="1"/>
  <c r="H1846" i="1"/>
  <c r="J1846" i="1"/>
  <c r="J1849" i="1" s="1"/>
  <c r="K1827" i="1"/>
  <c r="J1827" i="1"/>
  <c r="J1830" i="1" s="1"/>
  <c r="J195" i="1"/>
  <c r="I1784" i="1" l="1"/>
  <c r="I1783" i="1" s="1"/>
  <c r="I1786" i="1" s="1"/>
  <c r="I1764" i="1"/>
  <c r="I1767" i="1" s="1"/>
  <c r="K682" i="1" l="1"/>
  <c r="K671" i="1"/>
  <c r="C1612" i="1" l="1"/>
  <c r="C1615" i="1" s="1"/>
  <c r="K1575" i="1" l="1"/>
  <c r="K1578" i="1" s="1"/>
  <c r="D1567" i="1"/>
  <c r="L1564" i="1"/>
  <c r="J1564" i="1"/>
  <c r="J1567" i="1" s="1"/>
  <c r="I1564" i="1"/>
  <c r="I1567" i="1" s="1"/>
  <c r="K1564" i="1" s="1"/>
  <c r="K1567" i="1" s="1"/>
  <c r="H1564" i="1"/>
  <c r="H1567" i="1" s="1"/>
  <c r="G1564" i="1"/>
  <c r="G1567" i="1" s="1"/>
  <c r="F1564" i="1"/>
  <c r="F1567" i="1" s="1"/>
  <c r="E1564" i="1"/>
  <c r="E1567" i="1" s="1"/>
  <c r="C1564" i="1"/>
  <c r="C1567" i="1" s="1"/>
  <c r="L1548" i="1"/>
  <c r="L1491" i="1"/>
  <c r="J1478" i="1"/>
  <c r="J1481" i="1" s="1"/>
  <c r="K1353" i="1" l="1"/>
  <c r="K1305" i="1"/>
  <c r="K1293" i="1"/>
  <c r="L1331" i="1" l="1"/>
  <c r="F1238" i="1" l="1"/>
  <c r="F1241" i="1" s="1"/>
  <c r="E1241" i="1"/>
  <c r="Q1196" i="1"/>
  <c r="Q1091" i="1"/>
  <c r="Q1094" i="1" s="1"/>
  <c r="L184" i="1" l="1"/>
  <c r="L187" i="1" s="1"/>
  <c r="L195" i="1" l="1"/>
  <c r="L198" i="1" s="1"/>
  <c r="N195" i="1"/>
  <c r="K195" i="1"/>
  <c r="K198" i="1" s="1"/>
  <c r="C1378" i="1" l="1"/>
  <c r="J2095" i="1" l="1"/>
  <c r="K2133" i="1"/>
  <c r="J2114" i="1"/>
  <c r="I2194" i="1"/>
  <c r="J2191" i="1" s="1"/>
  <c r="J2194" i="1" s="1"/>
  <c r="K2191" i="1" s="1"/>
  <c r="J2178" i="1" l="1"/>
  <c r="J2181" i="1" s="1"/>
  <c r="D1375" i="1"/>
  <c r="D1378" i="1" s="1"/>
  <c r="E1375" i="1" s="1"/>
  <c r="E1378" i="1" s="1"/>
  <c r="F1375" i="1" s="1"/>
  <c r="F1378" i="1" s="1"/>
  <c r="G1375" i="1" s="1"/>
  <c r="G1378" i="1" l="1"/>
  <c r="H1375" i="1" s="1"/>
  <c r="H1378" i="1" l="1"/>
  <c r="I1375" i="1" s="1"/>
  <c r="I1378" i="1" s="1"/>
  <c r="J1375" i="1" s="1"/>
  <c r="D710" i="1"/>
  <c r="E707" i="1" s="1"/>
  <c r="C710" i="1"/>
  <c r="K844" i="1"/>
  <c r="F810" i="1"/>
  <c r="F813" i="1" s="1"/>
  <c r="L796" i="1"/>
  <c r="L799" i="1" s="1"/>
  <c r="L777" i="1"/>
  <c r="L780" i="1" s="1"/>
  <c r="J595" i="1" l="1"/>
  <c r="J598" i="1" s="1"/>
  <c r="P400" i="1"/>
  <c r="P403" i="1" s="1"/>
  <c r="O437" i="1"/>
  <c r="P382" i="1" l="1"/>
  <c r="P385" i="1" s="1"/>
  <c r="P363" i="1"/>
  <c r="P366" i="1" s="1"/>
  <c r="K471" i="1" l="1"/>
  <c r="K474" i="1" s="1"/>
  <c r="K163" i="1" l="1"/>
  <c r="J163" i="1"/>
  <c r="J166" i="1" s="1"/>
  <c r="I163" i="1"/>
  <c r="I166" i="1" s="1"/>
  <c r="K146" i="1"/>
  <c r="G57" i="1" l="1"/>
  <c r="D22" i="1" l="1"/>
  <c r="D25" i="1" s="1"/>
  <c r="E36" i="1"/>
  <c r="E39" i="1" s="1"/>
  <c r="F36" i="1"/>
  <c r="F39" i="1" s="1"/>
  <c r="G36" i="1"/>
  <c r="G39" i="1" s="1"/>
  <c r="C39" i="1"/>
  <c r="D39" i="1"/>
  <c r="E12" i="1" l="1"/>
  <c r="J934" i="1" l="1"/>
  <c r="K284" i="1" l="1"/>
  <c r="K287" i="1" s="1"/>
  <c r="K888" i="1" l="1"/>
  <c r="K891" i="1" s="1"/>
  <c r="J581" i="1" l="1"/>
  <c r="K545" i="1"/>
  <c r="K548" i="1" s="1"/>
  <c r="K508" i="1"/>
  <c r="K511" i="1" s="1"/>
  <c r="K488" i="1"/>
  <c r="K491" i="1" s="1"/>
  <c r="K451" i="1"/>
  <c r="K454" i="1" s="1"/>
  <c r="E303" i="1" l="1"/>
  <c r="C303" i="1"/>
  <c r="C306" i="1" l="1"/>
  <c r="D303" i="1" s="1"/>
  <c r="H1463" i="1" l="1"/>
  <c r="I1460" i="1" s="1"/>
  <c r="I1463" i="1" s="1"/>
  <c r="J1460" i="1" s="1"/>
  <c r="H1444" i="1"/>
  <c r="J1408" i="1" l="1"/>
  <c r="E1948" i="1" l="1"/>
  <c r="F722" i="1"/>
  <c r="E1949" i="1" l="1"/>
  <c r="H1929" i="1" l="1"/>
  <c r="E810" i="1"/>
  <c r="E813" i="1" s="1"/>
  <c r="B956" i="1" l="1"/>
  <c r="C953" i="1" s="1"/>
  <c r="C956" i="1" s="1"/>
  <c r="D953" i="1" s="1"/>
  <c r="D956" i="1" s="1"/>
  <c r="E953" i="1" s="1"/>
  <c r="E956" i="1" s="1"/>
  <c r="F953" i="1" s="1"/>
  <c r="F956" i="1" s="1"/>
  <c r="G953" i="1" s="1"/>
  <c r="G956" i="1" s="1"/>
  <c r="B991" i="1"/>
  <c r="C988" i="1" s="1"/>
  <c r="C991" i="1" s="1"/>
  <c r="D988" i="1" s="1"/>
  <c r="D991" i="1" s="1"/>
  <c r="E988" i="1" s="1"/>
  <c r="E991" i="1" s="1"/>
  <c r="F988" i="1" s="1"/>
  <c r="F991" i="1" s="1"/>
  <c r="G988" i="1" s="1"/>
  <c r="G991" i="1" s="1"/>
  <c r="H988" i="1" s="1"/>
  <c r="H991" i="1" s="1"/>
  <c r="I988" i="1" s="1"/>
  <c r="I991" i="1" s="1"/>
  <c r="J988" i="1" s="1"/>
  <c r="B973" i="1"/>
  <c r="C970" i="1" s="1"/>
  <c r="C973" i="1" s="1"/>
  <c r="D970" i="1" s="1"/>
  <c r="D973" i="1" s="1"/>
  <c r="G240" i="1"/>
  <c r="I237" i="1" s="1"/>
  <c r="F1987" i="1"/>
  <c r="F1990" i="1" s="1"/>
  <c r="D1692" i="1"/>
  <c r="D1695" i="1" s="1"/>
  <c r="C656" i="1"/>
  <c r="C659" i="1" s="1"/>
  <c r="P344" i="1"/>
  <c r="P347" i="1" s="1"/>
  <c r="J130" i="1"/>
  <c r="J133" i="1" s="1"/>
  <c r="H953" i="1" l="1"/>
  <c r="H956" i="1" s="1"/>
  <c r="I953" i="1" s="1"/>
  <c r="I956" i="1" s="1"/>
  <c r="J953" i="1" s="1"/>
  <c r="E970" i="1"/>
  <c r="E973" i="1" s="1"/>
  <c r="I112" i="1"/>
  <c r="F970" i="1" l="1"/>
  <c r="F973" i="1" s="1"/>
  <c r="C89" i="1"/>
  <c r="B89" i="1"/>
  <c r="F86" i="1"/>
  <c r="F89" i="1" s="1"/>
  <c r="H86" i="1" s="1"/>
  <c r="H89" i="1" s="1"/>
  <c r="J86" i="1" s="1"/>
  <c r="J89" i="1" s="1"/>
  <c r="L86" i="1" s="1"/>
  <c r="L89" i="1" s="1"/>
  <c r="N86" i="1" s="1"/>
  <c r="E86" i="1"/>
  <c r="E89" i="1" s="1"/>
  <c r="G86" i="1" s="1"/>
  <c r="G89" i="1" s="1"/>
  <c r="I86" i="1" s="1"/>
  <c r="I89" i="1" s="1"/>
  <c r="K86" i="1" s="1"/>
  <c r="K89" i="1" s="1"/>
  <c r="M86" i="1" s="1"/>
  <c r="M89" i="1" s="1"/>
  <c r="D86" i="1"/>
  <c r="D89" i="1" s="1"/>
  <c r="C68" i="1"/>
  <c r="E65" i="1" s="1"/>
  <c r="E68" i="1" s="1"/>
  <c r="G65" i="1" s="1"/>
  <c r="G68" i="1" s="1"/>
  <c r="I65" i="1" s="1"/>
  <c r="I68" i="1" s="1"/>
  <c r="K65" i="1" s="1"/>
  <c r="K68" i="1" s="1"/>
  <c r="M65" i="1" s="1"/>
  <c r="M68" i="1" s="1"/>
  <c r="O65" i="1" s="1"/>
  <c r="B68" i="1"/>
  <c r="D65" i="1" s="1"/>
  <c r="D68" i="1" s="1"/>
  <c r="F65" i="1" s="1"/>
  <c r="F68" i="1" s="1"/>
  <c r="H65" i="1" s="1"/>
  <c r="H68" i="1" s="1"/>
  <c r="J65" i="1" s="1"/>
  <c r="J68" i="1" s="1"/>
  <c r="L65" i="1" s="1"/>
  <c r="L68" i="1" s="1"/>
  <c r="N65" i="1" s="1"/>
  <c r="G970" i="1" l="1"/>
  <c r="G973" i="1" s="1"/>
  <c r="H970" i="1" s="1"/>
  <c r="H973" i="1" s="1"/>
  <c r="I970" i="1" s="1"/>
  <c r="I973" i="1" s="1"/>
  <c r="J970" i="1" s="1"/>
  <c r="D2055" i="1" l="1"/>
  <c r="G1747" i="1" l="1"/>
  <c r="F1744" i="1"/>
  <c r="C1744" i="1"/>
  <c r="B1747" i="1"/>
  <c r="E1744" i="1"/>
  <c r="E1747" i="1" s="1"/>
  <c r="D1744" i="1"/>
  <c r="D1747" i="1" s="1"/>
  <c r="C1747" i="1" l="1"/>
  <c r="F1747" i="1"/>
  <c r="H1744" i="1" l="1"/>
  <c r="H1747" i="1" s="1"/>
  <c r="I1744" i="1" s="1"/>
  <c r="I1747" i="1" s="1"/>
  <c r="J1744" i="1" s="1"/>
  <c r="D1725" i="1"/>
  <c r="E1725" i="1"/>
  <c r="B1728" i="1"/>
  <c r="C1725" i="1" s="1"/>
  <c r="B1595" i="1"/>
  <c r="C1592" i="1" s="1"/>
  <c r="C1595" i="1" s="1"/>
  <c r="D1592" i="1" s="1"/>
  <c r="D1595" i="1" s="1"/>
  <c r="E1592" i="1" s="1"/>
  <c r="E1595" i="1" s="1"/>
  <c r="F1592" i="1" s="1"/>
  <c r="F1595" i="1" s="1"/>
  <c r="G1592" i="1" s="1"/>
  <c r="G1595" i="1" s="1"/>
  <c r="H1592" i="1" s="1"/>
  <c r="H1595" i="1" s="1"/>
  <c r="I1592" i="1" s="1"/>
  <c r="I1595" i="1" s="1"/>
  <c r="J1592" i="1" s="1"/>
  <c r="J1595" i="1" s="1"/>
  <c r="K1592" i="1" s="1"/>
  <c r="C1728" i="1" l="1"/>
  <c r="D1728" i="1" s="1"/>
  <c r="E1728" i="1" s="1"/>
  <c r="F1725" i="1" l="1"/>
  <c r="F1728" i="1" s="1"/>
  <c r="G1725" i="1" l="1"/>
  <c r="G1728" i="1" s="1"/>
  <c r="H1725" i="1" l="1"/>
  <c r="H1728" i="1" s="1"/>
  <c r="I1725" i="1" s="1"/>
  <c r="I1728" i="1" s="1"/>
  <c r="J1725" i="1" s="1"/>
  <c r="C697" i="1" l="1"/>
  <c r="D694" i="1" s="1"/>
  <c r="D697" i="1" s="1"/>
  <c r="E694" i="1" s="1"/>
  <c r="E697" i="1" s="1"/>
  <c r="F694" i="1" s="1"/>
  <c r="F697" i="1" s="1"/>
  <c r="G694" i="1" s="1"/>
  <c r="G697" i="1" s="1"/>
  <c r="B697" i="1"/>
  <c r="P694" i="1"/>
  <c r="O694" i="1"/>
  <c r="N694" i="1"/>
  <c r="M694" i="1"/>
  <c r="L694" i="1"/>
  <c r="K694" i="1"/>
  <c r="J694" i="1"/>
  <c r="I694" i="1"/>
  <c r="I697" i="1" s="1"/>
  <c r="H694" i="1"/>
  <c r="H697" i="1" s="1"/>
  <c r="B638" i="1"/>
  <c r="C635" i="1" s="1"/>
  <c r="C638" i="1" s="1"/>
  <c r="D635" i="1" s="1"/>
  <c r="D638" i="1" s="1"/>
  <c r="E635" i="1" s="1"/>
  <c r="E638" i="1" s="1"/>
  <c r="F635" i="1" s="1"/>
  <c r="F638" i="1" s="1"/>
  <c r="G635" i="1" l="1"/>
  <c r="G638" i="1" s="1"/>
  <c r="H635" i="1" s="1"/>
  <c r="H638" i="1" s="1"/>
  <c r="I635" i="1" s="1"/>
  <c r="I638" i="1" s="1"/>
  <c r="J635" i="1" s="1"/>
  <c r="C1692" i="1" l="1"/>
  <c r="C1695" i="1" s="1"/>
  <c r="B1692" i="1"/>
  <c r="B1695" i="1" s="1"/>
  <c r="J891" i="1" l="1"/>
  <c r="K777" i="1"/>
  <c r="K780" i="1" s="1"/>
  <c r="N1032" i="1"/>
  <c r="I682" i="1" l="1"/>
  <c r="J682" i="1"/>
  <c r="I671" i="1"/>
  <c r="J671" i="1"/>
  <c r="J856" i="1"/>
  <c r="J844" i="1"/>
  <c r="K796" i="1"/>
  <c r="K799" i="1" s="1"/>
  <c r="M796" i="1" s="1"/>
  <c r="K827" i="1" l="1"/>
  <c r="K830" i="1" s="1"/>
  <c r="B813" i="1"/>
  <c r="C810" i="1" s="1"/>
  <c r="J471" i="1" l="1"/>
  <c r="J474" i="1" s="1"/>
  <c r="L471" i="1" s="1"/>
  <c r="I2133" i="1" l="1"/>
  <c r="I2136" i="1" s="1"/>
  <c r="J2133" i="1" s="1"/>
  <c r="H2117" i="1"/>
  <c r="I2114" i="1" s="1"/>
  <c r="H2098" i="1"/>
  <c r="J2071" i="1"/>
  <c r="J2074" i="1" s="1"/>
  <c r="D1949" i="1"/>
  <c r="C1951" i="1"/>
  <c r="D1948" i="1" s="1"/>
  <c r="D1950" i="1" s="1"/>
  <c r="E2041" i="1"/>
  <c r="E2044" i="1" s="1"/>
  <c r="E2028" i="1"/>
  <c r="E2031" i="1" s="1"/>
  <c r="D2018" i="1"/>
  <c r="F2000" i="1"/>
  <c r="F2003" i="1" s="1"/>
  <c r="E2000" i="1"/>
  <c r="E2003" i="1" s="1"/>
  <c r="D2003" i="1"/>
  <c r="D1990" i="1"/>
  <c r="F1971" i="1"/>
  <c r="F1974" i="1" s="1"/>
  <c r="H2194" i="1" l="1"/>
  <c r="I2178" i="1"/>
  <c r="I2181" i="1" s="1"/>
  <c r="H1932" i="1" l="1"/>
  <c r="K1893" i="1" l="1"/>
  <c r="K1896" i="1" s="1"/>
  <c r="J1880" i="1"/>
  <c r="G1801" i="1" l="1"/>
  <c r="G1804" i="1" s="1"/>
  <c r="I1801" i="1"/>
  <c r="J1801" i="1"/>
  <c r="K1801" i="1"/>
  <c r="L1801" i="1"/>
  <c r="M1801" i="1"/>
  <c r="N1801" i="1"/>
  <c r="O1801" i="1"/>
  <c r="F1801" i="1"/>
  <c r="F1804" i="1" s="1"/>
  <c r="H1801" i="1" s="1"/>
  <c r="E1804" i="1"/>
  <c r="H1784" i="1"/>
  <c r="H1783" i="1" s="1"/>
  <c r="H1786" i="1" s="1"/>
  <c r="G1786" i="1"/>
  <c r="H1765" i="1"/>
  <c r="H1764" i="1" s="1"/>
  <c r="H1767" i="1" s="1"/>
  <c r="D1654" i="1" l="1"/>
  <c r="J1575" i="1" l="1"/>
  <c r="J1578" i="1" s="1"/>
  <c r="I1575" i="1"/>
  <c r="I1578" i="1" s="1"/>
  <c r="J1353" i="1"/>
  <c r="K1331" i="1"/>
  <c r="K1334" i="1" s="1"/>
  <c r="J1293" i="1"/>
  <c r="K1269" i="1"/>
  <c r="K1272" i="1" s="1"/>
  <c r="E2055" i="1" l="1"/>
  <c r="E2058" i="1" s="1"/>
  <c r="D2058" i="1"/>
  <c r="D1241" i="1" l="1"/>
  <c r="P1218" i="1"/>
  <c r="P1196" i="1"/>
  <c r="R1193" i="1" s="1"/>
  <c r="R1196" i="1" s="1"/>
  <c r="P1164" i="1"/>
  <c r="P1167" i="1" s="1"/>
  <c r="R1164" i="1" s="1"/>
  <c r="P1091" i="1"/>
  <c r="P1094" i="1" s="1"/>
  <c r="O1035" i="1" l="1"/>
  <c r="Q1032" i="1" s="1"/>
  <c r="Q1035" i="1" s="1"/>
  <c r="O1011" i="1"/>
  <c r="K1548" i="1" l="1"/>
  <c r="K1528" i="1"/>
  <c r="K1491" i="1"/>
  <c r="I1478" i="1"/>
  <c r="I1481" i="1" s="1"/>
  <c r="G866" i="1" l="1"/>
  <c r="H866" i="1"/>
  <c r="H869" i="1" s="1"/>
  <c r="I866" i="1"/>
  <c r="I869" i="1" s="1"/>
  <c r="J866" i="1"/>
  <c r="J869" i="1" s="1"/>
  <c r="F866" i="1"/>
  <c r="K229" i="1"/>
  <c r="J198" i="1"/>
  <c r="K184" i="1"/>
  <c r="K187" i="1" s="1"/>
  <c r="J1680" i="1" l="1"/>
  <c r="J1683" i="1" s="1"/>
  <c r="F737" i="1" l="1"/>
  <c r="E719" i="1" l="1"/>
  <c r="E722" i="1" s="1"/>
  <c r="I595" i="1" l="1"/>
  <c r="I598" i="1" s="1"/>
  <c r="I581" i="1"/>
  <c r="I566" i="1"/>
  <c r="J545" i="1"/>
  <c r="J548" i="1" s="1"/>
  <c r="J508" i="1"/>
  <c r="J511" i="1" s="1"/>
  <c r="J451" i="1"/>
  <c r="J454" i="1" s="1"/>
  <c r="N437" i="1" l="1"/>
  <c r="N421" i="1"/>
  <c r="O400" i="1"/>
  <c r="O403" i="1" s="1"/>
  <c r="O382" i="1"/>
  <c r="O385" i="1" s="1"/>
  <c r="O363" i="1"/>
  <c r="O366" i="1" s="1"/>
  <c r="J284" i="1" l="1"/>
  <c r="J287" i="1" s="1"/>
  <c r="J146" i="1" l="1"/>
  <c r="J149" i="1" s="1"/>
  <c r="F57" i="1" l="1"/>
  <c r="D9" i="1" l="1"/>
  <c r="D12" i="1" s="1"/>
  <c r="C12" i="1"/>
  <c r="H1625" i="1"/>
  <c r="H1628" i="1" s="1"/>
  <c r="G1625" i="1"/>
  <c r="G1628" i="1" s="1"/>
  <c r="I1408" i="1"/>
  <c r="I1411" i="1" s="1"/>
  <c r="I931" i="1" l="1"/>
  <c r="I934" i="1" s="1"/>
  <c r="E1987" i="1" l="1"/>
  <c r="E1990" i="1" s="1"/>
  <c r="O344" i="1"/>
  <c r="O347" i="1" s="1"/>
  <c r="D306" i="1"/>
  <c r="E306" i="1" s="1"/>
  <c r="G303" i="1"/>
  <c r="G306" i="1" s="1"/>
  <c r="H303" i="1" s="1"/>
  <c r="H306" i="1" s="1"/>
  <c r="I303" i="1" s="1"/>
  <c r="I306" i="1" s="1"/>
  <c r="J303" i="1" s="1"/>
  <c r="J306" i="1" s="1"/>
  <c r="K303" i="1" s="1"/>
  <c r="K306" i="1" s="1"/>
  <c r="L303" i="1" s="1"/>
  <c r="L306" i="1" s="1"/>
  <c r="M303" i="1" s="1"/>
  <c r="F303" i="1"/>
  <c r="F306" i="1" s="1"/>
  <c r="F1500" i="1"/>
  <c r="F1499" i="1" s="1"/>
  <c r="F1502" i="1" s="1"/>
  <c r="G1500" i="1" s="1"/>
  <c r="G1499" i="1" s="1"/>
  <c r="G1502" i="1" s="1"/>
  <c r="H1500" i="1" s="1"/>
  <c r="H1499" i="1" s="1"/>
  <c r="H1502" i="1" s="1"/>
  <c r="I1500" i="1" s="1"/>
  <c r="I1499" i="1" s="1"/>
  <c r="I1502" i="1" s="1"/>
  <c r="J1500" i="1" s="1"/>
  <c r="J1499" i="1" s="1"/>
  <c r="J1502" i="1" s="1"/>
  <c r="K1500" i="1" s="1"/>
  <c r="K1499" i="1" s="1"/>
  <c r="K1502" i="1" s="1"/>
  <c r="L1500" i="1" s="1"/>
  <c r="L1499" i="1" s="1"/>
  <c r="L1502" i="1" s="1"/>
  <c r="M1500" i="1" s="1"/>
  <c r="M1499" i="1" s="1"/>
  <c r="M1502" i="1" s="1"/>
  <c r="N1500" i="1" s="1"/>
  <c r="N1499" i="1" s="1"/>
  <c r="N1502" i="1" s="1"/>
  <c r="D1500" i="1"/>
  <c r="D1499" i="1" s="1"/>
  <c r="D1502" i="1" s="1"/>
  <c r="E1500" i="1" s="1"/>
  <c r="E1499" i="1" s="1"/>
  <c r="E1502" i="1" s="1"/>
  <c r="B1500" i="1"/>
  <c r="B1499" i="1" s="1"/>
  <c r="B1502" i="1" s="1"/>
  <c r="C1500" i="1" s="1"/>
  <c r="C1499" i="1" s="1"/>
  <c r="C1502" i="1" s="1"/>
  <c r="D240" i="1"/>
  <c r="F237" i="1" s="1"/>
  <c r="F240" i="1" s="1"/>
  <c r="H237" i="1" s="1"/>
  <c r="I130" i="1"/>
  <c r="I133" i="1" s="1"/>
  <c r="K762" i="1"/>
  <c r="K765" i="1" s="1"/>
  <c r="D1804" i="1"/>
  <c r="C1804" i="1"/>
  <c r="C2003" i="1"/>
  <c r="F1786" i="1"/>
  <c r="G1765" i="1"/>
  <c r="G1764" i="1" s="1"/>
  <c r="G1767" i="1" s="1"/>
  <c r="H1680" i="1"/>
  <c r="H1683" i="1" s="1"/>
  <c r="G1683" i="1"/>
  <c r="I1680" i="1" s="1"/>
  <c r="I1683" i="1" s="1"/>
  <c r="C1654" i="1"/>
  <c r="B2207" i="1"/>
  <c r="C2204" i="1" s="1"/>
  <c r="C2207" i="1" s="1"/>
  <c r="D2204" i="1" s="1"/>
  <c r="D2207" i="1" s="1"/>
  <c r="E2204" i="1" s="1"/>
  <c r="E2207" i="1" s="1"/>
  <c r="F2204" i="1" s="1"/>
  <c r="F2207" i="1" s="1"/>
  <c r="G2204" i="1" s="1"/>
  <c r="G2207" i="1" s="1"/>
  <c r="H2178" i="1"/>
  <c r="H2181" i="1" s="1"/>
  <c r="J1528" i="1"/>
  <c r="J1491" i="1"/>
  <c r="H1478" i="1"/>
  <c r="H1481" i="1" s="1"/>
  <c r="H212" i="1"/>
  <c r="H215" i="1" s="1"/>
  <c r="I212" i="1"/>
  <c r="I215" i="1" s="1"/>
  <c r="J212" i="1"/>
  <c r="J215" i="1" s="1"/>
  <c r="D2041" i="1"/>
  <c r="D2044" i="1" s="1"/>
  <c r="C2044" i="1"/>
  <c r="D2028" i="1"/>
  <c r="D2031" i="1" s="1"/>
  <c r="C2031" i="1"/>
  <c r="C1990" i="1"/>
  <c r="D1971" i="1"/>
  <c r="D1974" i="1" s="1"/>
  <c r="C1970" i="1"/>
  <c r="E1971" i="1" s="1"/>
  <c r="E1974" i="1" s="1"/>
  <c r="H751" i="1"/>
  <c r="J748" i="1" s="1"/>
  <c r="J751" i="1" s="1"/>
  <c r="L748" i="1" s="1"/>
  <c r="L751" i="1" s="1"/>
  <c r="I1353" i="1"/>
  <c r="I1331" i="1"/>
  <c r="I1334" i="1" s="1"/>
  <c r="J1331" i="1"/>
  <c r="J1334" i="1" s="1"/>
  <c r="J1314" i="1"/>
  <c r="J1317" i="1" s="1"/>
  <c r="K1314" i="1" s="1"/>
  <c r="K1317" i="1" s="1"/>
  <c r="H1317" i="1"/>
  <c r="I1314" i="1" s="1"/>
  <c r="I1317" i="1" s="1"/>
  <c r="I1302" i="1"/>
  <c r="I1305" i="1" s="1"/>
  <c r="J1302" i="1"/>
  <c r="J1305" i="1" s="1"/>
  <c r="I1293" i="1"/>
  <c r="I1282" i="1"/>
  <c r="K1279" i="1" s="1"/>
  <c r="K1282" i="1" s="1"/>
  <c r="I1269" i="1"/>
  <c r="I1272" i="1" s="1"/>
  <c r="G163" i="1"/>
  <c r="G166" i="1" s="1"/>
  <c r="H163" i="1"/>
  <c r="H166" i="1" s="1"/>
  <c r="G146" i="1"/>
  <c r="G149" i="1" s="1"/>
  <c r="I146" i="1"/>
  <c r="I149" i="1" s="1"/>
  <c r="G130" i="1"/>
  <c r="G133" i="1" s="1"/>
  <c r="G109" i="1"/>
  <c r="G112" i="1" s="1"/>
  <c r="F112" i="1"/>
  <c r="H2136" i="1"/>
  <c r="H1575" i="1"/>
  <c r="H1578" i="1" s="1"/>
  <c r="H2114" i="1"/>
  <c r="G2098" i="1"/>
  <c r="I2071" i="1"/>
  <c r="I2074" i="1" s="1"/>
  <c r="H2071" i="1"/>
  <c r="H2074" i="1" s="1"/>
  <c r="G1914" i="1"/>
  <c r="H1911" i="1" s="1"/>
  <c r="H1914" i="1" s="1"/>
  <c r="I1911" i="1" s="1"/>
  <c r="I1914" i="1" s="1"/>
  <c r="J1911" i="1" s="1"/>
  <c r="J1893" i="1"/>
  <c r="J1896" i="1" s="1"/>
  <c r="G1896" i="1"/>
  <c r="H1893" i="1" s="1"/>
  <c r="H1896" i="1" s="1"/>
  <c r="I1893" i="1" s="1"/>
  <c r="I1896" i="1" s="1"/>
  <c r="I1880" i="1"/>
  <c r="I1849" i="1"/>
  <c r="H1849" i="1"/>
  <c r="E1827" i="1"/>
  <c r="E1830" i="1" s="1"/>
  <c r="G1827" i="1" s="1"/>
  <c r="G1830" i="1" s="1"/>
  <c r="I1827" i="1" s="1"/>
  <c r="I1830" i="1" s="1"/>
  <c r="D719" i="1"/>
  <c r="D722" i="1" s="1"/>
  <c r="C722" i="1"/>
  <c r="D581" i="1"/>
  <c r="E581" i="1"/>
  <c r="F581" i="1"/>
  <c r="C581" i="1"/>
  <c r="I545" i="1"/>
  <c r="I548" i="1" s="1"/>
  <c r="I528" i="1"/>
  <c r="I531" i="1" s="1"/>
  <c r="I509" i="1"/>
  <c r="H511" i="1"/>
  <c r="I508" i="1" s="1"/>
  <c r="I511" i="1" s="1"/>
  <c r="I488" i="1"/>
  <c r="I491" i="1" s="1"/>
  <c r="J226" i="1"/>
  <c r="J229" i="1" s="1"/>
  <c r="I226" i="1"/>
  <c r="I229" i="1" s="1"/>
  <c r="I195" i="1"/>
  <c r="I198" i="1" s="1"/>
  <c r="J184" i="1"/>
  <c r="J187" i="1" s="1"/>
  <c r="I184" i="1"/>
  <c r="I187" i="1" s="1"/>
  <c r="E57" i="1"/>
  <c r="C1241" i="1"/>
  <c r="O1218" i="1"/>
  <c r="O1196" i="1"/>
  <c r="O1167" i="1"/>
  <c r="N1145" i="1"/>
  <c r="O1142" i="1" s="1"/>
  <c r="O1145" i="1" s="1"/>
  <c r="P1142" i="1" s="1"/>
  <c r="O1091" i="1"/>
  <c r="O1094" i="1" s="1"/>
  <c r="N1094" i="1"/>
  <c r="N1035" i="1"/>
  <c r="P1032" i="1" s="1"/>
  <c r="P1035" i="1" s="1"/>
  <c r="R1032" i="1" s="1"/>
  <c r="N1011" i="1"/>
  <c r="I856" i="1"/>
  <c r="J777" i="1"/>
  <c r="J780" i="1" s="1"/>
  <c r="I777" i="1"/>
  <c r="I780" i="1" s="1"/>
  <c r="B618" i="1"/>
  <c r="C615" i="1" s="1"/>
  <c r="C618" i="1" s="1"/>
  <c r="D615" i="1" s="1"/>
  <c r="D618" i="1" s="1"/>
  <c r="E615" i="1" s="1"/>
  <c r="E618" i="1" s="1"/>
  <c r="F615" i="1" s="1"/>
  <c r="F618" i="1" s="1"/>
  <c r="G615" i="1" s="1"/>
  <c r="G618" i="1" s="1"/>
  <c r="H615" i="1" s="1"/>
  <c r="H618" i="1" s="1"/>
  <c r="I615" i="1" s="1"/>
  <c r="I618" i="1" s="1"/>
  <c r="J615" i="1" s="1"/>
  <c r="J618" i="1" s="1"/>
  <c r="K615" i="1" s="1"/>
  <c r="H595" i="1"/>
  <c r="H598" i="1" s="1"/>
  <c r="G595" i="1"/>
  <c r="G598" i="1" s="1"/>
  <c r="F595" i="1"/>
  <c r="F598" i="1" s="1"/>
  <c r="E595" i="1"/>
  <c r="E598" i="1" s="1"/>
  <c r="D595" i="1"/>
  <c r="D598" i="1" s="1"/>
  <c r="C595" i="1"/>
  <c r="C598" i="1" s="1"/>
  <c r="B595" i="1"/>
  <c r="B598" i="1" s="1"/>
  <c r="N400" i="1"/>
  <c r="N403" i="1" s="1"/>
  <c r="N382" i="1"/>
  <c r="N385" i="1" s="1"/>
  <c r="N326" i="1"/>
  <c r="N329" i="1" s="1"/>
  <c r="P326" i="1" s="1"/>
  <c r="P329" i="1" s="1"/>
  <c r="I284" i="1"/>
  <c r="I287" i="1" s="1"/>
  <c r="C931" i="1"/>
  <c r="C934" i="1" s="1"/>
  <c r="B934" i="1"/>
  <c r="H931" i="1"/>
  <c r="H934" i="1" s="1"/>
  <c r="E931" i="1"/>
  <c r="E934" i="1" s="1"/>
  <c r="G931" i="1" s="1"/>
  <c r="G934" i="1" s="1"/>
  <c r="E737" i="1"/>
  <c r="D737" i="1"/>
  <c r="I888" i="1"/>
  <c r="I891" i="1" s="1"/>
  <c r="F1447" i="1"/>
  <c r="G1444" i="1" s="1"/>
  <c r="G1447" i="1" s="1"/>
  <c r="H1447" i="1" s="1"/>
  <c r="I1444" i="1" s="1"/>
  <c r="I1447" i="1" s="1"/>
  <c r="J1444" i="1" s="1"/>
  <c r="H1425" i="1"/>
  <c r="H1428" i="1" s="1"/>
  <c r="J1425" i="1" s="1"/>
  <c r="F1428" i="1"/>
  <c r="H1408" i="1"/>
  <c r="H1411" i="1" s="1"/>
  <c r="G1929" i="1"/>
  <c r="G1932" i="1" s="1"/>
  <c r="F1932" i="1"/>
  <c r="E1932" i="1"/>
  <c r="N1164" i="1"/>
  <c r="N1167" i="1" s="1"/>
  <c r="I451" i="1"/>
  <c r="I454" i="1" s="1"/>
  <c r="J827" i="1"/>
  <c r="J830" i="1" s="1"/>
  <c r="N344" i="1"/>
  <c r="N347" i="1" s="1"/>
  <c r="J1269" i="1"/>
  <c r="J1272" i="1" s="1"/>
  <c r="H146" i="1"/>
  <c r="H149" i="1" s="1"/>
  <c r="H130" i="1"/>
  <c r="H133" i="1" s="1"/>
  <c r="H109" i="1"/>
  <c r="H112" i="1" s="1"/>
  <c r="G1478" i="1"/>
  <c r="G1481" i="1" s="1"/>
  <c r="F1478" i="1"/>
  <c r="F1481" i="1" s="1"/>
  <c r="E1478" i="1"/>
  <c r="E1481" i="1" s="1"/>
  <c r="D1478" i="1"/>
  <c r="D1481" i="1" s="1"/>
  <c r="C1478" i="1"/>
  <c r="C1481" i="1" s="1"/>
  <c r="B1478" i="1"/>
  <c r="B1481" i="1" s="1"/>
  <c r="E1428" i="1"/>
  <c r="G1425" i="1" s="1"/>
  <c r="G1428" i="1" s="1"/>
  <c r="I1425" i="1" s="1"/>
  <c r="I1428" i="1" s="1"/>
  <c r="D1428" i="1"/>
  <c r="C1428" i="1"/>
  <c r="B1428" i="1"/>
  <c r="G1272" i="1"/>
  <c r="H1272" i="1"/>
  <c r="N1218" i="1"/>
  <c r="N1196" i="1"/>
  <c r="M1167" i="1"/>
  <c r="M1094" i="1"/>
  <c r="D491" i="1"/>
  <c r="C491" i="1"/>
  <c r="C240" i="1"/>
  <c r="E237" i="1" s="1"/>
  <c r="E240" i="1" s="1"/>
  <c r="C2191" i="1"/>
  <c r="C2194" i="1" s="1"/>
  <c r="D2191" i="1" s="1"/>
  <c r="D2194" i="1" s="1"/>
  <c r="E2194" i="1"/>
  <c r="F2191" i="1"/>
  <c r="F2194" i="1" s="1"/>
  <c r="G2191" i="1"/>
  <c r="G2194" i="1" s="1"/>
  <c r="B2191" i="1"/>
  <c r="B2194" i="1" s="1"/>
  <c r="G2178" i="1"/>
  <c r="G2181" i="1" s="1"/>
  <c r="F2178" i="1"/>
  <c r="F2181" i="1" s="1"/>
  <c r="E2178" i="1"/>
  <c r="E2181" i="1" s="1"/>
  <c r="D2178" i="1"/>
  <c r="D2181" i="1" s="1"/>
  <c r="C2178" i="1"/>
  <c r="C2181" i="1" s="1"/>
  <c r="B2178" i="1"/>
  <c r="B2181" i="1" s="1"/>
  <c r="B2162" i="1"/>
  <c r="C2159" i="1" s="1"/>
  <c r="C2162" i="1" s="1"/>
  <c r="D2159" i="1" s="1"/>
  <c r="D2162" i="1" s="1"/>
  <c r="E2159" i="1" s="1"/>
  <c r="E2162" i="1" s="1"/>
  <c r="F2159" i="1" s="1"/>
  <c r="F2162" i="1" s="1"/>
  <c r="G2159" i="1" s="1"/>
  <c r="G2162" i="1" s="1"/>
  <c r="H2159" i="1" s="1"/>
  <c r="H2162" i="1" s="1"/>
  <c r="I2159" i="1" s="1"/>
  <c r="I2162" i="1" s="1"/>
  <c r="J2159" i="1" s="1"/>
  <c r="J2162" i="1" s="1"/>
  <c r="G2136" i="1"/>
  <c r="E2098" i="1"/>
  <c r="F2098" i="1"/>
  <c r="G2074" i="1"/>
  <c r="H1877" i="1"/>
  <c r="H777" i="1"/>
  <c r="H780" i="1" s="1"/>
  <c r="F1765" i="1"/>
  <c r="F1764" i="1" s="1"/>
  <c r="F1767" i="1" s="1"/>
  <c r="G284" i="1"/>
  <c r="G287" i="1" s="1"/>
  <c r="F1625" i="1"/>
  <c r="F1628" i="1" s="1"/>
  <c r="G1408" i="1"/>
  <c r="G1411" i="1" s="1"/>
  <c r="F1408" i="1"/>
  <c r="F1411" i="1" s="1"/>
  <c r="H1365" i="1"/>
  <c r="G1365" i="1"/>
  <c r="H1353" i="1"/>
  <c r="H1331" i="1"/>
  <c r="H1334" i="1" s="1"/>
  <c r="H1293" i="1"/>
  <c r="H1282" i="1"/>
  <c r="J1279" i="1" s="1"/>
  <c r="J1282" i="1" s="1"/>
  <c r="G869" i="1"/>
  <c r="G891" i="1"/>
  <c r="C813" i="1"/>
  <c r="D810" i="1" s="1"/>
  <c r="D813" i="1" s="1"/>
  <c r="H856" i="1"/>
  <c r="I841" i="1"/>
  <c r="I844" i="1" s="1"/>
  <c r="H844" i="1"/>
  <c r="J796" i="1"/>
  <c r="J799" i="1" s="1"/>
  <c r="I796" i="1"/>
  <c r="I799" i="1" s="1"/>
  <c r="H765" i="1"/>
  <c r="J762" i="1"/>
  <c r="J765" i="1" s="1"/>
  <c r="F1846" i="1"/>
  <c r="F1849" i="1" s="1"/>
  <c r="G1846" i="1"/>
  <c r="G1849" i="1" s="1"/>
  <c r="E1846" i="1"/>
  <c r="E1849" i="1" s="1"/>
  <c r="D1846" i="1"/>
  <c r="D1849" i="1" s="1"/>
  <c r="C1846" i="1"/>
  <c r="C1849" i="1" s="1"/>
  <c r="N1117" i="1"/>
  <c r="N1120" i="1" s="1"/>
  <c r="O1117" i="1" s="1"/>
  <c r="O1120" i="1" s="1"/>
  <c r="P1117" i="1" s="1"/>
  <c r="P1120" i="1" s="1"/>
  <c r="F1575" i="1"/>
  <c r="F1578" i="1" s="1"/>
  <c r="G1575" i="1"/>
  <c r="G1578" i="1" s="1"/>
  <c r="E1575" i="1"/>
  <c r="E1578" i="1" s="1"/>
  <c r="D1575" i="1"/>
  <c r="D1578" i="1" s="1"/>
  <c r="C1575" i="1"/>
  <c r="C1578" i="1" s="1"/>
  <c r="H545" i="1"/>
  <c r="H548" i="1" s="1"/>
  <c r="G511" i="1"/>
  <c r="G454" i="1"/>
  <c r="H451" i="1"/>
  <c r="H454" i="1" s="1"/>
  <c r="H578" i="1"/>
  <c r="H581" i="1" s="1"/>
  <c r="H566" i="1"/>
  <c r="H528" i="1"/>
  <c r="H531" i="1" s="1"/>
  <c r="H488" i="1"/>
  <c r="H491" i="1" s="1"/>
  <c r="L434" i="1"/>
  <c r="L437" i="1" s="1"/>
  <c r="L418" i="1"/>
  <c r="L421" i="1" s="1"/>
  <c r="L400" i="1"/>
  <c r="L403" i="1" s="1"/>
  <c r="M400" i="1"/>
  <c r="M403" i="1" s="1"/>
  <c r="M382" i="1"/>
  <c r="M385" i="1" s="1"/>
  <c r="L385" i="1"/>
  <c r="L366" i="1"/>
  <c r="N363" i="1" s="1"/>
  <c r="N366" i="1" s="1"/>
  <c r="L347" i="1"/>
  <c r="M326" i="1"/>
  <c r="M329" i="1" s="1"/>
  <c r="O326" i="1" s="1"/>
  <c r="O329" i="1" s="1"/>
  <c r="Q326" i="1" s="1"/>
  <c r="L329" i="1"/>
  <c r="H284" i="1"/>
  <c r="H287" i="1" s="1"/>
  <c r="H226" i="1"/>
  <c r="H229" i="1" s="1"/>
  <c r="H195" i="1"/>
  <c r="H198" i="1" s="1"/>
  <c r="H184" i="1"/>
  <c r="H187" i="1" s="1"/>
  <c r="D57" i="1"/>
  <c r="G1865" i="1"/>
  <c r="J1546" i="1"/>
  <c r="J1545" i="1" s="1"/>
  <c r="J1548" i="1" s="1"/>
  <c r="I1546" i="1"/>
  <c r="I1545" i="1" s="1"/>
  <c r="I1548" i="1" s="1"/>
  <c r="I1526" i="1"/>
  <c r="I1528" i="1"/>
  <c r="I1491" i="1"/>
  <c r="B1390" i="1"/>
  <c r="C1387" i="1" s="1"/>
  <c r="C1390" i="1" s="1"/>
  <c r="D1387" i="1" s="1"/>
  <c r="D1390" i="1" s="1"/>
  <c r="E1387" i="1" s="1"/>
  <c r="E1390" i="1" s="1"/>
  <c r="F1387" i="1" s="1"/>
  <c r="F1390" i="1" s="1"/>
  <c r="G1387" i="1" s="1"/>
  <c r="G1390" i="1" s="1"/>
  <c r="K1061" i="1"/>
  <c r="K1064" i="1" s="1"/>
  <c r="L1061" i="1" s="1"/>
  <c r="L1064" i="1" s="1"/>
  <c r="M1061" i="1" s="1"/>
  <c r="M1064" i="1" s="1"/>
  <c r="N1061" i="1" s="1"/>
  <c r="N1064" i="1" s="1"/>
  <c r="O1061" i="1" s="1"/>
  <c r="O1064" i="1" s="1"/>
  <c r="H1061" i="1"/>
  <c r="H1064" i="1" s="1"/>
  <c r="I1061" i="1" s="1"/>
  <c r="I1064" i="1" s="1"/>
  <c r="J1061" i="1" s="1"/>
  <c r="J1064" i="1" s="1"/>
  <c r="D1680" i="1"/>
  <c r="D1683" i="1" s="1"/>
  <c r="C1680" i="1"/>
  <c r="C1683" i="1" s="1"/>
  <c r="E1680" i="1" s="1"/>
  <c r="E1683" i="1" s="1"/>
  <c r="G184" i="1"/>
  <c r="G187" i="1" s="1"/>
  <c r="F909" i="1"/>
  <c r="F912" i="1" s="1"/>
  <c r="G909" i="1" s="1"/>
  <c r="G912" i="1" s="1"/>
  <c r="H909" i="1" s="1"/>
  <c r="H912" i="1" s="1"/>
  <c r="I909" i="1" s="1"/>
  <c r="I912" i="1" s="1"/>
  <c r="J909" i="1" s="1"/>
  <c r="J912" i="1" s="1"/>
  <c r="K909" i="1" s="1"/>
  <c r="K912" i="1" s="1"/>
  <c r="F891" i="1"/>
  <c r="E891" i="1"/>
  <c r="D891" i="1"/>
  <c r="C888" i="1"/>
  <c r="C891" i="1" s="1"/>
  <c r="B888" i="1"/>
  <c r="B891" i="1" s="1"/>
  <c r="F869" i="1"/>
  <c r="E866" i="1"/>
  <c r="D866" i="1"/>
  <c r="D869" i="1" s="1"/>
  <c r="C866" i="1"/>
  <c r="C869" i="1" s="1"/>
  <c r="B866" i="1"/>
  <c r="B869" i="1" s="1"/>
  <c r="B1546" i="1"/>
  <c r="B1545" i="1" s="1"/>
  <c r="B1526" i="1"/>
  <c r="B1525" i="1" s="1"/>
  <c r="B347" i="1"/>
  <c r="B198" i="1"/>
  <c r="B57" i="1"/>
  <c r="H1302" i="1"/>
  <c r="H1305" i="1" s="1"/>
  <c r="G578" i="1"/>
  <c r="G581" i="1" s="1"/>
  <c r="G563" i="1"/>
  <c r="G566" i="1" s="1"/>
  <c r="F566" i="1"/>
  <c r="F548" i="1"/>
  <c r="G545" i="1"/>
  <c r="G548" i="1" s="1"/>
  <c r="F531" i="1"/>
  <c r="G528" i="1"/>
  <c r="G531" i="1" s="1"/>
  <c r="F491" i="1"/>
  <c r="G488" i="1"/>
  <c r="G491" i="1" s="1"/>
  <c r="G471" i="1"/>
  <c r="G474" i="1" s="1"/>
  <c r="I471" i="1" s="1"/>
  <c r="I474" i="1" s="1"/>
  <c r="F471" i="1"/>
  <c r="F474" i="1" s="1"/>
  <c r="H471" i="1" s="1"/>
  <c r="K437" i="1"/>
  <c r="M434" i="1"/>
  <c r="M437" i="1" s="1"/>
  <c r="K421" i="1"/>
  <c r="K403" i="1"/>
  <c r="K385" i="1"/>
  <c r="K363" i="1"/>
  <c r="K366" i="1" s="1"/>
  <c r="M363" i="1" s="1"/>
  <c r="M366" i="1" s="1"/>
  <c r="M344" i="1"/>
  <c r="M347" i="1" s="1"/>
  <c r="J347" i="1"/>
  <c r="C347" i="1"/>
  <c r="D347" i="1"/>
  <c r="E347" i="1"/>
  <c r="F347" i="1"/>
  <c r="G347" i="1"/>
  <c r="I344" i="1" s="1"/>
  <c r="I347" i="1" s="1"/>
  <c r="K344" i="1" s="1"/>
  <c r="K347" i="1" s="1"/>
  <c r="H347" i="1"/>
  <c r="G679" i="1"/>
  <c r="G682" i="1" s="1"/>
  <c r="H679" i="1"/>
  <c r="H682" i="1" s="1"/>
  <c r="F679" i="1"/>
  <c r="F682" i="1" s="1"/>
  <c r="E679" i="1"/>
  <c r="E682" i="1" s="1"/>
  <c r="D679" i="1"/>
  <c r="D682" i="1" s="1"/>
  <c r="C679" i="1"/>
  <c r="C682" i="1" s="1"/>
  <c r="G671" i="1"/>
  <c r="F1827" i="1"/>
  <c r="F1830" i="1" s="1"/>
  <c r="H1827" i="1" s="1"/>
  <c r="H1830" i="1" s="1"/>
  <c r="D1830" i="1"/>
  <c r="G226" i="1"/>
  <c r="G229" i="1" s="1"/>
  <c r="C226" i="1"/>
  <c r="C229" i="1" s="1"/>
  <c r="D226" i="1"/>
  <c r="D229" i="1" s="1"/>
  <c r="E226" i="1"/>
  <c r="E229" i="1" s="1"/>
  <c r="B226" i="1"/>
  <c r="B229" i="1" s="1"/>
  <c r="F226" i="1"/>
  <c r="F229" i="1" s="1"/>
  <c r="C215" i="1"/>
  <c r="D215" i="1"/>
  <c r="B215" i="1"/>
  <c r="G212" i="1"/>
  <c r="G215" i="1" s="1"/>
  <c r="F212" i="1"/>
  <c r="F215" i="1" s="1"/>
  <c r="E212" i="1"/>
  <c r="E215" i="1" s="1"/>
  <c r="G198" i="1"/>
  <c r="F198" i="1"/>
  <c r="E198" i="1"/>
  <c r="D198" i="1"/>
  <c r="C198" i="1"/>
  <c r="D1786" i="1"/>
  <c r="E1784" i="1"/>
  <c r="E1783" i="1" s="1"/>
  <c r="E1786" i="1" s="1"/>
  <c r="E1765" i="1"/>
  <c r="E1764" i="1" s="1"/>
  <c r="E1767" i="1" s="1"/>
  <c r="H1546" i="1"/>
  <c r="H1491" i="1"/>
  <c r="F2136" i="1"/>
  <c r="E2136" i="1"/>
  <c r="D2136" i="1"/>
  <c r="C2136" i="1"/>
  <c r="D2098" i="1"/>
  <c r="F2074" i="1"/>
  <c r="E2074" i="1"/>
  <c r="C57" i="1"/>
  <c r="G1353" i="1"/>
  <c r="G1334" i="1"/>
  <c r="G1305" i="1"/>
  <c r="F1305" i="1"/>
  <c r="G1293" i="1"/>
  <c r="G1282" i="1"/>
  <c r="G856" i="1"/>
  <c r="F856" i="1"/>
  <c r="E856" i="1"/>
  <c r="D844" i="1"/>
  <c r="G844" i="1"/>
  <c r="E844" i="1"/>
  <c r="H827" i="1"/>
  <c r="H830" i="1" s="1"/>
  <c r="G830" i="1"/>
  <c r="I827" i="1" s="1"/>
  <c r="I830" i="1" s="1"/>
  <c r="G765" i="1"/>
  <c r="I762" i="1"/>
  <c r="I765" i="1" s="1"/>
  <c r="G751" i="1"/>
  <c r="I748" i="1" s="1"/>
  <c r="I751" i="1" s="1"/>
  <c r="K748" i="1" s="1"/>
  <c r="K751" i="1" s="1"/>
  <c r="M748" i="1" s="1"/>
  <c r="D1628" i="1"/>
  <c r="E1625" i="1"/>
  <c r="E1628" i="1" s="1"/>
  <c r="G1880" i="1"/>
  <c r="G1878" i="1"/>
  <c r="F1880" i="1"/>
  <c r="F1878" i="1"/>
  <c r="F1865" i="1"/>
  <c r="F163" i="1"/>
  <c r="F166" i="1" s="1"/>
  <c r="E163" i="1"/>
  <c r="E166" i="1" s="1"/>
  <c r="D166" i="1"/>
  <c r="C166" i="1"/>
  <c r="F146" i="1"/>
  <c r="F149" i="1" s="1"/>
  <c r="E146" i="1"/>
  <c r="E149" i="1" s="1"/>
  <c r="D149" i="1"/>
  <c r="C149" i="1"/>
  <c r="D133" i="1"/>
  <c r="F130" i="1" s="1"/>
  <c r="F133" i="1" s="1"/>
  <c r="E133" i="1"/>
  <c r="C133" i="1"/>
  <c r="D112" i="1"/>
  <c r="C112" i="1"/>
  <c r="E109" i="1" s="1"/>
  <c r="E112" i="1" s="1"/>
  <c r="G1491" i="1"/>
  <c r="F1491" i="1"/>
  <c r="E1491" i="1"/>
  <c r="D1491" i="1"/>
  <c r="F671" i="1"/>
  <c r="H668" i="1" s="1"/>
  <c r="H671" i="1" s="1"/>
  <c r="E671" i="1"/>
  <c r="D671" i="1"/>
  <c r="D1546" i="1"/>
  <c r="D1545" i="1" s="1"/>
  <c r="D1548" i="1" s="1"/>
  <c r="E1546" i="1" s="1"/>
  <c r="E1545" i="1" s="1"/>
  <c r="E1548" i="1" s="1"/>
  <c r="H1545" i="1"/>
  <c r="H1548" i="1" s="1"/>
  <c r="F1545" i="1"/>
  <c r="F1548" i="1" s="1"/>
  <c r="D1528" i="1"/>
  <c r="C1526" i="1"/>
  <c r="C1525" i="1" s="1"/>
  <c r="D545" i="1"/>
  <c r="C1489" i="1"/>
  <c r="C1488" i="1" s="1"/>
  <c r="C1491" i="1" s="1"/>
  <c r="B1489" i="1"/>
  <c r="B1488" i="1" s="1"/>
  <c r="B1491" i="1" s="1"/>
  <c r="C1865" i="1"/>
  <c r="D1865" i="1"/>
  <c r="E1865" i="1"/>
  <c r="M418" i="1" l="1"/>
  <c r="M421" i="1" s="1"/>
  <c r="P1061" i="1"/>
  <c r="P1064" i="1" s="1"/>
  <c r="Q1061" i="1" s="1"/>
  <c r="Q1064" i="1" s="1"/>
  <c r="H2204" i="1"/>
  <c r="H2207" i="1" s="1"/>
  <c r="I2204" i="1" s="1"/>
  <c r="I2207" i="1" s="1"/>
  <c r="J2204" i="1" s="1"/>
  <c r="J2207" i="1" s="1"/>
  <c r="K2204" i="1" s="1"/>
  <c r="H1387" i="1"/>
  <c r="H1390" i="1" s="1"/>
  <c r="I1387" i="1" s="1"/>
  <c r="I1390" i="1" s="1"/>
  <c r="J1387" i="1" s="1"/>
  <c r="O1500" i="1"/>
  <c r="O1499" i="1" s="1"/>
  <c r="O1502" i="1" s="1"/>
  <c r="P1500" i="1" s="1"/>
  <c r="P1499" i="1" s="1"/>
  <c r="P1502" i="1" s="1"/>
  <c r="C1971" i="1"/>
  <c r="C1974" i="1" s="1"/>
  <c r="C1528" i="1"/>
  <c r="E1526" i="1" s="1"/>
  <c r="E1525" i="1" s="1"/>
  <c r="E1528" i="1" s="1"/>
  <c r="F1526" i="1" s="1"/>
  <c r="F1525" i="1" s="1"/>
  <c r="F1528" i="1" s="1"/>
  <c r="G1526" i="1" s="1"/>
  <c r="G1525" i="1" s="1"/>
  <c r="G1528" i="1" s="1"/>
  <c r="H1526" i="1" s="1"/>
  <c r="H1525" i="1" s="1"/>
  <c r="H1528" i="1" s="1"/>
  <c r="B1528" i="1"/>
  <c r="D1526" i="1" s="1"/>
  <c r="D931" i="1"/>
  <c r="D934" i="1" s="1"/>
  <c r="F931" i="1" s="1"/>
  <c r="F934" i="1" s="1"/>
</calcChain>
</file>

<file path=xl/sharedStrings.xml><?xml version="1.0" encoding="utf-8"?>
<sst xmlns="http://schemas.openxmlformats.org/spreadsheetml/2006/main" count="19403" uniqueCount="1245">
  <si>
    <t>MAROC</t>
  </si>
  <si>
    <t>Stock :</t>
  </si>
  <si>
    <t>Unités: t</t>
  </si>
  <si>
    <t>Année</t>
  </si>
  <si>
    <t>Limite</t>
  </si>
  <si>
    <t>Limite ajustée (A)</t>
  </si>
  <si>
    <t>Formule *</t>
  </si>
  <si>
    <t>Prise (B)</t>
  </si>
  <si>
    <t>Solde (A-B)</t>
  </si>
  <si>
    <t>Année d'ajustement**</t>
  </si>
  <si>
    <t>Décrire la raison utilisée dans l'application de la sur/sous-consommation</t>
  </si>
  <si>
    <t>Pavillon :</t>
  </si>
  <si>
    <t>Flag:</t>
  </si>
  <si>
    <t>SYRIA</t>
  </si>
  <si>
    <t>Stock:</t>
  </si>
  <si>
    <t>Units: t</t>
  </si>
  <si>
    <t>Year</t>
  </si>
  <si>
    <t>Limit</t>
  </si>
  <si>
    <t>Adjusted limit (A)</t>
  </si>
  <si>
    <t>Formula *</t>
  </si>
  <si>
    <t>Catch (B)</t>
  </si>
  <si>
    <t>Balance (A-B)</t>
  </si>
  <si>
    <t>Adjustment year**</t>
  </si>
  <si>
    <t>Describe the rationale used in the application of overage / underage:</t>
  </si>
  <si>
    <t>Pabellón:</t>
  </si>
  <si>
    <t>MEXICO</t>
  </si>
  <si>
    <t>Unidades: t</t>
  </si>
  <si>
    <t>Año</t>
  </si>
  <si>
    <t>Límite</t>
  </si>
  <si>
    <t>Límite ajustado (A)</t>
  </si>
  <si>
    <t>Fórmula *</t>
  </si>
  <si>
    <t>Captura (B)</t>
  </si>
  <si>
    <t>Saldo (A-B)</t>
  </si>
  <si>
    <t>Año de ajuste**</t>
  </si>
  <si>
    <t>Describir la lógica utilizada en la aplicación de los excesos/remanentes:</t>
  </si>
  <si>
    <t>2010=95t+47.5t-(86.5t to Canada for 2011) por Rec. 08-04</t>
  </si>
  <si>
    <t xml:space="preserve">Desembarque </t>
  </si>
  <si>
    <t>Saldo</t>
  </si>
  <si>
    <t>TUNISIE</t>
  </si>
  <si>
    <t>EUROPEAN UNION</t>
  </si>
  <si>
    <t>Limit+Balance 2012-20</t>
  </si>
  <si>
    <t>Limit*1.25</t>
  </si>
  <si>
    <t>Limit+2014 balance</t>
  </si>
  <si>
    <t>Limit 2017 + 25%  2015 limit</t>
  </si>
  <si>
    <t>Limit 2018 +  2016 balance</t>
  </si>
  <si>
    <t>Limit 2019 +   2017 balance</t>
  </si>
  <si>
    <t>Limit 2020 +   2018 balance</t>
  </si>
  <si>
    <t>NA</t>
  </si>
  <si>
    <t>1470+249</t>
  </si>
  <si>
    <t>Limit 2016 + 25%  2014 limit</t>
  </si>
  <si>
    <t>Limit 2018 + 25%  2016 limit</t>
  </si>
  <si>
    <t>Limit 2019 + 25%  2017 limit</t>
  </si>
  <si>
    <t>Limit 2020 + 25%  2018 limit</t>
  </si>
  <si>
    <t>(Limit*1.25)-470-40</t>
  </si>
  <si>
    <t>(Limit*1.25)-450-50</t>
  </si>
  <si>
    <t>(Limit*1.15)-40-295</t>
  </si>
  <si>
    <t>(2017 limit + 0,15*2015 limit)-300</t>
  </si>
  <si>
    <t>(2018 limit + 0,15*2016 limit)-40-300</t>
  </si>
  <si>
    <t>(2019 limit + 0,15*2017 limit)-40-300</t>
  </si>
  <si>
    <t>Limit +2012 balance</t>
  </si>
  <si>
    <t>Limit + 2013 balance</t>
  </si>
  <si>
    <t>Limit + 2014 balance</t>
  </si>
  <si>
    <t>Limit 2017 +  2015 balance</t>
  </si>
  <si>
    <t xml:space="preserve">Limit 2018 + 2016 balance </t>
  </si>
  <si>
    <t xml:space="preserve">Limit 2019 + 2017 balance </t>
  </si>
  <si>
    <t xml:space="preserve">Limit 2020 +  2018 balance </t>
  </si>
  <si>
    <t>BET</t>
  </si>
  <si>
    <t>Limit*1.3</t>
  </si>
  <si>
    <t>Limit 2016+Limit 2014*0.3</t>
  </si>
  <si>
    <t>Limit 2017+Limit 2015*0.15</t>
  </si>
  <si>
    <t>Limit 2018+Limit 2016*0.15</t>
  </si>
  <si>
    <t>Limit 2019 + 2017 balance</t>
  </si>
  <si>
    <t> 2020</t>
  </si>
  <si>
    <t> 2021</t>
  </si>
  <si>
    <t>BUM</t>
  </si>
  <si>
    <t>2016 Limit + Balance 2014</t>
  </si>
  <si>
    <t>2017 limit + 0.5*Balance 2015</t>
  </si>
  <si>
    <t>2018 limit + 0.5*Balance 2015 + 0,1*2016 limit</t>
  </si>
  <si>
    <t>2019 Limit + 0.1*2017 limit</t>
  </si>
  <si>
    <t>WHM</t>
  </si>
  <si>
    <t>2016 limit +0.5*Balance 2014</t>
  </si>
  <si>
    <t>2017 limit +0.5*Balance 2014</t>
  </si>
  <si>
    <t>2018 limit +0.33*Balance 2015</t>
  </si>
  <si>
    <t>2019 limit +0.33 Balance 2015</t>
  </si>
  <si>
    <t>2020 limit + 0,33*Balance 2015 +0.10*limit 2018</t>
  </si>
  <si>
    <t>CHINESE TAIPEI</t>
  </si>
  <si>
    <t>=3271.7*(1+25%)-100-200</t>
    <phoneticPr fontId="2" type="noConversion"/>
  </si>
  <si>
    <t>=3926+655.62-100-200</t>
    <phoneticPr fontId="2" type="noConversion"/>
  </si>
  <si>
    <t>Regarding Rec.17-04 amends para.4 of Rec.16-06, Chinese Taipei is allocated 3926 t as its 2019 initial catch quota.</t>
    <phoneticPr fontId="2" type="noConversion"/>
  </si>
  <si>
    <t>=9400+2106.75</t>
    <phoneticPr fontId="2" type="noConversion"/>
  </si>
  <si>
    <t>=9400+2350</t>
    <phoneticPr fontId="2" type="noConversion"/>
  </si>
  <si>
    <t>2019 adjusted quota is 11750.00 t (=9400+2350), which was approved by the Commission at the 21st Special Meeting.</t>
    <phoneticPr fontId="2" type="noConversion"/>
  </si>
  <si>
    <t>=270*(1+50%)-35</t>
    <phoneticPr fontId="2" type="noConversion"/>
  </si>
  <si>
    <t>=270*(1+40%)-35</t>
    <phoneticPr fontId="2" type="noConversion"/>
  </si>
  <si>
    <t>Regarding Rec.17-02 replacing Rec.16-03, Chinese Taipei may carryover to the maximum of 40% of its 2017 underage in 2019.</t>
    <phoneticPr fontId="2" type="noConversion"/>
  </si>
  <si>
    <t>=459+128.9</t>
    <phoneticPr fontId="2" type="noConversion"/>
  </si>
  <si>
    <t>=459+76.9</t>
    <phoneticPr fontId="2" type="noConversion"/>
  </si>
  <si>
    <t>=459+57.9</t>
    <phoneticPr fontId="2" type="noConversion"/>
  </si>
  <si>
    <t>Regarding Rec.17-03 replaceing Rec.16-04, Chinese Taipei may carryover to the maximum of 20% of its 2018 underage in 2019.</t>
    <phoneticPr fontId="2" type="noConversion"/>
  </si>
  <si>
    <t>=48.76-10</t>
    <phoneticPr fontId="2" type="noConversion"/>
  </si>
  <si>
    <t>=58.28-10</t>
    <phoneticPr fontId="2" type="noConversion"/>
  </si>
  <si>
    <t>=69.97-10</t>
    <phoneticPr fontId="2" type="noConversion"/>
  </si>
  <si>
    <t>=79-50</t>
    <phoneticPr fontId="2" type="noConversion"/>
  </si>
  <si>
    <t>=84-50</t>
    <phoneticPr fontId="2" type="noConversion"/>
  </si>
  <si>
    <t>2019 adjusted quota is 34 t (=84-50) due to a transfer of 50 t to Korea.</t>
    <phoneticPr fontId="2" type="noConversion"/>
  </si>
  <si>
    <t>=15583*(1+30%)-70</t>
    <phoneticPr fontId="2" type="noConversion"/>
  </si>
  <si>
    <t>=11679+(15583*30%)</t>
    <phoneticPr fontId="2" type="noConversion"/>
  </si>
  <si>
    <t>=11679+(15583*15%)</t>
    <phoneticPr fontId="2" type="noConversion"/>
  </si>
  <si>
    <t>=11679*(1+15%)+223</t>
    <phoneticPr fontId="2" type="noConversion"/>
  </si>
  <si>
    <t>2019 adjusted quota is 13653.85 t (=11679+11679*15%+223) due to the underage of 2017 exceeding 15% of 2019 initial catch limit and a transfer of 223 t from Korea.</t>
    <phoneticPr fontId="2" type="noConversion"/>
  </si>
  <si>
    <t>=150*(1+10%)</t>
    <phoneticPr fontId="2" type="noConversion"/>
  </si>
  <si>
    <t>2019 adjusted quota is 165t (=150+150*10%) due to the underage of 2017 exceeding 15% of 2019 initial catch limit.</t>
    <phoneticPr fontId="2" type="noConversion"/>
  </si>
  <si>
    <t>=50*(1+10%)</t>
    <phoneticPr fontId="2" type="noConversion"/>
  </si>
  <si>
    <t>2019 adjusted quota is 55t (=50+50*10%) due to the underage of 2017 exceeding 10% of 2019 initial catch limit.</t>
    <phoneticPr fontId="2" type="noConversion"/>
  </si>
  <si>
    <t>USA</t>
  </si>
  <si>
    <t>* Adjusted limit = initial limit + available balance (not to exceed 25% of initial quota)</t>
  </si>
  <si>
    <t>Adjusted limit for 2016 = 527 +131.75 = 658.75 t</t>
  </si>
  <si>
    <t>Adjusted limit for 2017 = 527 +131.75 = 658.75 t</t>
  </si>
  <si>
    <t>Adjusted limit for 2018 = 632.4 +131.75 = 764.15***</t>
  </si>
  <si>
    <t>Adjusted limit for 2019 = 632.4 +158.1 = 790.5</t>
  </si>
  <si>
    <t>* Adjusted limit = (initial limit) - (any transfers) + (underharvest from previous year (capped at 15% of baseline))</t>
  </si>
  <si>
    <t>Adjusted limit for 2017 = 3907.0 - (25 t to Mauritania) + (0.15)(3907) = 4468.05 t</t>
  </si>
  <si>
    <t>Adjusted limit for 2018 = 3907.0 + (0.15)(3907) = 4493.05 t</t>
  </si>
  <si>
    <t>Adjusted limit for 2019 = 3907.0 + (0.15)(3907) = 4493.05 t</t>
  </si>
  <si>
    <t>* Adjusted limit = (initial limit) - (any transfers) + (underharvest from previous year (capped at 100 t WW))</t>
  </si>
  <si>
    <t>Adjusted limit for 2017 = 100.0 - (100 t (Namibia (50 t), Cote d'Ivoire (25 t), Belize (25 t)) + 99.94</t>
  </si>
  <si>
    <t>Adjusted limit for 2018 = 100.0 - (100 t (Namibia (50 t), Cote d'Ivoire (25 t), Belize (25 t)) + 99.94</t>
  </si>
  <si>
    <t>Adjusted limit for 2019 = 100.0 - (100 t (Namibia (50 t), Cote d'Ivoire (25 t), Belize (25 t)) + 99.94</t>
  </si>
  <si>
    <t>Adjusted limit for 2016 = 1083.79 + (.1)(1083.79) = 1192.17 t</t>
  </si>
  <si>
    <t>Adjusted limit for 2017 = 1083.79 + (.1)(1083.79) = 1192.17 t</t>
  </si>
  <si>
    <t>Adjusted limit for 2018 = 1272.86 + (.1)(1083.79) = 1381.24 t***</t>
  </si>
  <si>
    <t>Adjusted limit for 2019 = 1272.86 + (.1)(1272.86) = 1400.15 t</t>
  </si>
  <si>
    <t>(200/4)+200</t>
  </si>
  <si>
    <t>(200-184.4)+200</t>
  </si>
  <si>
    <t>(200*0.25)+200</t>
  </si>
  <si>
    <t xml:space="preserve">Underage up to 25% of the initial catch quota has been carried over biennially. </t>
  </si>
  <si>
    <t>-</t>
  </si>
  <si>
    <t>(150*0.25)+140</t>
  </si>
  <si>
    <t>(140*0.25)+140</t>
  </si>
  <si>
    <t>50-4.4</t>
  </si>
  <si>
    <t>50+15.34</t>
  </si>
  <si>
    <t>50+(50*0.5)</t>
  </si>
  <si>
    <t>50+10.7</t>
  </si>
  <si>
    <t>50-2.63</t>
  </si>
  <si>
    <t>50+(50*0.3)</t>
  </si>
  <si>
    <t>(1983*0.3)+1983-20</t>
  </si>
  <si>
    <t>(1983*0.3)+1486</t>
  </si>
  <si>
    <t>(1486*0.15)+1486</t>
  </si>
  <si>
    <t xml:space="preserve">20 tons of Bigeye catch quota had been annually transferred to Ghana until 2015.  </t>
  </si>
  <si>
    <t>(35*0.2)+35</t>
  </si>
  <si>
    <t>Underage up to 20% of the initial catch quota has been carried over to following year.</t>
  </si>
  <si>
    <t>(20*0.2)+20</t>
  </si>
  <si>
    <t>Units : t</t>
  </si>
  <si>
    <t>CHINA</t>
  </si>
  <si>
    <t>Describe the rationale used in the application of over-underharvest:</t>
  </si>
  <si>
    <t>Adjusted Lmit=initial limt +available balance(not to exceed 25% of initial quota)</t>
  </si>
  <si>
    <t>Adjusted limit for 2019=initial quota(200)+200*25%(not exceeding the balance of 2017)=220.05</t>
    <phoneticPr fontId="2" type="noConversion"/>
  </si>
  <si>
    <t>NOTE:pay back plan for the over-harvest of 2015: pay back 12t in 2017, pay back 12t in 2018, pay back 12.726t in 2019</t>
    <phoneticPr fontId="2" type="noConversion"/>
  </si>
  <si>
    <t>Adjusted Lmit=initial limt +available balance(not to exceed 30%of initial quota)</t>
    <phoneticPr fontId="2" type="noConversion"/>
  </si>
  <si>
    <t>Adjusted Lmit=initial limt +available balance(not to exceed 15% of initial quota)</t>
    <phoneticPr fontId="2" type="noConversion"/>
  </si>
  <si>
    <t>Adjusted limite for 2019=initial quota(5376)+5376*15%+1000 ton transfer from japan=7182.4</t>
    <phoneticPr fontId="2" type="noConversion"/>
  </si>
  <si>
    <t>n.a.</t>
  </si>
  <si>
    <t>No adjustment for 2015</t>
  </si>
  <si>
    <t>Adjusted limit for 2019=initial quota(10)+10*20%=12</t>
  </si>
  <si>
    <t>Insuffisance d'activité lié au déploiement de l'armement</t>
  </si>
  <si>
    <t>BRAZIL</t>
  </si>
  <si>
    <t>BELIZE</t>
  </si>
  <si>
    <t>Limit + Underages + Transfer</t>
  </si>
  <si>
    <t xml:space="preserve">2016 = Initial allocation + transfers (from Senegal 125t, Japan 35t, Chinese Taipe 35t, and the EU 295t) + underage from 2014 (202.2t - max. carry forward) </t>
  </si>
  <si>
    <t xml:space="preserve">2017 = Initial allocation + transfers (from Senegal 150t, Japan 35t, Chinese Taipe 35t, and the EU 300t) + underage from 2015 (202.2t - max. carry forward) </t>
  </si>
  <si>
    <t>2018 = Initial allocation + transfers (from Senegal 150t, Japan 35t, Chinese Taipe 35t, and the EU 300t) + underage from 2016 (202.2t - max. carry forward)</t>
  </si>
  <si>
    <t>CANADA</t>
  </si>
  <si>
    <t>TRINIDAD&amp;TOBAGO</t>
  </si>
  <si>
    <t>JAPAN</t>
  </si>
  <si>
    <t xml:space="preserve">JAPAN-N-ALB:is to endeavour to limit North Albacore catches to no more than 4% of its total bigeye tuna catch. </t>
  </si>
  <si>
    <t>For reference</t>
  </si>
  <si>
    <t>% (N-ALB/BET)</t>
  </si>
  <si>
    <t>Year:</t>
  </si>
  <si>
    <t>Catch</t>
  </si>
  <si>
    <t>Describe the rationale used in the application of overage / underage</t>
  </si>
  <si>
    <t xml:space="preserve">JAPAN-S-ALB up to 2013: is to endeavour to limit its total South Albacore catches to no more than 4% of its total bigeye tuna catch in South of 5 degrees North. </t>
  </si>
  <si>
    <t xml:space="preserve">JAPAN-S-ALB: 2014 adjusted limit included 50t transferred from Namibia, 220t transferred from Uruguay and 100t transferred from  Brazil
. </t>
  </si>
  <si>
    <t xml:space="preserve">JAPAN-S-ALB: 2015 adjusted limit included 100t transferred from Brazil amd 100t transferred from South Africa.
. </t>
  </si>
  <si>
    <t>JAPAN-S-ALB: 2016 adjusted limit included 25% of the original limit as carry-over from 2014 underage[Rec.13-06]</t>
  </si>
  <si>
    <t>JAPAN-S-ALB: 2017 adjusted limit included 100t transferred from Brazil amd 100t transferred from Uruguay.[Rec.16-07]</t>
  </si>
  <si>
    <t>JAPAN-S-ALB: 2018 adjusted limit included 100t transferred from Brazil amd 100t transferred from Uruguay.[Rec.16-07]</t>
  </si>
  <si>
    <t>JAPAN-N-SWO: adjusted limit in 2011 excluded 50 t transfered to Morocco. [Rec. 10-02].</t>
  </si>
  <si>
    <t>JAPAN-N-SWO: adjusted limit in 2012 and 2013 excluded 50 t transfered to Morocco, and 35 transferred to Canada. [Rec. 11-02].</t>
  </si>
  <si>
    <t>JAPAN-N-SWO: adjusted limit in 2014, 2015 and 2016 excluded 50 t transfered to Morocco, and 35 transferred to Canada, and 25 transferred to Mauritania. [Rec. 13-02].</t>
  </si>
  <si>
    <t>JAPAN-N-SWO: adjusted limit in 2017 excluded 100 t transfered to Morocco, and 35 transferred to Canada, and 25 transferred to Mauritania. [Rec. 16-03].</t>
  </si>
  <si>
    <t>JAPAN-N-SWO: underage may be added to the subsequent years' catch limits. [Rec. 13-02][Rec. 16-03].</t>
  </si>
  <si>
    <t>JAPAN-N-SWO:400 t of its swordfish catch taken from the South Atlantic management area was counted against its uncaught catch limits in 2015.[Rec.13-02]</t>
  </si>
  <si>
    <t>JAPAN-E-BFT: adjusted quota in 2015 included 45t transferred from Korea.[Rec.14-04]</t>
  </si>
  <si>
    <t>JAPAN-E-BFT: adjusted quota in 2016 excluded 25 t transfered to Korea.[Rec.14-04]</t>
  </si>
  <si>
    <t>JAPAN-E-BFT: adjusted quota in 2017 excluded 20 t transfered to Korea.[Rec.14-04]</t>
  </si>
  <si>
    <t>JAPAN-E-BFT: Current catch for 2017 includes 5.3 t of dead discard as reported in Task I data.</t>
  </si>
  <si>
    <t xml:space="preserve">JAPAN-BIGEYE: adjusted limit of Japan in 2011excludes 3000 t transferred to China and 800 t transferred to Korea [Rec. 10-01].  </t>
  </si>
  <si>
    <t xml:space="preserve">JAPAN-BIGEYE: adjusted limit of Japan in 2012,2013, and 2014 excluded 3000 t transferred to China and 70 t transferred to Ghana [Rec. 11-01].  </t>
  </si>
  <si>
    <t>JAPAN-BUM: the 2015 adjusted limit included 10% of the initial limit as carry-over from 2013 underage[Rec.12-04]</t>
  </si>
  <si>
    <t>JAPAN-BUM: the 2016 adjusted limit included 10% of the initial limit as carry-over from 2014 underage[Rec.15-05].</t>
  </si>
  <si>
    <t xml:space="preserve">Figures up to 2012 are for only White Marlin[Rec.6-9 &amp; 11-07] </t>
  </si>
  <si>
    <t>Figures from 2013 are for both White Marlin and Spearfish[Rec.12-04]</t>
  </si>
  <si>
    <t>BARBADOS</t>
  </si>
  <si>
    <t xml:space="preserve">Stock: </t>
  </si>
  <si>
    <t xml:space="preserve">Flag: </t>
  </si>
  <si>
    <t>SOUTH AFRICA</t>
  </si>
  <si>
    <t>*Belize is carrying forward its underages of 1.56t of its unused catch limit in 2017 to be used in 2019</t>
  </si>
  <si>
    <t xml:space="preserve">*Belize is carrying forward 25% of its initial catch limit (62.5t) from its balance of 93.47t in 2017 to be used in 2019 </t>
  </si>
  <si>
    <t>*Belize is carrying forward 40% of its initial catch limit (65t) from its balance of 197.92t in 2017 to be used in 2019.</t>
  </si>
  <si>
    <t>*Belize is carrying forward 20% of its initial catch limit (25t) from its balance of 108.99t in 2017 to be used in 2019.</t>
  </si>
  <si>
    <t>JAPAN-W-BFT:The underharvest may be added to next year to 10% of the initial quota allocation[Rec.13-09、14-05、17-06]</t>
  </si>
  <si>
    <t>Japan's 2019 adjusted limit = 17,696(Limit)+2,654.4(2018 carry over(17696*15%)(Para8 of Rec16-01)-1000(transfer to China(Para7 of Rec.16-01))-70(transfer to Ghana(Para7 of Rec.16-01))</t>
  </si>
  <si>
    <t>JAPAN-WHM・SPF: the 2015 adjusted limit included 20% of the initial limit as carry-over from 2013 underage[Rec.12-04]</t>
  </si>
  <si>
    <t>JAPAN-WHM・SPF: the 2016 adjusted limit included 20% of the initial limit as carry-over from 2014 underage[Rec.12-04][Rec.15-05]</t>
  </si>
  <si>
    <t>JAPAN-WHM・SPF: the 2017 adjusted limit included 20% of the initial limit as carry-over from 2015 underage[Rec.12-04][Rec.15-05]</t>
  </si>
  <si>
    <t>(1486*0.15)+1486-223</t>
  </si>
  <si>
    <t>(1486*0.15)+1486 - 223</t>
  </si>
  <si>
    <t>SENEGAL</t>
  </si>
  <si>
    <t xml:space="preserve">Déficit de collecte au niveau des sites de débarquement de la pêche artisanale. </t>
  </si>
  <si>
    <t>le calcul du quota ajusté 2019 prend en compte le solde  MAX de 2018 (Limite 2018 * 0.2 = 417*0.2=83.4) auquel est ajouté la limite 2019 (417 t) ce qui donne (83.4+417=500.4) t</t>
  </si>
  <si>
    <t>Japan's 2018 adjusted limit = BET 2018 catch * 4%(Para6 of Rec16-06)</t>
    <phoneticPr fontId="9"/>
  </si>
  <si>
    <t>JAPAN-S-ALB: adjusted limit from 2019 to 2020 included 100t transferred from Brazil amd 100t transferred from South Africa [Rec.16-07].</t>
    <phoneticPr fontId="5" type="noConversion"/>
  </si>
  <si>
    <t>JAPAN-S-ALB: Japan's underage in 2016 was carried over to the 2018 initial limit [Rec.16-07]</t>
    <phoneticPr fontId="9"/>
  </si>
  <si>
    <t>JAPAN-S-ALB: Japan's overage in 2017 was deducted from the 2019 initial limit [Rec.16-07]</t>
    <phoneticPr fontId="9"/>
  </si>
  <si>
    <t>JAPAN-S-ALB: Japan's underage in 2018 was carried over to the 2020 initial limit [Rec.16-07]</t>
    <phoneticPr fontId="9"/>
  </si>
  <si>
    <t>Japan's 2019 adjusted limit = 1355t(Limit)-418.7t(2017 overage(Para5 of Rec16-07))+100t(transfer from Brasil (Para3 of Rec.16-07))+100t(transfer from S.Africa(Para3 of Rec.16-07))+800t(transfer from S.Africa(circular#888/2019))</t>
    <phoneticPr fontId="9"/>
  </si>
  <si>
    <t>JAPAN-N-SWO: As Mauritania did not submit its North Atlantic Swordfish development plan in 2018, the transfers provided for in Rec.17-02 are considered null.</t>
    <phoneticPr fontId="5" type="noConversion"/>
  </si>
  <si>
    <t>JAPAN-N-SWO: adjusted limit from 2019 to 2020 excluded 100t transfered to Morocco, and 35t transferred to Canada , and 25t transferred to Mauritania [Rec. 17-02].</t>
    <phoneticPr fontId="5" type="noConversion"/>
  </si>
  <si>
    <t>Japan's 2019 adjusted limit = 901t(Limit)+340.2t(2017 carry over(Para1(3) of Rec17-03)-50t(transfer to Namibia(Para5 of Rec.17-03))</t>
    <phoneticPr fontId="9"/>
  </si>
  <si>
    <t>Japan's 2020 adjusted limit  = 901t(Limit)+600t(2018 carry over(Para1(3) of Rec17-03))-50t(transfer to Namibia(Para5 of Rec.17-03))</t>
    <phoneticPr fontId="9"/>
  </si>
  <si>
    <t>JAPAN-E-BFT: current catch for 2018 includes 7.42 t of dead discard.</t>
    <phoneticPr fontId="5" type="noConversion"/>
  </si>
  <si>
    <t>Japan's 2019 adjusted limit = 2544.00t(Limit)(Para5 of Rec18-02)</t>
    <phoneticPr fontId="9"/>
  </si>
  <si>
    <t>JAPAN-W-BFT: current catch for 2018 includes 1.10 t of dead discard.</t>
    <phoneticPr fontId="5" type="noConversion"/>
  </si>
  <si>
    <t>Japan's 2018 adjusted limit =15415.88(It was deducted by the "pay back" provision  in para 2(a) of Rec 16-01.)</t>
    <phoneticPr fontId="9"/>
  </si>
  <si>
    <t>JAPAN-BIGEYE: current catch for 2018 includes 26.09 t of dead discard.</t>
    <phoneticPr fontId="5" type="noConversion"/>
  </si>
  <si>
    <t>JAPAN-BIGEYE: the 2015 adjusted limit included 30% of the initial limit as carry-over from 2014 underage and excluded 3000 t  transferred to China and 70 t transferred to Ghana [Rec. 14-01].</t>
  </si>
  <si>
    <t>JAPAN-BIGEYE: the 2016 adjusted limit included 30% of the initial limit as carry-over from 2015 underage and excluded 1000 t transferred to China and 70 t transferred to Ghana. [Rec. 14-01][Rec.15-01]</t>
  </si>
  <si>
    <t>JAPAN-BIGEYE: the 2017 adjusted limit included 15% of the initial limit as carry-over from 2016 underage and excluded 1000 t  transferred to China and 70 t transferred to Ghana [Rec. 16-01]</t>
  </si>
  <si>
    <t>JAPAN-BIGEYE: the 2018 adjusted limit included 15% of the initial limit as carry-over from 2017 underage and excluded 1000 t  transferred to China and 70 t transferred to Ghana [Rec. 16-01]</t>
  </si>
  <si>
    <t>JAPAN-BUM: the 2017 adjusted limit included 10% of the initial limit as carry-over from 2015 underage[Rec.15-05].</t>
    <phoneticPr fontId="9"/>
  </si>
  <si>
    <t>Japan's 2018 adjusted limit = 390t(Limt)+16.6t(2016 carry over(Para3 of Rec15-05))</t>
    <phoneticPr fontId="9"/>
  </si>
  <si>
    <t>Japan's 2018 adjusted limit =35t(Limt)+7t(2016 carry over(35*20%)(Para3 of Rec15-05))</t>
    <phoneticPr fontId="9"/>
  </si>
  <si>
    <t>2017*</t>
  </si>
  <si>
    <t>2018**</t>
  </si>
  <si>
    <t>2019**</t>
  </si>
  <si>
    <t>50+(50*0.4)</t>
  </si>
  <si>
    <t>CÔTE D'IVOIRE</t>
  </si>
  <si>
    <t>200+(200*0.5)</t>
  </si>
  <si>
    <t>200+(200*0.4)</t>
  </si>
  <si>
    <t>GHANA</t>
  </si>
  <si>
    <t>*transfer of 200t from Chinese Taipei to Belize in 2019 and 2020.</t>
  </si>
  <si>
    <t>Les prises accessoires n'ont pas encore été arretées ,</t>
  </si>
  <si>
    <t>*Belize is carrying forward its underages of 1.98t of its unused catch limit in 2018 to be used in 2020.</t>
  </si>
  <si>
    <t>*transfer of 75t from Trinidad &amp; Tobago to Belize in 2019 and 2020.</t>
  </si>
  <si>
    <t>*Belize is carrying forward 40% of its initial catch limit (52t) from its balance of 111.68t in 2018 to be used in 2020.</t>
  </si>
  <si>
    <t>*Belize is carrying forward 20% of its initial catch limit (25t) from its balance of 172.28t in 2018 to be used in 2020.</t>
  </si>
  <si>
    <t>*transfer of 25t from the United States of America to Belize in 2019 and 2020.</t>
  </si>
  <si>
    <t>*transfer of 50t from Brazil to Belize in 2019 and 2020.</t>
  </si>
  <si>
    <t>*transfer of 50t from Uruguay to Belize in 2019 and 2020.</t>
  </si>
  <si>
    <t>EL SALVADOR</t>
  </si>
  <si>
    <t>2019: The 2018 underage is greater than the maximum amount that can be carried over to 2019 (&lt;= 40% of original catch limit); hence the amount carried over is 50 t (0.4*125).
Additionally, 75 t were transferred to Belize; hence 75 is subtracted from the sum of the initial catch limit and the allowed carry over, to arrive at the final adjusted limit of 100 t.</t>
  </si>
  <si>
    <t>NORWAY</t>
  </si>
  <si>
    <t>MIN((A-B), 5% * A)</t>
  </si>
  <si>
    <t>Limit 2021 + 25%  2019 limit</t>
  </si>
  <si>
    <t xml:space="preserve">Limit 2021 +  2019 balance </t>
  </si>
  <si>
    <t>Limit 2020 + 2018 balance + 300¹ t</t>
  </si>
  <si>
    <t>Limit 2021 + 2019 balance</t>
  </si>
  <si>
    <t>2020 Limit + 0.1*2018 limit - 2t</t>
  </si>
  <si>
    <t>2021 Limit + 0.1*2019 limit -2t</t>
  </si>
  <si>
    <t>2021 limit + 0.10*limit 2019</t>
  </si>
  <si>
    <t>JAPAN-N-ALB:Japan's 2019 adjusted limit = BET 2019 catch * 4% (Para6 of Rec16-06)</t>
  </si>
  <si>
    <t>JAPAN-S-ALB: Japan's underage in 2019 was carried over to the 2021 initial limit [Rec.16-07]</t>
  </si>
  <si>
    <t>JAPAN-E-BFT: current catch for 2019 includes  9.25t of dead discard.</t>
  </si>
  <si>
    <t>JAPAN-E-BFT:Japan's 2020 adjusted limit = 2819.00t(Limit)(Para5 of Rec19-04)+20.27t(2019 carry over (Para7 of Rec 19-04))</t>
  </si>
  <si>
    <t>JAPAN-W-BFT:Japan's 2019 adjusted limit = 407.48t(Limit)+1.73t(2018 carry over(Para7a of Rec17-06 )</t>
  </si>
  <si>
    <t>JAPAN-W-BFT: current catch for 2019 includes 0.21 t of dead discard.</t>
  </si>
  <si>
    <t>JAPAN-W-BFT:Japan's 2020 adjusted limit = 407.48t(Limit)+2.92t(2019 carry over(Para7a of Rec17-06 )</t>
  </si>
  <si>
    <t>JAPAN-BIGEYE: current catch for 2019 includes  14.10t of dead discard.</t>
  </si>
  <si>
    <t>JAPAN-BIGEYE: Adjusted catch limit for 2017 does not take into account of the “pay back” stipulated in para 2(a) of Rec 16-01.</t>
  </si>
  <si>
    <t>JAPAN-BUM:Japan's 2019 adjusted limit = 390t(Limit)+39t(2017 carry over(390*10%)(Para3 of Rec15-05))</t>
  </si>
  <si>
    <t>JAPAN-BUM:Japan's 2020 adjusted limit = 328.1t(Limit)+39t(2018 carry over(390*10%)(Para3 of Rec18-04))</t>
  </si>
  <si>
    <t>JAPAN-BUM:Japan's 2021 adjusted limit = 328.1t(Limit)+39t(2019 carry over(390*10%)(Para3 of Rec18-04))</t>
  </si>
  <si>
    <t>JAPAN-WHM・SPF:Japan's 2019 adjusted limit =35t(Limit)+7t(2017 carry over(35*20%)(Para3 of Rec15-05))</t>
  </si>
  <si>
    <t>JAPAN-WHM・SPF:Japan's 2020 adjusted limit =35t(Limit)+7t(2018 carry over(35*20%)(Para3 of Rec18-04))</t>
  </si>
  <si>
    <t>JAPAN-WHM・SPF:Japan's 2021 adjusted limit =35t(Limit)+7t(2019 carry over(35*20%)(Para3 of Rec18-04))</t>
  </si>
  <si>
    <t>8.36+140</t>
  </si>
  <si>
    <t>2020**</t>
  </si>
  <si>
    <t>50+(50*0.2)</t>
  </si>
  <si>
    <t>Until 2016, underage up to 30% of the initial catch quota was carried over to the following year.</t>
  </si>
  <si>
    <t>Since 2017, underage up to 15% of the initial catch quota was carried over to the following year.</t>
  </si>
  <si>
    <t>113.66+25+25</t>
  </si>
  <si>
    <t>136.46+25+20</t>
  </si>
  <si>
    <t>160+50</t>
  </si>
  <si>
    <t>184+50</t>
  </si>
  <si>
    <t>200+50+1.57</t>
  </si>
  <si>
    <t>In 2016, Egypt and Japan transferred 25t of their quota to Korea respectively.</t>
  </si>
  <si>
    <t>In 2017, Egypt and Japan transferred 25t and 20t of their quota to Korea respectively.</t>
  </si>
  <si>
    <t>Since 2018, Chinese Taipei transferred 50t of its quota to Korea every year.</t>
  </si>
  <si>
    <t xml:space="preserve">Korea carried forward its unused quota of 2019(1.57t) to 2020. </t>
  </si>
  <si>
    <t>(35*0.2)+29.4</t>
  </si>
  <si>
    <t>45+(0.4 x 45)=18t</t>
  </si>
  <si>
    <t>Adjusted limit for 2020 = 632.4 +158.1 = 790.5</t>
  </si>
  <si>
    <t>Adjusted limit for 2020 = 3907.0 + (0.15)(3907) = 4493.05 t</t>
  </si>
  <si>
    <t>Adjusted limit for 2020 = 100.0 - (100 t (Namibia (50 t), Cote d'Ivoire (25 t), Belize (25 t)) + 99.94</t>
  </si>
  <si>
    <t>Adjusted limit for 2020 = 1272.86 + (.1)(1272.86) = 1400.15 t</t>
  </si>
  <si>
    <t>2019= (70)+(3)</t>
  </si>
  <si>
    <t>2015=(25)+(-5)+(5)</t>
  </si>
  <si>
    <t>2016=(25)+(-1)</t>
  </si>
  <si>
    <t>2017=No se aplican modificaciones</t>
  </si>
  <si>
    <t>2018=(25)+(4)</t>
  </si>
  <si>
    <t>2019= (25) + (5), 20% Cuota (25t)</t>
  </si>
  <si>
    <t>2015=(70)+(-15)</t>
  </si>
  <si>
    <t>2016=(70)+(-17)+(3)</t>
  </si>
  <si>
    <t>2017=(70)+(-9)</t>
  </si>
  <si>
    <t>2018=(70)+(1)</t>
  </si>
  <si>
    <t>le calcul du quota ajusté 2020 prend en compte le solde  MAX de 2019 (Limite 2019 * 0.2 = 417*0.2=83.4) auquel est ajouté la limite 2020 417 t) ce qui donne (83.4+417=500.4) t</t>
  </si>
  <si>
    <t>200+(0.25*200)</t>
  </si>
  <si>
    <t>2160+(0.25*2160)</t>
  </si>
  <si>
    <t>2160+(0.25*2160)-100</t>
  </si>
  <si>
    <t>2017-2019: 100t transferred to Japan</t>
  </si>
  <si>
    <t>50+(0.5*50)</t>
  </si>
  <si>
    <t>50+(0.5*50)-25</t>
  </si>
  <si>
    <t>50+(0.4*50)-25</t>
  </si>
  <si>
    <t xml:space="preserve">These limits do not apply to Brazil, since Paragraph 9, of Reccomendation 19-05 establishes that: "For CPCs that prohibit dead discards, the landings of blue marlin and white marlin/spearfish that are dead when brought alongside the vessel and that are not sold or entered into commerce shall not count against the limits established in paragraph 2, on the condition that such prohibition be clearly explained in their Annual Report". Brazil prohibited dead discards and selling of white marlins by Normative Instruction 12, of July 14, 2005. </t>
  </si>
  <si>
    <t>3940+(0.3*3940)-50</t>
  </si>
  <si>
    <t>3940+(0.2*3940)-50</t>
  </si>
  <si>
    <t>* Adjusted limit 2019 = initial limit 2019 (4400) + available balance 2017 (not to exceed 25% of initial quota) (1100) - 900t transferred to Japan</t>
  </si>
  <si>
    <t>* Adjusted limit 2020 = initial limit 2020 (4400) + available balance 2018(not to exceed 25% of initial quota) (1100) - 600t transferred to Japan</t>
  </si>
  <si>
    <t>*Adjusted Limit=initial limt +available balance(not to exceed 25% of initial quota)</t>
  </si>
  <si>
    <t>50 + Balance 2018</t>
  </si>
  <si>
    <t>USA: the 2016-2020 adjusted quota reflects transfers to Namibia (50 t), Belize (25 t) and Côte d'Ivoire (25 t) in accordance with Rec. 16-04/17-03.</t>
  </si>
  <si>
    <t>*Underage up to 30% of the initial catch quota has been carried over biennially Rec.15-03 and 16-04. Quota calculated up to 2017</t>
  </si>
  <si>
    <t>**Underage up to 20% of the initial catch quota has been carried over biennially Rec.17-03. Quota calculated from 2018 on</t>
  </si>
  <si>
    <t>125+(125*0.3)</t>
  </si>
  <si>
    <t>125+(125*0.3)+25</t>
  </si>
  <si>
    <t>125+(125*0.2)+25</t>
  </si>
  <si>
    <t>CHINA: In accordance with paragraph 4b of Rec. 16-07, the 25 percent carryover request made by China at the 2017 regular meeting of the Commission has been completed using their underage from 2016 of 30.63 t and 19.37 t of the total underage of the TAC from 2016.</t>
  </si>
  <si>
    <t>Adjusted limit for 2020=initial quota(200)+200*25%(not exceeding the balance of 2018)=250</t>
  </si>
  <si>
    <t>Adjusted limit for 2019=initial quota(100)-12.726(payback quota)+available balance of 2017 (6.69t)=93.964</t>
  </si>
  <si>
    <t>Adjusted limit for 2019=initial quota(313)+313*20%(carryover 2017)=326.76</t>
  </si>
  <si>
    <t>Adjusted limit for 2020=initial quota(313)+313*20%(carryover 2018)= 313+37.05</t>
  </si>
  <si>
    <t>Adjusted limit for 2019=initial limit (45) + available balance of 2017 (not exceeding 20% of 45)=50.27</t>
  </si>
  <si>
    <t>Adjusted limit for 2020=initial limit (37.90) + available balance of 2018 (not exceeding 20% of 37.90)= 41.34t</t>
  </si>
  <si>
    <t>Adjusted limit for 2020=initial quota(10)+10*20%=12</t>
  </si>
  <si>
    <t>Regarding Rec.17-04 amends para.4 of Rec.16-06, Chinese Taipei is allocated 3926 t as its 2020 initial catch quota.</t>
  </si>
  <si>
    <t>2020 adjusted quota is 11550.00 t (=9400*(1+0.25)-200) due to the inclusion of 2018 underage and 2020 initial catch quota and the deduction of transfer of 200t to Japan</t>
  </si>
  <si>
    <t>=9400+2350-200</t>
  </si>
  <si>
    <t>JAPAN-S-ALB: 2020 adjusted limit = 1,355 t(Limit)+239.25 t(2018 carry over (para 4b of Rec. 16-07))+99.5t(complement from underage from the total TAC(Para4b of Rec.16-07)))+100 t(transfer from Brasil (para 3 of Rec. 16-07))+100 t(transfer from S.Africa(para 3 of Rec. 16-07))+500t(transfer from S.Africa (circular#1304/2020))+200t(transfer from Chinese Taipei  (circular#4313/2020))+100t(transfer from Brazil (circular#4498/2020))</t>
  </si>
  <si>
    <t>2019 adjusted quota is 343 t (=270+270*40%-35) due to the underage of 2017 exceeding 40% of 2019 initial catch quota and a transfer of 35 t to Canada.</t>
  </si>
  <si>
    <t>Pursuant to Rec.17-02, Chinese Taipei may carryover to the maximum of 40% of its 2018 underage in 2020.</t>
  </si>
  <si>
    <t>2020 adjusted quota is 323 t (=270+270*40%-35-20) due to the inclusion of 2018 underage and 2020 initial catch quota and the deduction of respective transfers of 35 t to Canada and 20 t to Morocco.</t>
  </si>
  <si>
    <t>=270*(1+40%)-35-20</t>
  </si>
  <si>
    <t>=459*(1+20%)</t>
  </si>
  <si>
    <t>According to Rec.17-03, Chinese Taipei may carryover to the maximum of 20% of its 2019 underage in 2020.</t>
  </si>
  <si>
    <t>2020 adjusted quota is 550.8 t (=459*(1+20%)) due to the inclusion of 2019 underage and 2020 initial catch quota.</t>
  </si>
  <si>
    <t>=90-50</t>
  </si>
  <si>
    <t>2020 adjusted quota is 40 t (=90-50) due to a transfer of 50 t to Korea.</t>
  </si>
  <si>
    <t>2020 adjusted quota is 11201.26 t = 9226.41 (initial quota) + 11679*15% (carry over of 15% of 2018 initial quota pursuant to Rec.16-01) +223 (transfer from Korea)</t>
  </si>
  <si>
    <t>=126.20+150(10%)</t>
  </si>
  <si>
    <t xml:space="preserve">2020 adjusted quota is 141.2 t = 126.2 (initial landing limit in 2020) + 150*10% (2018 carry over pursuant to Rec. 18-04) </t>
  </si>
  <si>
    <t>2020 adjusted quota is 55 t = 50 (initial landing limit in 2020) + 50*10% (2018 carry over pursuant to Rec. 18-04.)</t>
  </si>
  <si>
    <t>FRANCE SPM</t>
  </si>
  <si>
    <t xml:space="preserve">Pas de navire </t>
  </si>
  <si>
    <t>1 : limite 2015 + 50% quota original + 40 tonnes transférées de l'Union Européenne (REC 13-02)</t>
  </si>
  <si>
    <t>2 : limite 2016 + 50% quota original + 40 tonnes transférées de l'Union Européenne (REC 13-02)</t>
  </si>
  <si>
    <t>3 : limite 2017 + 50% limite de capture initiale + 40 tonnes transférées de l'Union Européenne     (REC 13-02 et REC 16-03) + 12,75 tonnes transférées du Vénézuela (accord sur la base de l'article 6     "transferts" de la recommandation 2016 ICCAT sur la préservation de l'espadon de   l'Atlantique Nord : en vertu du paragraphe 2, le Vénézuela peut transférer à la France SPM     15% de son allocation soit 85tx15%=12,75t)=40+(40*0.5)+40+12.75=112.75</t>
  </si>
  <si>
    <t>1 : limite 2015 + 100% quota de capture initial (REC 12-02)</t>
  </si>
  <si>
    <t>2 : limite 2016 + 100% quota de capture initial (REC 14-05)</t>
  </si>
  <si>
    <t>3 : limite 2017 + Solde 2016</t>
  </si>
  <si>
    <t>4 : limite 2018 + solde 2017</t>
  </si>
  <si>
    <t>*Belize is carrying forward 25% of its initial catch limit 2018 (25% 200t = 50t) from its balance of 64.86t in 2018 to be used in 2020.</t>
  </si>
  <si>
    <t>215+(0.25*200)</t>
  </si>
  <si>
    <t>Adjusted limited for 2019=215(initial quota)+200*25%(carryover 2017)=265</t>
  </si>
  <si>
    <t>Adjusted limited for 2020=215(initial quota)+200*25%(carryover 2018)=265</t>
  </si>
  <si>
    <t>RUSSIA</t>
  </si>
  <si>
    <t xml:space="preserve">JAPAN-BIGEYE:Japan's 2020 adjusted limit is 13,079.84t (after transferring 600t to China and 300t to EU). </t>
  </si>
  <si>
    <t>=459+100.9</t>
  </si>
  <si>
    <t>=459+87.80</t>
  </si>
  <si>
    <t>2019 adjusted quota is 546.8 t (=459+87.80) due to the inclusion of 2018 underage.</t>
  </si>
  <si>
    <t>SAINT VINCENT AND THE GRENADINES</t>
  </si>
  <si>
    <t>=200-1.51+100</t>
  </si>
  <si>
    <t>=200+100</t>
  </si>
  <si>
    <t>=200*(1+25% (máx 6.89 from 2016))+100</t>
  </si>
  <si>
    <t>* Adjusted limit = initial limit + available balance (not to exceed 25% of initial quota of the year where the adjustment comes)</t>
  </si>
  <si>
    <t>Japan's 2015 adjusted limit = 842t(Limit)+842*15%-50t(transfer to Morocco(Para2 of Rec.17-02))-35t(transfer to Canada(Para2 of Rec.17-02))-25t(transfer to Mauritania(Para2 of Rec.17-02))</t>
  </si>
  <si>
    <t>Japan's 2016 adjusted limit = 842t(Limit)+406.20 (CO 2015) - 50t(transfer to Morocco(Para2 of Rec.17-02))-35t(transfer to Canada(Para2 of Rec.17-02))-25t(transfer to Mauritania(Para2 of Rec.17-02))</t>
  </si>
  <si>
    <t>Japan's 2017 adjusted limit = 842t(Limit)+740.50 (CO 2016) - 100t(transfer to Morocco(Para2 of Rec.17-02))-35t(transfer to Canada(Para2 of Rec.17-02))-25t(transfer to Mauritania(Para2 of Rec.17-02))</t>
  </si>
  <si>
    <t>Japan's 2018 adjusted limit = 842t(Limit)+842*15%-100t(transfer to Morocco(Para2 of Rec.17-02))-35t(transfer to Canada(Para2 of Rec.17-02))</t>
  </si>
  <si>
    <t>Japan's 2019 adjusted limit = 842t(Limit)+544t(2018 carry over(Para4 of Rec17-02))-100t(transfer to Morocco( Para2 of Rec.17-02))-35t(transfer to Canada(Para2 of Rec.17-02))-25t(transfer to Mauritania(Para2 of Rec.17-02))</t>
  </si>
  <si>
    <t>Japan´s 2020 adjusted limit = 842 t(Limit)+831.01t(2019 carry over(para 4 of Rec. 17-02))-150 t(transfer to Morocco(para 1-a) of Rec. 19-03))-35 t(transfer to Canada(para 2 of Rec. 17-02))-25 t(transfer to Mauritania(para 2 of Rec. 17-02)).</t>
  </si>
  <si>
    <t>2019 = Initial allocation + transfers (from Senegal 125t, Japan 35t, Chinese Taipe 35t, and the EU 300t) + underage from 2017 (202.2t - max. carry forward)</t>
  </si>
  <si>
    <t>=3926+(3271.70*0.25)-200</t>
  </si>
  <si>
    <t>=(3926*1.25)-200</t>
  </si>
  <si>
    <t>2019 adjusted quota is 4443.93 t (=3926+(3271.70*0.25)-200)  due to the inclusion of 2017 underage and 2019 initial catch quota and the transfer of 200 t to Belize.</t>
  </si>
  <si>
    <t>2020 adjusted quota is 4607.5 t (=3926*(1+0.25)-100-200)  due to the inclusion of 2018 underage and 2020 initial catch quota and the deduction of the transfer of 200 t to Belize.</t>
  </si>
  <si>
    <t>=215+25% Quota 2017 (máx 3.80)</t>
  </si>
  <si>
    <t>=215+(MAX. 25% from 2018 quota= 50t)</t>
  </si>
  <si>
    <t>Chinese Taipei has transferred 100t to VCT from 2015 to 2018</t>
  </si>
  <si>
    <t>LIBERIA</t>
  </si>
  <si>
    <t>[1]</t>
  </si>
  <si>
    <t>[2]</t>
  </si>
  <si>
    <t>[3]</t>
  </si>
  <si>
    <t>[4]</t>
  </si>
  <si>
    <t>[1] = 2017 limit + 2016 Balance</t>
  </si>
  <si>
    <t>[2] = 2018 limit + 2017 Balance</t>
  </si>
  <si>
    <t>[3] = 2019 limit + 2018 Balance</t>
  </si>
  <si>
    <t>JAPAN-S-ALB: 2021 adjusted limit = 1,355 t(Limit)+338.75t(2019 carry over(1355*25%) (para 4a of Rec. 16-07))</t>
  </si>
  <si>
    <t>2020=58.9 + (Saldo Máx. 2019 = 10% Q2019) = 58.9 + 7</t>
  </si>
  <si>
    <t>2020= (25) + (5), 20% Cuota (25t)</t>
  </si>
  <si>
    <t>2021= (25) + (5), 20% Cuota (25t)</t>
  </si>
  <si>
    <t>200+(200*0.25)</t>
  </si>
  <si>
    <t>215+(200*0.25)</t>
  </si>
  <si>
    <t>*Belize is carrying forward 25% of its initial catch limit 2019 (25% 215t = 53.75t) from its balance of 200.47t in 2019 to be used in 2021. Receiving a transfer of ALB-N from Chinese Taipei: 200t</t>
  </si>
  <si>
    <t>*Belize is carrying forward 25% of its initial catch limit (62.5t) from its balance of 154.36t in 2019 to be used in 2021</t>
  </si>
  <si>
    <t>*Belize intends to use 52t of its underages from 2019 in 2021 (Rec. 17-02, par. 3); receiving a transfer of N-SWO from Trinidad &amp; Tobago: 75t (Rec. 17-02, par.2b).</t>
  </si>
  <si>
    <t>*Belize intends to use 25 t of its underages from 2019 in 2021 (Rec. 17-03, para 2); receiving a transfer of SWO-S from the United States: 25 t, Brazil: 50 t and Uruguay: 50 t (Rec. 17-03, para 5).</t>
  </si>
  <si>
    <t>JAPAN-SWO-S: adjusted limit in 2011, 2012,2013,2014,2015,2016,2017,2018, 2019, 2020 and 2021 excluded 50 t transfered to Namibia. [Rec.09-03][Rec.12-01][Rec.13-03][Rec.15-03][Rec.16-04][Rec.17-03]</t>
  </si>
  <si>
    <t>JAPAN-SWO-S: underage of 2010 may be carried over to 2012 up to 800t. [Rec. 09-03]</t>
  </si>
  <si>
    <t>JAPAN-SWO-S: overage of 2011 shall be deducted from 2013. [Rec. 09-03]</t>
  </si>
  <si>
    <t>JAPAN-SWO-S:Japan's underage in 2012 was carried over to the 2014 initial limit [Rec. 12-01]</t>
  </si>
  <si>
    <t>JAPAN-SWO-S: overage of 2013 shall be deducted from 2015. [Rec. 12-01]</t>
  </si>
  <si>
    <t>JAPAN-SWO-S:Japan's underage in 2014 was carried over to the 2016 initial limit [Rec. 13-03][Rec15-03]</t>
  </si>
  <si>
    <t>JAPAN-SWO-S:Japan's underage in 2015 was carried over to the 2017 initial limit [Rec.16-04]</t>
  </si>
  <si>
    <t>JAPAN-SWO-S:Japan's underage in 2016 was carried over to the 2018 initial limit [Rec.17-03]</t>
  </si>
  <si>
    <t>JAPAN-SWO-S: 400 t of its swordfish catch taken from the part of the South Atlantic management area was counted against its N-SWO uncaught quota in 2015.[Rec.13-02]</t>
  </si>
  <si>
    <t>JAPAN-SWO-S:Japan's 2021 adjusted limit  = 901t(Limit)+529.16t(2019 carry over(Para1(3) of Rec17-03))-50t(transfer to Namibia(Para5 of Rec.17-03))</t>
  </si>
  <si>
    <t>215+(0.25*215)</t>
  </si>
  <si>
    <t>2020: 100 t (transfer to JPN according to Rec.16-07 Para 3) and  100t (transfer to JPN according to circular#4498/2020, Rec.16-07 Para 6)</t>
  </si>
  <si>
    <t>2160+(0.25*2160)-200</t>
  </si>
  <si>
    <t>* As the balance is negative, Adjusted limit (A) = Year Limit + Balance from the previous limit</t>
  </si>
  <si>
    <t>242+(215*0.25)</t>
  </si>
  <si>
    <t>Adjusted limited for 2021=242(initial quota)+215*25%(carryover 2019)=295.75</t>
  </si>
  <si>
    <t>Adjusted limit for 2021=initial quota(200)+200*25%(not exceeding the balance of 2019)=250</t>
  </si>
  <si>
    <t>Adjusted Limit=initial limt +available balance(not to exceed 50% of initial quota)</t>
  </si>
  <si>
    <t>Adjusted limit for 2020=initial quota(100)+available balance of 2018 (3.95t)=103.95</t>
  </si>
  <si>
    <t>Adjusted limit for 2021=initial quota(100)+available balance of 2019 (2.40t)=102.40</t>
  </si>
  <si>
    <t>Adjusted limit for 2021=initial quota(313)+313*20%(carryover 2019)= 313+62.6</t>
  </si>
  <si>
    <t>Adjusted limite for 2020=initial quota(4462.08)+5376*15%+600 ton transfer from Japan=5868.48</t>
  </si>
  <si>
    <t>Adjusted limit for 2021=initial limit (37.90) + available balance of 2019 (not exceeding 20% of 37.90)= 41.77t</t>
  </si>
  <si>
    <t>Adjusted limit for 2021=initial quota(10)+10*20%=12</t>
  </si>
  <si>
    <t>Pursuant to Rec.20-04 and Rec.20-03, Chinese Taipei is allocated 4416.9 t as its 2021 initial catch quota.</t>
  </si>
  <si>
    <t>2021 adjusted quota is 5198.4 t (=4416.9+3926*0.25-200)  due to the inclusion of 2019 underage and 2021 initial catch quota and the deduction of the transfer of 200 t to Belize.</t>
  </si>
  <si>
    <t>=4416.90+(3926*0.25)-200</t>
  </si>
  <si>
    <t>2021 adjusted quota is 11524.00 t (=9400+2124) due to the inclusion of 2019 underage and 2021 initial catch quota</t>
  </si>
  <si>
    <t>=9400+2124</t>
  </si>
  <si>
    <t>Pursuant to Rec.17-02, Chinese Taipei may carryover to the maximum of 40% of its 2019 underage in 2021.</t>
  </si>
  <si>
    <t>2021 adjusted quota is 323 t (=270+270*40%-35-20) due to the inclusion of 2019 underage and 2021 initial catch quota and the deduction of respective transfers of 35 t to Canada and 20 t to Morocco.</t>
  </si>
  <si>
    <t>Pursuant to Rec.17-03, Chinese Taipei may carryover to the maximum of 20% of its 2020 underage in 2021.</t>
  </si>
  <si>
    <t>2021 adjusted quota is 550.8 t (=459*(1+20%)) due to the inclusion of 2020 underage.</t>
  </si>
  <si>
    <t>2021 adjusted quota is 40 t (=90-50) due to a transfer of 50 t to Korea.</t>
  </si>
  <si>
    <t>=9226.41+(11679*15%)+223</t>
  </si>
  <si>
    <t xml:space="preserve">2021 adjusted quota is 141.2 t = 126.2 (initial landing limit in 2021) + 150*10% (2019 carry over pursuant to Rec. 18-04) </t>
  </si>
  <si>
    <t>2021 adjusted quota is 55 t = 50 (initial landing limit in 2021) + 50*10% (2019 carry over pursuant to Rec. 18-04.)</t>
  </si>
  <si>
    <t>NAMIBIA</t>
  </si>
  <si>
    <t>Underage up to 20% of the initial catch quota has been carried over biennially Rec.17-03. Quota calculated from 2018 on</t>
  </si>
  <si>
    <t>*Underage up to 30% of the initial catch quota has been carried over biennially Rec.16-04. Quota calculated up to 2017</t>
  </si>
  <si>
    <t>=1168+30%1168+50+50+50</t>
  </si>
  <si>
    <t>From 2016 to 2021, Japan has transferred 50t to Namibia in accordance with Rec. 16-04/17-03.</t>
  </si>
  <si>
    <t>From 2016 to 2020, South Africa has transferred 50t to Namibia in accordance with Rec. 16-04/17-03.</t>
  </si>
  <si>
    <t>=1168+20%1168+50+50+50</t>
  </si>
  <si>
    <t>JAPAN-N-ALB:Japan's 2020 adjusted limit = BET 2020 catch * 4% (Para6 of Rec16-06)</t>
  </si>
  <si>
    <t>JAPAN-E-BFT: current catch for 2020 includes  8.16t of dead discard.</t>
  </si>
  <si>
    <t>JAPAN-E-BFT:Japan's 2021 adjusted limit = 2819.00t(Limit)(Para1 of Rec20-07)+57.64t(2020 carry over (Para2 of Rec 20-07))</t>
  </si>
  <si>
    <t>JAPAN-W-BFT: current catch for 2020 includes 0.23 t of dead discard.</t>
  </si>
  <si>
    <t>JAPAN-W-BFT:Japan's 2021 adjusted limit = 407.48t(Limit)+2.82t(2020 carry over(Para7a of Rec17-06 )</t>
  </si>
  <si>
    <t>JAPAN-BUM:Japan's 2022 adjusted limit = 328.1t(Limit)</t>
  </si>
  <si>
    <t>* Adjusted limit 2021 = initial limit 2021 (4400) + available balance 2019(not to exceed 25% of initial quota) (197.13)</t>
  </si>
  <si>
    <t>=1001+30%1001-50</t>
  </si>
  <si>
    <t>=1001+20%1001-50</t>
  </si>
  <si>
    <t xml:space="preserve">The underharvest of the EU in 2018 is of 1007,82 t, which is less than than the maximum allowed of  25% provided in Rec. 16-06. The EU is entitled to carry over 1007,82 t to 2020. </t>
  </si>
  <si>
    <t xml:space="preserve">The EU overharvested -540,04 t in 2019. According to provisions in para 7 of Rec. 16-06 and para 8 of Rec. 17-04, 540,04 t shall be deducted  from the EU quota in 2021. </t>
  </si>
  <si>
    <t>Limit 2021 +   2019 balance - 434,04 t to be transferred to UK</t>
  </si>
  <si>
    <t>Limit 2022 +   2020 balance - 1,52% of the EU limit 2022 to be transferred to UK</t>
  </si>
  <si>
    <t xml:space="preserve">The underharvest of the EU in 2020 is of 1288,72 t, which is less than than the maximum allowed of 25% provided in Rec. 16-06. The EU is entitled to carry over 1288,72 t to 2022. </t>
  </si>
  <si>
    <t>Additionally, the EU will transfer to United Kingdom 434,04t in 2021 and 1,52% of its initial catch limit in 2022.</t>
  </si>
  <si>
    <t xml:space="preserve"> The underharvest of the EU in 2019 was of 1755,77 t.  In line with Rec 16-07, the EU is entitled to carry over  367,5 t to 2021, corresponding to 25% of its initial quota for 2019.</t>
  </si>
  <si>
    <t>The underharvest of the EU in 2018 is of 1734,69 t..  In line with Rec 16-07, the EU is entitled to carry over  367,5 t to 2020, corresponding to 25% of its initial quota for 2018.</t>
  </si>
  <si>
    <t>The underharvest of the EU in 2020 was of 1777,03 t.  In line with Rec 16-07, the EU is entitled to carry over  367,5 t to 2022, corresponding to 25% of its initial quota for 2020.</t>
  </si>
  <si>
    <t>Limit 2022 + 25%  2020 limit</t>
  </si>
  <si>
    <t>The underharvest of the EU in 2018 is of 2419,28 t, which corresponds to more than 15% of its 2018 initial catch limit. In line with Rec. 17-02 the EU can carry over 1007.7 t to 2020.</t>
  </si>
  <si>
    <t>The underharvest of the EU in 2019 is of 1799,51 t, which corresponds to more than 15% of its 2019 initial catch limit. In line with Rec. 17-02 the EU can carry over 1007.7 t to 2021.</t>
  </si>
  <si>
    <t xml:space="preserve">The underharvest of the EU in 2020 is of 1425,44 t, which corresponds to more than 15% of its 2020 initial catch limit. In line with Rec. 17-02 the EU can carry over 1007.7 t to 2022. </t>
  </si>
  <si>
    <t>Additionally, the EU  will transfer to United Kingdom 0,67 t in 2021, and 0,01% of the EU initial catch limit in 2022.</t>
  </si>
  <si>
    <t xml:space="preserve">The adjusted limit for 2022 takes also into account the transfers to Canada (300 t from EU-Spain), and S. Pierre et Miquelon (40 t) as provided for in Rec 17-02. </t>
  </si>
  <si>
    <t>In 2018 the underharvest for the EU was of 187,20 t, which is less than the maximum allowed 20% provided in Rec 17-03. Therefore, the EU is entitled to carry over 187,20 t to 2020.</t>
  </si>
  <si>
    <t>In 2019 the underharvest for the EU was of 256,03 t, which is less than the maximum allowed 20% provided in Rec 17-03. Therefore, the EU is entitled to carry over  256,03 t to 2021.</t>
  </si>
  <si>
    <t xml:space="preserve">In 2020 the underharvest for the EU was of 261 t, which is less than the maximum allowed 20% provided in Rec 17-03. Therefore, the EU is entitled to carry over  261 t to 2022. </t>
  </si>
  <si>
    <t xml:space="preserve">Limit 2022 +  2020 balance </t>
  </si>
  <si>
    <t xml:space="preserve">In 2018 the underharvest for the EU was of 2121,35 t, which is less than the maximum allowed of 15% provided in Rec 16-01. Therefore, the EU is entitled to carry over 2121,35 t to 2020. </t>
  </si>
  <si>
    <t xml:space="preserve">In 2019 the underharvest for the EU was of 246,97 t, which is less than the maximum allowed of 10% provided in Rec 19-02. Therefore, the EU is entitled to carry over 246,97 t to 2021. </t>
  </si>
  <si>
    <t>2022 Limit - 2t</t>
  </si>
  <si>
    <t>In 2018, the underharvest (341,96 t) being over the maximum allowed of 10% provided in Rec. 18-04, the EU is entitled to carry over 48 t to 2020.</t>
  </si>
  <si>
    <t>In 2019, the underharvest (448,38 t) being over the maximum allowed of 10% provided in Rec. 18-04/19-05, the EU is entitled to carry over 48 t to 2021. The calculation takes into account the transfer of 2 t to Trinidad &amp; Tobago as provided by Rec. 19-05.</t>
  </si>
  <si>
    <t xml:space="preserve">In 2015 the quota was exceeded by 67.19 t. The EU proposes a pay-back of this overharvest over 3 years in 2018, 2019, 2020 , which corresponds to 22.4 t per year.                                                                                 </t>
  </si>
  <si>
    <t>In 2018 the underharvest (27,52t) being over the maximum allowed of 10% provided in Rec. 18-04, the EU is entitled to carry over 5 t to 2020.</t>
  </si>
  <si>
    <t>The agreement between UK and EU is to transfer 48.40 t from its quota in 2022, corresponding to 0.25% of its quota prior to any adjustments made and any specific allocation made to the EU for its small-scale fisheries in following years to the United Kingdom.</t>
  </si>
  <si>
    <t xml:space="preserve">This means that the 0,25% is calculated from the 19360 t which is the initial quota of EU without the additional 100t agreed in 2018 for small scale. </t>
  </si>
  <si>
    <t>(200*0.25)+215</t>
  </si>
  <si>
    <t>(215*0.25)+242</t>
  </si>
  <si>
    <t>4.99+140</t>
  </si>
  <si>
    <t>16.91+140</t>
  </si>
  <si>
    <t>6 (A) = Limit 2021 + Carry over from Balance 2019 MAX. 10%4250 (425) Rec. 19-02 Para 12</t>
  </si>
  <si>
    <t>*Underage up to 50% of the initial catch quota has been carried over biennially Rec.16-03. Quota calculated up to 2017</t>
  </si>
  <si>
    <t>**Underage up to 40% of the initial catch quota has been carried over biennially Rec.17-02. Quota calculated from 2018 on</t>
  </si>
  <si>
    <t>2021**</t>
  </si>
  <si>
    <t>Korea carried forward its unused quota of 2020(4.30t) to 2021. Max 5% 2020 quota. Rec 20-07 Para 2</t>
  </si>
  <si>
    <t>200+50+4.30</t>
  </si>
  <si>
    <t>Since 2018, Korea has transferred 223t of its quota to Chinese Taipei every year.</t>
  </si>
  <si>
    <t>(1486*0.15)+1000 - 223</t>
  </si>
  <si>
    <t>Rec. 19-02 Para 12: underage of an annual catch limit in 2019 shall be added to their 2021 annual catch limit, subject to 10% of initial quota restrictions</t>
  </si>
  <si>
    <t>Rec. 19-02 Para 3c): Starting with 2020 catches, any underharvest by a CPC of its annual landings limit may not be carried forward to a subsequent year</t>
  </si>
  <si>
    <t>2020 =  Initial allocation + transfers (from Senegal 125t, Japan 35t, Chinese Taipe 35t, and the EU 100t) + underage from 2018 (202.2t - max. carry forward)</t>
  </si>
  <si>
    <t>2021 =  Initial allocation + transfers (from Senegal 150t, Japan 35t, Chinese Taipe 35t, and the EU 200t) + underage from 2019 (202.2t - max. carry forward)</t>
  </si>
  <si>
    <t xml:space="preserve">Limite ajustée 2018= limite de capture 2018 + ( limite de capture 2017 x 0,4) - transfert (CAN). Limite ajustée 2018  = 250 + (250*0.4) - (125+25) = 200t      </t>
  </si>
  <si>
    <t>Limite ajustee 2019 = Limite 2019 + max. Solde (Limite 2018*0.4) -transfert Canada (125 t) = 250 + (250 * 0.4) -125= 225 t</t>
  </si>
  <si>
    <t>Limite ajustee 2020 = Limite 2020 + max. Solde (Limite 2019*0.4) -transfert Canada (125 t) = 250 + (250 * 0.4) -125= 225 t</t>
  </si>
  <si>
    <t>Limite ajustee 2021 = Limite 2021 + max. Solde (Limite 2020*0.4) -transfert Canada (125 t+25 t) = 250 + (250 * 0.4) -150= 200 t</t>
  </si>
  <si>
    <t>(2020 limit + 0,15*2018 limit)-40-100</t>
  </si>
  <si>
    <t>(2021 limit + 0,15*2019 limit)-40-200-0.67</t>
  </si>
  <si>
    <t xml:space="preserve">For 2020 the adjusted limit is calculated by taking also into account the transfers to Canada (100 t from EU-Spain) and of 40 t to S. Pierre et Miquelon as provided for in Rec 17-02. </t>
  </si>
  <si>
    <t>For 2021 the adjusted limit is calculated by taking also into account the transfers to Canada (200 t from EU-Spain) and of 40 t to S. Pierre et Miquelon as provided for in Rec. 17-02.</t>
  </si>
  <si>
    <t>2020: The 2019 underage is greater than the maximum amount that can be carried over to 2020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</si>
  <si>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2021: The 2020 underage is greater than the maximum amount that can be carried over to 2021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</si>
  <si>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1 (A)=IQ2016+Balance2015</t>
  </si>
  <si>
    <t>2 (A)=IQ2017+Balance2016</t>
  </si>
  <si>
    <t>3 (A)=IQ2018+Balance2017</t>
  </si>
  <si>
    <t>4 (A)=IQ2019+Balance2018</t>
  </si>
  <si>
    <t>5 (A)=IQ2020+Balance2019+2t EU transfer provided by Rec. 19-05.</t>
  </si>
  <si>
    <t>5 (A)=IQ2020+Balance2019</t>
  </si>
  <si>
    <t>6 (A)=IQ2021+Balance2020</t>
  </si>
  <si>
    <t>Pour l'année 2020 les prises realisées par les senneurs sont de 2648,138</t>
  </si>
  <si>
    <t>*</t>
  </si>
  <si>
    <t>Adjusted limit for 2021 = 711.5  + (.25)(632.4) = 869.60****</t>
  </si>
  <si>
    <t>*** reflects that 25% of the 2017 initial quota may be carried forward to 2018</t>
  </si>
  <si>
    <t>****  reflects that 25% of the 2020 initial quota may be carried forward to 2021</t>
  </si>
  <si>
    <t>Adjusted limit for 2021 = 3907.0 + (0.15)(3907) = 4493.05 t</t>
  </si>
  <si>
    <t>Adjusted limit for 2021 = 100.0 - (100 t (Namibia (50 t), Cote d'Ivoire (25 t), Belize (25 t)) + 99.94</t>
  </si>
  <si>
    <t>Adjusted limit for 2021 = 1272.86 + (.1)(1272.86) = 1400.15 t</t>
  </si>
  <si>
    <t>* Adjusted limit = initial limit + available balance (not to exceed 10% of initial quota)</t>
  </si>
  <si>
    <t>*** reflects that 10% of the 2017 initial quota may be carried forward to 2018</t>
  </si>
  <si>
    <t>VENEZUELA</t>
  </si>
  <si>
    <t>*De acuerdo a Rec. 16-06 Par 4, en el año 2017 se utilizaron las transferencias de La Unión Europea, Estados Unidos y Taipei Chino  a Venezuela de  60, 150 y 114 t, respectivamente</t>
  </si>
  <si>
    <t>(1) Límite ajustado 2017 = Límite 2017 + Saldo 2016 + (60+150+114)*</t>
  </si>
  <si>
    <t>(1)</t>
  </si>
  <si>
    <t>(2)</t>
  </si>
  <si>
    <t>(3)</t>
  </si>
  <si>
    <t>(2) Límite ajustado 2018 = Límite 2018 + Saldo 2017</t>
  </si>
  <si>
    <t>(3) Límite ajustado 2019 = Límite 2019 + Saldo 2018</t>
  </si>
  <si>
    <t>(4)</t>
  </si>
  <si>
    <t>(4) Límite ajustado 2020 = Límite 2020 + Saldo 2019</t>
  </si>
  <si>
    <t>(5)</t>
  </si>
  <si>
    <t>(5) Límite ajustado 2021 = Límite 2021 + Saldo 2020</t>
  </si>
  <si>
    <t>85+(85*0.5)</t>
  </si>
  <si>
    <t>Los remanentes de captura de esta especie se ajustaron de acuerdo a los años sugeridos por la recomendación  16-03</t>
  </si>
  <si>
    <t>Al límite de captura ajustada para los años 2017 y 2018, se le dedujo las 12,75 t transferidas a Francia (San Pedro y Miquelón) , Rec.16-03 y Rec. 17-02.</t>
  </si>
  <si>
    <t>85+(85*0.5)-12.75</t>
  </si>
  <si>
    <t>85+(85*0.4)-12.75</t>
  </si>
  <si>
    <t>85+(85*0.4)</t>
  </si>
  <si>
    <t>*Underage up to 10% of the initial catch quota has been carried over biennially Rec.15-05 to 18-04 (2016-2019)</t>
  </si>
  <si>
    <t>100+ (0.1*100)</t>
  </si>
  <si>
    <t>100+ (0.1*100) - 30 **</t>
  </si>
  <si>
    <t>**Transferencia de 30 t a la Unión Europea en 2017, Rec.  16-10.</t>
  </si>
  <si>
    <t>84.10+(100*0.1)</t>
  </si>
  <si>
    <t>(1) Límite ajustado 2018 = Límite 2018 + Saldo 2017 +  (Saldo Máx. 2016 = 10% Límite 2016)</t>
  </si>
  <si>
    <t>Catch limit defined according to Rec. 19-02 Para 4</t>
  </si>
  <si>
    <t>[4] = 2020 limit + 2019 Balance</t>
  </si>
  <si>
    <t>[5]</t>
  </si>
  <si>
    <t>[5] = 2021 limit + 2020 Balance</t>
  </si>
  <si>
    <t>*transfer of 200 t from Chinese Taipei to Belize in 2021 and 2022.</t>
  </si>
  <si>
    <t>Japan´s 2021 adjusted limit = 842 t(Limit)+1056.21t(2020 carry over(para 4 of Rec. 17-02))-150 t(transfer to Morocco(para 1-a) of Rec. 20-02)-35 t(transfer to Canada(para 2 of Rec. 17-02))-25 t(transfer to Mauritania(para 2 of Rec. 17-02)).</t>
  </si>
  <si>
    <t>JAPAN-BIGEYE: current catch for 2020 includes  15.20t of dead discard.</t>
  </si>
  <si>
    <t>BSHN</t>
  </si>
  <si>
    <t>2022 Limit</t>
  </si>
  <si>
    <t>*Belize is carrying forward 25% of its initial catch limit (53.75 t) from its balance of 142.7t in 2020 to be used in 2022.</t>
  </si>
  <si>
    <t>*Belize is carrying forward 25% of its initial catch limit (62.5 t) from its balance of 162.13t in 2020 to be used in 2022</t>
  </si>
  <si>
    <t>*Belize is carrying forward 40% of its initial catch limit (52 t) from its balance of 146.27 t in 2020 to be used in 2022; receiving a transfer of N-SWO from Trinidad &amp; Tobago: 75t (Rec. 17-02, par.2b).</t>
  </si>
  <si>
    <t>*Belize is carrying forward 20% of its initial catch limit (25t)  in 2020 to be used in 2022 + transfer of 24.94t from the United States of America + transfer of 50t from Brazil + transfer of 50t from Uruguay to Belize</t>
  </si>
  <si>
    <t>Adjusted limit for 2022 = 100.0 - (99.94 t (Namibia (50 t), Cote d'Ivoire (25 t), Belize (24.94 t)) + 99.94</t>
  </si>
  <si>
    <t>Adjusted limit for 2022=initial quota(200)+200*25%(not exceeding the balance of 2020)=250</t>
  </si>
  <si>
    <t>In 2015 2.29t of dead discards were not included in the catch amount in the compliance table although they were reported in the Task I data</t>
  </si>
  <si>
    <t>In 2015,5.91t of dead discards and/or releases were not included in the catch amount in the compliance table although they were reported in the Task I data</t>
  </si>
  <si>
    <t>In 2015, 1.47t of dead discards were not included in the catch amount in the compliance table although they were reported in the Task I data</t>
  </si>
  <si>
    <t>Limit 2022+limit 2020*0,10</t>
  </si>
  <si>
    <t>In 2020 the underharvest for the EU was of 4557,17 t, which is more than the maximum allowed 10% provided in Rec 21-01. Therefore, the EU is entitled to carry over  1342,13 t to 2022</t>
  </si>
  <si>
    <t>UK</t>
  </si>
  <si>
    <t>2022 adjusted quota is 5198.4 t (=4416.9+3926*0.25-200)  due to the inclusion of 2020 underage and 2022 initial catch quota and the deduction of the transfer of 200 t to Belize.</t>
  </si>
  <si>
    <t>50 + Balance 2019</t>
  </si>
  <si>
    <t>125+(125*0.2)</t>
  </si>
  <si>
    <t>7:  limite 2021+ 100% allocation de quota initiale (MAX Solde 2020=1.53) - CAN transfer (4.78t) = 5.31 + 1.53 - 4.78= 2.06</t>
  </si>
  <si>
    <t>6:  limite 2020+ 100% allocation de quota initiale (MAX Solde 2019=1) - CAN transfer (4.78t) = 5.31 + 1 - 4.78= 1.53</t>
  </si>
  <si>
    <t>Adjusted limite for 2021=initial quota(4390.69)+5376*10%+600 ton transfer from Japan=5528.29</t>
  </si>
  <si>
    <t>JAPAN-BIGEYE:Japan's 2021 adjusted limit = 13756.16+1769.6(2019 carry over(17696*10%)(Para12 of Rec19-02)-600(transfer to China (Footnote2 of Para.8  of Rec.19-02))-300(transfer to Europian Union (Footnote 2 of Para.8 of Rec.19-02))</t>
  </si>
  <si>
    <t>PANAMÁ</t>
  </si>
  <si>
    <t>(1)  Cuota ajustada de 2021= Cuota de 2021 + balance negativo de 2020 (25-6.34)= 18.66t</t>
  </si>
  <si>
    <t>2021(**) (*)</t>
  </si>
  <si>
    <t>Pour l'année 2021 le quota ajusté est de 2755,75  ( le quota initial 2655T+transfert quota syrie (79,2)+quota non consommé  des prises accessoires 2020 (21,55T)</t>
  </si>
  <si>
    <t>5:  limite 2019+ 100% allocation de quota initiale - CAN transfer (9.62) = 2*5.31-9.62=1</t>
  </si>
  <si>
    <t>8:  limite 2022+ 100% allocation de quota initiale (MAX Solde 2021=2.06) - CAN transfer (4.78t) = 6.18+2.06-4.78= 3.46</t>
  </si>
  <si>
    <t>1 (A) = Limit 2016 -337 (payback Rec.15-01 9b) + 70 (Transfer Japan Rec.15-01 7b) + Carry over from Balance 2014 MAX. 15%4722=708.3 (583)</t>
  </si>
  <si>
    <t>2 (A) = Limit 2017 -337 (payback Rec.16-01 9b) + 70 (Transfer Japan Rec.16-01 7b) - 246.60 (Balance 2016) + Carry over from Balance 2015 MAX. 15%4722= 708.3 (696.92)</t>
  </si>
  <si>
    <t>3 (A) = Limit 2018 -337 (payback Rec.16-01 9b) + 70 (Transfer Japan Rec.16-01 7b)</t>
  </si>
  <si>
    <t>4 (A) = Limit 2019 + 70 (Transfer Japan Rec.16-01 7b)  + Carry over from Balance 2017 MAX. 15%4250= 637.50 (347.32). No more payback since 18-01 Para 2</t>
  </si>
  <si>
    <t>5 (A) = Limit 2020 + Carry over from Balance 2018 MAX. 15%4250=637.50(412)</t>
  </si>
  <si>
    <t>CURACAO</t>
  </si>
  <si>
    <t>[6]</t>
  </si>
  <si>
    <t>[6] = 2022 limit + 2021 Balance</t>
  </si>
  <si>
    <t>2022 = Initial allocation + transfers (from Senegal 150t, Japan 35t, Chinese Taipe 35t, and the EU 250t) + underage from 2020 (202.2t - max. carry forward)</t>
  </si>
  <si>
    <t>Initial quota/catch limit includes 15 t allocation for by-catch, as per Rec. 17-06 para 6a &amp; Rec. 20-06 Para 1 (4) &amp;  Rec. 21-07 Para 1 (D)</t>
  </si>
  <si>
    <t>Adjusted limited for 2022=242(initial quota)+215*25%(carryover 2020)=295.75</t>
  </si>
  <si>
    <t>Adjusted limit for 2022=initial quota(100)+available balance of 2020 (7.78t)=107.78</t>
  </si>
  <si>
    <t>Adjusted limit for 2022=initial quota(313)+313*20%(carryover 2020)= 313+62.6</t>
  </si>
  <si>
    <t>Adjusted limite for 2022=initial quota(4426.38)+4462.08*10%+600 ton transfer from Japan=5472.59</t>
  </si>
  <si>
    <t>Adjusted Limit=initial limit +available balance(not to exceed 20% of initial quota), valid up to 2020 (Rec. 19-05 Para 3b))</t>
  </si>
  <si>
    <t>Adjusted Limit=initial limit +available balance(not to exceed 10% of initial quota), valid up to 2020 (Rec. 19-05 Para 3b))</t>
  </si>
  <si>
    <t>COSTA RICA</t>
  </si>
  <si>
    <t>* Límite ajustado = límite inicial + balance disponible (no exceder 25% de cuota inicial)</t>
  </si>
  <si>
    <t>Límite ajustado para 2016 = 200 + 50 = 250 t</t>
  </si>
  <si>
    <t>Límite ajustado para 2017= 200 + 50 = 250 t</t>
  </si>
  <si>
    <t>Límite ajustado para 2018 = 200 + 50 = 250 t</t>
  </si>
  <si>
    <t>Límite ajustado para 2019 = 215 + 50 = 265 t</t>
  </si>
  <si>
    <t>Límite ajustado para 2020 = 215 + 53,75 = 268,75 t</t>
  </si>
  <si>
    <t>Límite ajustado para 2021 = 242 + 53,75 = 295,75 t</t>
  </si>
  <si>
    <t>Límite ajustado para 2022 = 242 + 60,5 = 302,50 t</t>
  </si>
  <si>
    <t>SWON</t>
  </si>
  <si>
    <t>ALBN</t>
  </si>
  <si>
    <t>[7]</t>
  </si>
  <si>
    <t>[1]= Límite de 2016 + balance de 2015</t>
  </si>
  <si>
    <t>[2]= Límite de 2017 + balance de 2016</t>
  </si>
  <si>
    <t>[3]= Límite de 2018 + balance de 2017</t>
  </si>
  <si>
    <t>[4]= Límite de 2019 + balance de 2018</t>
  </si>
  <si>
    <t>[5]= Límite de 2020 + balance de 2019</t>
  </si>
  <si>
    <t>[6]= Límite de 2021 + balance de 2020</t>
  </si>
  <si>
    <t>[7]= Límite de 2022 + balance de 2021</t>
  </si>
  <si>
    <t>[1]= Límite de 2017 + balance de 2016</t>
  </si>
  <si>
    <t>Limit 2023 +   2021 balance - 1,52% of the EU limit 2023 to be transferred to UK</t>
  </si>
  <si>
    <t xml:space="preserve">The underharvest of the EU in 2021 is of 2025,93 t, which is less than than the maximum allowed of 25% provided in Rec. 16-06. The EU is entitled to carry over 2025,93 t to 2023. Additionally, the EU will transfer to United Kingdom 1,52% of its initial catch limit in 2022.
</t>
  </si>
  <si>
    <t xml:space="preserve">The underharvest of the EU in 2021 is of 1862,1 t, which corresponds to more than 15% of its 2021 initial catch limit. In line with Rec. 17-02 the EU can carry over 1007.7 t to 2023 if current management arrangments are maintained. The adjusted limit for 2021 takes also into account the transfers to Canada (200 t in 2021 &amp;nd 250 t in 2022; from EU-Spain), and S. Pierre et Miquelon (40 t) as provided for in Rec 17-02. Additionally, the EU will transfer to United Kingdom 0,01% of the EU initial catch limit in 2022.
</t>
  </si>
  <si>
    <t>2022 limit + 0,15*2020 limit-40-250-0,01% 2022 limit</t>
  </si>
  <si>
    <t>ALBS</t>
  </si>
  <si>
    <t>JAPAN-S-ALB: 2022 adjusted limit = 1,355 t(Limit)+338.75t(2020 carry over(1355*25%) (para 4 of Rec. 16-07))</t>
  </si>
  <si>
    <t>JAPAN-S-SWO:Japan's 2022 adjusted limit  = 901t(Limit)+600.00t(2020 carry over(Para1(3) of Rec21-03))-50t(transfer to Namibia(Para5 of Rec.17-03))</t>
  </si>
  <si>
    <t>SWOS</t>
  </si>
  <si>
    <t>BFTE</t>
  </si>
  <si>
    <t>JAPAN-E-BFT: current catch for 2021 includes  0.68t of dead discard.</t>
  </si>
  <si>
    <t>JAPAN-E-BFT:Japan's 2022 adjusted limit = 2819.00t(Limit)(Para5 of Rec21-08)+96.65t(2021 carry over (Para7 of Rec 21-08))</t>
  </si>
  <si>
    <t>BFTW</t>
  </si>
  <si>
    <t>JAPAN-W-BFT: current catch for 2021 includes 0.00 t of dead discard.</t>
  </si>
  <si>
    <t>JAPAN-BIGEYE: current catch for 2021 includes  5.3t of dead discard.</t>
  </si>
  <si>
    <t>JAPAN-BUM:Japan's 2022 adjusted limit = 328.1t(Limit)(Para3 of Rec19-05)</t>
  </si>
  <si>
    <t>JAPAN-WHM・SPF:Japan's 2022 adjusted limit =35t(Limit)(Para3 of Rec19-05)</t>
  </si>
  <si>
    <t>JAPAN-N-BSH:Japan's 2020 adjusted limit = 4,010t(Para3 of Rec19-07)</t>
  </si>
  <si>
    <t>JAPAN-N-BSH:Japan's 2021 adjusted limit = 4,010t(Para3 of Rec19-07)</t>
  </si>
  <si>
    <t>242+(0.25*215)</t>
  </si>
  <si>
    <t>242+(0.25*242)</t>
  </si>
  <si>
    <t>The applied methodology is described in Recs. 19-02, 16-01, 2021-01.</t>
  </si>
  <si>
    <t>2022 adjusted quota is 323 t (=270+270*40%-35-20) due to the inclusion of 2020 underage and 2022 initial catch quota and the deduction of respective transfers of 35 t to Canada and 20 t to Morocco.</t>
  </si>
  <si>
    <t>2022 adjusted quota is 477.8 t (=459 + 18.8) due to the inclusion of 2021 underage and 2022 initial catch quota.</t>
  </si>
  <si>
    <t>2022 adjusted quota is 40 t (=90-50) due to the transfer of 50t to Korea.</t>
  </si>
  <si>
    <t>2022 adjusted quota is 126.2 t in accordance with para 3 c) of Rec. 19-05.</t>
  </si>
  <si>
    <t>2022 adjusted quota is 50 t in accordance with para 3 c) of Rec. 19-05.</t>
  </si>
  <si>
    <t>2022 adjusted limit: Egypt intends to transfer 259.62 ton from fishing vessel "Golovik" AT000EGY00020 to 2 authorized Moroccan Tuna traps</t>
  </si>
  <si>
    <t>2022: The 2021 underage is greater than the maximum amount that can be carried over to 2022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</si>
  <si>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2018: The 2017 underage is greater than the maximum amount that can be carried over to 2018 (&lt;= 40% of original catch limit); hence the amount carried over is 50 t (0.4*125). Additionally, 75 t were transferred to Belize; hence 75 is subtracted from the sum of the initial catch limit and the allowed carry over, to arrive at the final adjusted limit of 100 t.</t>
  </si>
  <si>
    <t>7(A)=IQ2022+2t EU transfer provided by Rec. 19-05.</t>
  </si>
  <si>
    <t>6 (A)=IQ2021+Balance2020+2t EU transfer provided by Rec. 19-05.</t>
  </si>
  <si>
    <t>7 (A)=IQ2022+Balance2021</t>
  </si>
  <si>
    <t>Adjusted limit for 2022 = 711.5  + (.25)(711.5) = 889.38</t>
  </si>
  <si>
    <t>Adjusted limit for 2022 = 3907.0 + (0.15)(3907) = 4493.05 t</t>
  </si>
  <si>
    <t>=1168+20%1168+50+50</t>
  </si>
  <si>
    <t>Adjusted limit for 2022 = 1341.14 + (.1)(1272.86) = 1468.43 t****</t>
  </si>
  <si>
    <t>****reflects that 10% of the 2021 initial quota may be carried forward to 2022</t>
  </si>
  <si>
    <t>Belize is carrying forward 25% of its initial catch limit (60.5t) from its balance of 268.10t in 2021 to be used in 2023</t>
  </si>
  <si>
    <t>Limit + Underages</t>
  </si>
  <si>
    <t>Republic of Korea</t>
  </si>
  <si>
    <t>Flag</t>
  </si>
  <si>
    <t>2022**</t>
  </si>
  <si>
    <t>Korea carried forward its unused quota of 2021(10t) to 2022. Max 5% 2021 quota. Rec 21-08 Para 7</t>
  </si>
  <si>
    <t>200+50+10</t>
  </si>
  <si>
    <t>(1486*0.10)+984- 223</t>
  </si>
  <si>
    <t>(1000*0.10)+992 - 223</t>
  </si>
  <si>
    <t>Rec.21-01 Para 12: underage of an annual catch limit in 2020 shall be added to their 2022 annual catch limit, subject to 10% of initial quota restrictions</t>
  </si>
  <si>
    <t>=IQ2023+MAX. 0.25*IQ2021</t>
  </si>
  <si>
    <t>=IQ2022+MAX. 0.25*IQ2020</t>
  </si>
  <si>
    <t>=IQ2021+MAX. 0.20*IQ2019</t>
  </si>
  <si>
    <t>=IQ2022+MAX. 0.20*IQ2020</t>
  </si>
  <si>
    <t>IQ2021+53.75</t>
  </si>
  <si>
    <t>IQ2023+MAX 25% IQ2021</t>
  </si>
  <si>
    <t>IQ2022+53.75</t>
  </si>
  <si>
    <t>IQ2023+MAX 40% IQ2021</t>
  </si>
  <si>
    <t xml:space="preserve">The UK's quota for S.ATL SWO is 25t  for 2021. The UK's catches in 2021 were 0t, consequently the UK has a remaining balance of 25t. The UK is permitted to transfer a maximum of 20% of unused quota to 2023. When the 20% is applied to the IQ2021 and the quota for 2023 is added, the adjusted quota for 2023 is 30t. </t>
  </si>
  <si>
    <t xml:space="preserve">The EU transfer's 48.4t of Eastern Bluefin Tuna to the UK. The UK's catches in 2021 were 2.92t, consequently the UK has a remaining balance of 45.48t. The UK is permitted to transfer a maximum of 5% of unused quota to 2022. When the 5% is applied to the Initial quota for 2021 and the quota for 2022 is added, the adjusted quota for 2022 is 50.82t. </t>
  </si>
  <si>
    <t xml:space="preserve">The UK's quota for W.BFT for 2021 is 5.31. The UK carried over 5.31t of w.BFT quota from 2020. The UK's catches in 2021 were 0.71t which was taken off the carry over quota. As the 2021 catches were less then the carry over the UK had a remaining quota of 5.31t. The UK is permitted to transfer a maximum of 100% of 2021 Initial Quota to 2022. When the UK's carry over amount is combined with the UK's TAC for 2022 of 6.18t the figure for he adjusted quota for 2022 is 11.49t. </t>
  </si>
  <si>
    <t xml:space="preserve">2021: The EU transfers to the UK 434.04t of N.ALB quota for 2021 (circ. 4088/21). The UK OT's had previously carried over 53.75t. When combined the adjust quota for 2021 was 487.79 . </t>
  </si>
  <si>
    <t>(6)</t>
  </si>
  <si>
    <t>(6) Límite ajustado 2022 = Límite 2022 + Saldo 2021</t>
  </si>
  <si>
    <t xml:space="preserve">(1) Límite ajustado 2017 = Límite 2017 + Saldo 2016 </t>
  </si>
  <si>
    <t>=215+(MAX. 25% from 2020 quota= 13.27t)</t>
  </si>
  <si>
    <t>=215+(MAX. 25% from 2019 quota= 38.35t)</t>
  </si>
  <si>
    <t>le calcul du quota ajusté 2022 prend en compte le solde  MAX de 2021 (Limite 2021 * 0.2 = 417*0.2=83.4) auquel est ajouté la limite 2022 417 t) ce qui donne (83.4+417=500.4) t</t>
  </si>
  <si>
    <t>le calcul du quota ajusté 2021 prend en compte le solde  MAX de 2020 (Limite 2020 * 0.2 = 417*0.2=83.4) auquel est ajouté la limite 2021 417 t) ce qui donne (83.4+417=500.4) t</t>
  </si>
  <si>
    <t>2022: Initial Quota 2022 + CO from 2020 (25% 215t). When combined the adjust quota for 2022 was 496</t>
  </si>
  <si>
    <t>2023: The UK's catches in 2021 were 169.39. Consequently the UK has a remaining balance of 326.86t. The UK is allowed to carry over unused quota to 2023 at the max carry over rate of 25% of its IQ2021 (108.51). When the 25% is applied to the IQ2021 and the quota for 2023 is added, the adjusted quota for 2023 is 550.76</t>
  </si>
  <si>
    <t>2021: The EU transfers to the UK 0.67 quota for 2021 (circ. 4088/21). The UK OT's had previously carried over 15t (MAX. 40% IQ 2019). When combined the adjust quota for 2021 was 35+14+0.67</t>
  </si>
  <si>
    <t>IQ2021+MAX 40% IQ2019+ EU Transfer</t>
  </si>
  <si>
    <t>IQ2022+MAX 40% IQ2020+ EU Transfer</t>
  </si>
  <si>
    <t>2023:  The UK OT's had previously carried over 15t (MAX. 40% IQ 2021). When combined the adjust quota for 2023 is 35+14</t>
  </si>
  <si>
    <t>2022: The EU transfers to the UK 0.67 quota for 2022 (Rec. 21-02 Para 1). The UK OT's had previously carried over 15t (MAX. 40% IQ 2020). When combined the adjust quota for 2021 was 35+14+0.67</t>
  </si>
  <si>
    <t>EGYPT</t>
  </si>
  <si>
    <t>JAPAN-N-ALB:Japan's 2021 adjusted limit = BET 2021 catch * 4.5% (Para8 of Rec21-04)</t>
  </si>
  <si>
    <t>Japan´s 2022 adjusted limit = 842 t(Limit)+1400.81 t(2021 carry over(para 1C of Rec.21-02))-150 t(transfer to Morocco(para 1A) of Rec. 21-02)-35 t(transfer to Canada(para 1A of Rec. 21-02))-25 t(transfer to Mauritania(para 1A of Rec. 21-02)).</t>
  </si>
  <si>
    <t>JAPAN-BIGEYE:Japan's 2022 adjusted limit = 13868.00(Para 4 of Rec.21-01)+1397.9(2020 carry over(13979.84*10%)(Para12 of Rec21-01)-600(transfer to China (Footnote2 of Para.8  of Rec.21-01))-300(transfer to Europian Union (Footnote 2 of Para.8 of Rec.21-01))</t>
  </si>
  <si>
    <t>Limit 2023 + 25%  2021 limit</t>
  </si>
  <si>
    <t>The underharvest of the EU in 2021 was of 1766.56 t.  In line with Rec 16-07, the EU is entitled to carry over  367,5 t to 2023, corresponding to 25% of its initial quota for 2021.</t>
  </si>
  <si>
    <t>=9400+1699+85</t>
  </si>
  <si>
    <t>2022 adjusted quota is 11244.00 t (=9400+1699) due to the inclusion of 2020 underage and 2021 initial catch quota + 85t (Rec. 16-07 Para 4b) as complement from total underage from the TAC, where 85t  is what is left from the total underage from the TAC from 2020, minus the underages to be used by those CPCs wishing to do so</t>
  </si>
  <si>
    <t>IQ2022 + 2020 balance</t>
  </si>
  <si>
    <t>IQ2023 + 2021 balance</t>
  </si>
  <si>
    <t xml:space="preserve">De las 25.00 t de atún blanco del Atlántico Sur asignadas a Panamá para 2020, hubo una captura de 31.34 t, dando como resultado un excedente de 6.34t. El excedente fue saldado en 2021, ya que de las 25.00t asignadas para 2021, solo hubo una captura de 17.22t quedando un remanente preliminar para 2021 de 7.78t de las cuales se dedujo el excedente de 6.34t de 2020, quedando 2021 con un remanente de 1.44t. </t>
  </si>
  <si>
    <t>2011=95t+42t (No transfer to Canada for 2011)</t>
  </si>
  <si>
    <t>2012=95t+36.5t -86.50t ( transfer to CAN from 2012 quota) por Rec. 10-03</t>
  </si>
  <si>
    <t>2013=95t+52.90t (No transfer to Canada for 2013) por Rec.12-02</t>
  </si>
  <si>
    <t>2014=95t+95t-86.5t (transfer to Canada for 2014) por Rec. 13-09</t>
  </si>
  <si>
    <t>2015=108.98+52.50-86.50 (transfer to Canada for 2015) por Rec. 14-05</t>
  </si>
  <si>
    <t>2016=108.98+21.98-51.98 (transfer to Canada) por Rec. 14-05</t>
  </si>
  <si>
    <t>2017=108.98+23.98-55.98(transfer to Canada) por Rec. 16-08</t>
  </si>
  <si>
    <t>2018=128.44+42.98-73.98 (transfer to Canada) por Rec. 17-06</t>
  </si>
  <si>
    <t>2019=128.44+17.44-60.44 (transfer to Canada) por Rec. 17-06</t>
  </si>
  <si>
    <t>2020= 128.44+46.44-79.44 (transfer to Canada) por Rec. 17-06</t>
  </si>
  <si>
    <t>2021= 128.44+67.44-transfer to Canada (100.44t) por Rec. 20-06</t>
  </si>
  <si>
    <t>2018 = Initial allocation +Mexican transfer (73.98) + underharvest from 2017 (MAX 10% IQ 2017)</t>
  </si>
  <si>
    <t>2019 = Initial allocation +Mexican transfer (60.44) + SPM transfer (9.62)+ underharvest from 2018 (53.06 = 10% of 2018 initial)</t>
  </si>
  <si>
    <t>2020 = Initial allocation +Mexican transfer (79.44) + SPM transfer (4.78)+ underharvest from 2019 (20.84)</t>
  </si>
  <si>
    <t>2021 = Initial allocation +Mexican transfer (100.44) + SPM transfer (4.78) + underharvest from 2020 (44.05)</t>
  </si>
  <si>
    <r>
      <rPr>
        <vertAlign val="superscript"/>
        <sz val="10"/>
        <rFont val="Cambria"/>
        <family val="1"/>
      </rPr>
      <t>1</t>
    </r>
    <r>
      <rPr>
        <sz val="10"/>
        <rFont val="Cambria"/>
        <family val="1"/>
      </rPr>
      <t xml:space="preserve"> Transfer from Japan</t>
    </r>
  </si>
  <si>
    <t>13.97+170</t>
  </si>
  <si>
    <t xml:space="preserve">The UK's quota for S.ATL ALB is 100t  for 2021. The UK's catches in 2021 were 0, consequently the UK has a remaining balance of 100t. The UK is allowed to carry over unused quota to 2023 at the max carry over rate of 25% of its year´s Initial Quota. When the 25% is applied to the IQ and the quota for 2023 is added the adjusted quota for 2023 is 145t. </t>
  </si>
  <si>
    <t>7 (A) = Limit 2022 + Carry over from Balance 2020 MAX. 10%3968.23 (396.82) Rec. 21-01 Para 12</t>
  </si>
  <si>
    <t>2020 catch limit for Ghana has been corrected from 3716.00 to 3968.23 as the former one was reported by Ghana applying a payback condoned in Rec. 18-01 para 2</t>
  </si>
  <si>
    <t>Quota ajustée 2020: 265 tonnes  = quota initial alloué au Maroc 2020 (215 t) + 50 tonnes ( reliquat= 25% du quota initial (200)). Recommandation ICCAT 17-04</t>
  </si>
  <si>
    <t>Quota ajustée 2021: 295,75 tonnes  = quota initial alloué au Maroc 2021 (242 t) + 53,75 tonnes ( reliquat= 25% du quota initial 2019 (215 tonnes) ). Rec ICCAT 17-04, 20-04</t>
  </si>
  <si>
    <t>Quota ajustée 2022: 295,75 tonnes  = quota initial alloué au Maroc 2022 (242 t) + 53,75 tonnes ( reliquat= 25% du quota initial 2020 (215 tonnes) ). Rec ICCAT 17-04, 20-04</t>
  </si>
  <si>
    <t>Quota ajustée 2023: 302,50 tonnes  = quota initial alloué au Maroc 2023 (242 t) + 60,50 tonnes ( reliquat= 25% du quota initial 2021 (242 tonnes) ). Rec ICCAT 21-04</t>
  </si>
  <si>
    <t>Quota ajustée 2018 : 900 tonnes = 950 (quota initial 850+100 tranféré du japon) - 50 de surconsommation de 2016</t>
  </si>
  <si>
    <t>Quota ajustée 2019: 1000 tonnes = quota initial alloué au Maroc 2019 (850t)+ 100t (transférées par le Japon au Maroc) + 50 de sousconsommation de 2017</t>
  </si>
  <si>
    <t>Quota ajustée 2020: 995 tonnes = quota initial alloué au Maroc 2020 (850t) + 150t (transférées par le Japon au Maroc)+20t (transférée par le Taipei Chinois)+ 25t (transférée par le Trinité-et-Tobago) - 50 de surconsommation de 2018</t>
  </si>
  <si>
    <t>Quota ajustée 2021: 1095 tonnes = quota initial alloué au Maroc 2020 (850t) + 150t (transférées par le Japon au Maroc)+20t (transférée par le Taipei Chinois)+ 25t (transférée par le Trinité-et-Tobago) + 50 de sousconsommation de 2019</t>
  </si>
  <si>
    <t>Quota ajusté 2022: 1104,18 tonnes = quota initial alloué au Maroc (850t)+ 150t (transférées par le Japon au Maroc)+20t (transférée par le Taipei Chinois)+ 25t (transférée par le Trinité-et-Tobago) + 59,18 (15% du quota initail) de sousconsommation de 2020</t>
  </si>
  <si>
    <t>Quota ajusté 2023:  1172,50 tonnes = quota initial alloué au Maroc (850t) + 127,50 (15% du quota initail) de sousconsommation de 2021+ 150t (transférées par le Japon au Maroc)+20t (transférée par le Taipei Chinois)+ 25t (transférée par le Trinité-et-Tobago) . Rec ICCAT 21-02</t>
  </si>
  <si>
    <t>Quota ajustée 2023: 3703 tonnes = quota initial alloué au Maroc 2023 (3700 t) + 3 tonnes (reliquat de l'année 2022) Rec. 22-08</t>
  </si>
  <si>
    <t>Quota ajustée 2020: 3488.62 = quota initial alloué au Maroc 2020 (3284 t) + 204.62 t (transféré par l'Egypte au Maroc). Recommandation ICCAT 19-04</t>
  </si>
  <si>
    <t>Quota ajustée 2021: 3318,91 tonnes = quota initial alloué au Maroc 2020 (3284 t) + 34,91 tonnes (reliquat de l'année 2020). Rec. 20-07</t>
  </si>
  <si>
    <t>Quota ajustée 2022: 3568,27 tonnes = quota initial alloué au Maroc 2020 (3284 t) + 24,65 tonnes (reliquat de l'année 2021) transfert de l'Egypte (259,62 tonnes) Rec. 21-08</t>
  </si>
  <si>
    <t>Quota ajustée 2024: -02 tonnes = quota initial alloué au Maroc 2021 (10t) -12 tonnes (surconsommation). Recommandation ICCAT 19-05/para 3 amendant la Rec 15-05</t>
  </si>
  <si>
    <t>Quota ajustée 2020: -42 tonnes = quota initial alloué au Maroc 2020 (10t) - 52 t (surconsommation). Recommandation ICCAT 19-05/para 3 amendant la Rec 15-05</t>
  </si>
  <si>
    <t>Quota ajustée 2021: -32 tonnes = quota initial alloué au Maroc 2021 (10t) - 42 tonnes (surconsommation). Recommandation ICCAT 19-05/para 3 amendant la Rec 15-05</t>
  </si>
  <si>
    <t>Quota ajustée 2022: -22 tonnes = quota initial alloué au Maroc 2022 (10t) - 32 tonnes (surconsommation). Recommandation ICCAT 19-05/para 3 amendant la Rec 15-05</t>
  </si>
  <si>
    <t>Quota ajustée 2023: -12 tonnes = quota initial alloué au Maroc 2023 (10t) -22 tonnes (surconsommation). Recommandation ICCAT 19-05/para 3 amendant la Rec 15-05</t>
  </si>
  <si>
    <t>ALBANIA</t>
  </si>
  <si>
    <t>Q2022+5%Q2021=170+0.05*170</t>
  </si>
  <si>
    <t>2022: Current catches for the year 2021 were 148.4 ton (underharvest) and we used the total amount of 5% of the quota of previues year (8.5 t). 1t dedicated to bycacth aacording to Albania´s 2022 BFTE Fishing plan</t>
  </si>
  <si>
    <t>IQ2019+25%Q2017</t>
  </si>
  <si>
    <t>IQ2020+25%Q2018</t>
  </si>
  <si>
    <t>IQ2021+25%Q2019</t>
  </si>
  <si>
    <t>IQ2022+25%Q2020</t>
  </si>
  <si>
    <t>IQ2023+25%Q2021</t>
  </si>
  <si>
    <t>Belize is carrying forward 25% of its initial catch limit (60.5t) from its balance of 283.42t in 2022 to be used in 2024</t>
  </si>
  <si>
    <t>*Belize is carrying forward 25% of its initial balance (62.5 t) from its balance of 281.66 in 2021 to be used in 2023</t>
  </si>
  <si>
    <t>*Belize is carrying forward 40% of its initial limit (52 t) from its initial balance of 163 t in 2021 to be used in 2023. Transfer of 75 t from Trinidad and Tobago to Belize</t>
  </si>
  <si>
    <t>*Belize is carrying forward 40% of its initial limit (52 t) from its initial balance of 187.26 t in 2022 to be used in 2024. Transfer of 75 t from Trinidad and Tobago to Belize</t>
  </si>
  <si>
    <t>2023 = Initial allocation + transfers (from Senegal 125t, Japan 35t, Chinese Taipe 35t, and the EU 327t) + underage from 2021 (202.2t - max. carry forward)</t>
  </si>
  <si>
    <t>2022 = Initial allocation + Mexican transfer (60) + SPM transfer (4.78) + underharvest from 2021 (51.33)</t>
  </si>
  <si>
    <t>Adjusted limited for 2023=242(initial quota)+4.43(carryover 2021)=246.43</t>
  </si>
  <si>
    <t>Adjusted limit for 2023=initial quota(240)+200*25%(not exceeding the balance of 2021)=290</t>
  </si>
  <si>
    <t>Adjusted limit for 2023=initial quota(100)+available balance of 2021 (100*15%=15t)=115t</t>
  </si>
  <si>
    <t>Adjusted limit for 2023=initial quota(313)+313*10%(carryover 2021)= 344.3</t>
  </si>
  <si>
    <t>Adjusted limite for 2023=initial quota(4426.38)+4390.69*10%+600 ton transfer from Japan=5465.45</t>
  </si>
  <si>
    <t>According to Rec. 19-05 Para 3c): “Starting with 2020 catches, any underharvest by a CPC of its annual landings limit may not be carried forward to a subsequent year.”</t>
  </si>
  <si>
    <t>2023 adjusted quota is 5321.13 t (=4416.9+4416.9*0.25-200)  due to the inclusion of 2021 underage and 2023 initial catch quota and the deduction of transfers of 200 t to Belize.</t>
  </si>
  <si>
    <t>=4416.9+4416.9*0.25-200</t>
  </si>
  <si>
    <t xml:space="preserve">2023 adjusted quota is 323 t (=270+270*40%-35-20) due to the inclusion of 2021 underage and 2023 initial catch quota and the deduction of respective transfers of 35 t to Canada and 20 t to Morocco. </t>
  </si>
  <si>
    <t>=459+459*10%</t>
  </si>
  <si>
    <t>2023 adjusted quota is 504.9 t (=459 + 459*10%) due to the inclusion of 2022 underage and 2023 initial catch quota.</t>
  </si>
  <si>
    <t>=101-50</t>
  </si>
  <si>
    <t>2023 adjusted quota is 51 t (=101-50) due to the transfer of 50t to Korea.</t>
  </si>
  <si>
    <t>Límite ajustado para 2023 = 242 + 60,5 = 302,50 t</t>
  </si>
  <si>
    <t>[8]</t>
  </si>
  <si>
    <t>[8]= Límite de 2023 + balance de 2022</t>
  </si>
  <si>
    <t xml:space="preserve">** Durante los años anteriores a 2020, El Salvador no estaba sujeto a límite (Rec. 16-01, Par 34.a), sino a una expectativa de pesca, por ello No Aplica los límites, limites ajustados ni saldos. Para el año 2020 (Rec. 19-02) se reconoce un límite.																										</t>
  </si>
  <si>
    <t>* De acuerdo a la Rec. 19-02 Para 3 el TAC de BET se reduce de 62500t en 2020 a 61500t en 2021, esto representa una disminución del 1.6%. La Secretaría ha aplicado esta reducción a todas las cuotas/límites de captura/umbrales calculados para 2020 con el fin de obtener los valores proporcionales para 2021.</t>
  </si>
  <si>
    <t>2022(***)</t>
  </si>
  <si>
    <t>*** De conformidad con el párrafo 3 de la Rec. 21-01 el TAC de patudo se reduce, pasando de 62.500 t en 2020 a 62.000 t en 2022, esto representa una disminución del 0.8 %. La Secretaría ha aplicado esta reducción a todas las cuotas/límites de captura calculados para 2020 con el fin de obtener los valores proporcionales para 2022.</t>
  </si>
  <si>
    <t>=215+(MAX. 25% from 2021 quota= 13.27t)</t>
  </si>
  <si>
    <t>The applied methodology is described in Recs. 13-06, 16-07, 20-05, 21-05, 22-06</t>
  </si>
  <si>
    <t>The applied methodology is described in Recs. 16-03, 17-02, 19-03, 20-02, 21-02, 22-03</t>
  </si>
  <si>
    <t>2 : limite 2015 + 25% quota de capture initial 2014 (REC 11-04 et REC 13-05)</t>
  </si>
  <si>
    <t>3 : limite 2016 + 25% quota de capture initial 2015 (REC 13-05)</t>
  </si>
  <si>
    <t>4 : limite 2017 + 25% quota de capture initial 2016 (REC 13-05 et REC 16-06)</t>
  </si>
  <si>
    <t>5 : limite 2018 + 25% quota de capture initial 2017 (REC 16-06 et REC 17-04)</t>
  </si>
  <si>
    <t>6 : limite 2019 + 25% quota de capture initial 2018 (REC 16-06 et REC 17-04)</t>
  </si>
  <si>
    <t>7 : limite 2020 + 25% quota de capture initial 2019 (REC 16-06 et REC 17-04)</t>
  </si>
  <si>
    <t>8 : limite 2021 + 25% quota de capture initial 2020 (REC 20-03)</t>
  </si>
  <si>
    <t>9 : limite 2022 + 25% quota de capture initial 2021 (REC 20-03)</t>
  </si>
  <si>
    <t>10 : limite 2023 + 25% quota de capture initial 2022 (REC 20-03)</t>
  </si>
  <si>
    <t>9:  limite 2023+ 100% allocation de quota initiale (MAX Solde 2022=3.46) - CAN transfer (5.18t)  = 6.18+3.46-5.18= 4.46</t>
  </si>
  <si>
    <t>242+(242*0.25)</t>
  </si>
  <si>
    <t>2022= 149.34+33.44-transfer to Canada (60t) por Rec. 21-07</t>
  </si>
  <si>
    <t>JAPAN-N-ALB:Japan's 2022 adjusted limit = BET 2022 catch * 4.5% (Para8 of Rec21-04)</t>
  </si>
  <si>
    <t>JAPAN-S-ALB: 2023 adjusted limit = 1,630t(Limit)+206.15t(2021 carry over (para 4 of Rec. 22-06))+100(transfer from Brazil (para 3 of Rec. 22-06))+100(transfer from Uruguay(para 3 of Rec. 22-06))+100(transfer from South Africa (para 3 of Rec. 22-06))</t>
  </si>
  <si>
    <t>JAPAN-S-SWO:Japan's 2023 adjusted limit  = 901t(Limit)+600.00t(2021 carry over(Para1(2) of Rec22-04))-50t(transfer to Namibia(Para5 of Rec.17-03))</t>
  </si>
  <si>
    <t>JAPAN-E-BFT:Japan's 2023 adjusted limit = 3114.00t(Limit)(Para4 of Rec22-08)+44.4t(2022 carry over (Para6 of Rec 22-08))</t>
  </si>
  <si>
    <t>JAPAN-W-BFT:Japan's 2022 adjusted limit = 664.52t(Limit)+0.73t(2021 carry over(Para7a of Rec17-06 )</t>
  </si>
  <si>
    <t>JAPAN-W-BFT:Japan's 2023 adjusted limit = 664.52t(Limit)+7.45t(2022 carry over(Para6a of Rec22-10 )</t>
  </si>
  <si>
    <t>JAPAN-BIGEYE:Japan's 2023 adjusted limit = 13868.00(Para 4 of Rec.21-01)+1375.61 (2021 carry over(13756.16*10%)(Para12 of Rec21-01)-600(transfer to China (Footnote2 of Para.8  of Rec.22-01))-300(transfer to Europian Union (Footnote 2 of Para.8 of Rec.22-01))</t>
  </si>
  <si>
    <t>JAPAN-BUM:Japan's 2023 adjusted limit = 328.1t(Limit)(Para2 of Rec19-05)</t>
  </si>
  <si>
    <t>JAPAN-WHM・SPF:Japan's 2023 adjusted limit =35t(Limit)(Para2 of Rec19-05)</t>
  </si>
  <si>
    <t>JAPAN-N-BSH: current catch for 2021 includes  21.9t of dead discard.</t>
  </si>
  <si>
    <t>JAPAN-N-BSH:Japan's 2022 adjusted limit = 4,010t(Para1 of Rec21-10)</t>
  </si>
  <si>
    <t>JAPAN-N-BSH:Japan's 2023 adjusted limit = 4,010t(Para1 of Rec21-10)</t>
  </si>
  <si>
    <t>* Adjusted limit 2023 = initial limit 2023 (5280) + available balance 2021(not to exceed 25% of initial quota) (674.61) -100t transferred to JPN</t>
  </si>
  <si>
    <t>URUGUAY</t>
  </si>
  <si>
    <t>* Adjusted limit 2023 = initial limit 2023 (530) + available balance 2021(not to exceed 25% of initial quota) (110) - 100t transferred to JPN</t>
  </si>
  <si>
    <t>2023: IQ2023 + 25% MAX2020 - 100t transferred to JPN</t>
  </si>
  <si>
    <t>2600+(0.25*2160)-100</t>
  </si>
  <si>
    <t>(242*0.25)+242</t>
  </si>
  <si>
    <t>2023**</t>
  </si>
  <si>
    <t>**Underage up to 20% of the initial catch quota has been carried over biennially Rec.17-03. Quota calculated from 2018 to 2022</t>
  </si>
  <si>
    <t>Rec.22-04 the maximum underage that a party may carryover in any given year shall not exceed 10%of the quota of the previous year.</t>
  </si>
  <si>
    <t>50+(50*0.1)</t>
  </si>
  <si>
    <t>Rec 22-08 para 4 : Depending on availability, Chinese Taipai may transfer up to 50t of its quota to Korea in 2023 to 2025.</t>
  </si>
  <si>
    <t>Korea carried forward its unused quota of 2022(7.72t) to 2023 which is under 5% of 2022 quota (Rec 22-08 Para 6)</t>
  </si>
  <si>
    <t>200+50+7.72</t>
  </si>
  <si>
    <t>Rec.22-01 para12:underage of an annual catch limit in 2021 shall be added to their 2023 annual catch limit, subject to 10% of initial quota restrictions</t>
    <phoneticPr fontId="7" type="noConversion"/>
  </si>
  <si>
    <t>* Information and explanation regarding Korea`s 2023 catch limit are available in Document PA1_11 and PA1_35, submitted for the March PA1 meeting in 2023.</t>
    <phoneticPr fontId="7" type="noConversion"/>
  </si>
  <si>
    <t>(984*0.10)+992 - 223</t>
  </si>
  <si>
    <t>From 2016 to 2023, USA has transferred 50t to Namibia in accordance with Rec. 16-04/17-03.</t>
  </si>
  <si>
    <t>=1168+20%1168+50</t>
  </si>
  <si>
    <t>=1168+10%1168+50</t>
  </si>
  <si>
    <t>Underage up to 10% of the initial catch quota has been carried over biennially Rec.22-04. Quota calculated from 2023 on</t>
  </si>
  <si>
    <t>=3600+25%3600</t>
  </si>
  <si>
    <t>=4320+25%3600</t>
  </si>
  <si>
    <t>2023*</t>
  </si>
  <si>
    <t>2024*</t>
  </si>
  <si>
    <t>2025*</t>
  </si>
  <si>
    <t>*Rec 22.06 para 5: Overharvest in 2022 deducted in 2024 and no underages can be carried over from 2023 to 2025</t>
  </si>
  <si>
    <t>=4320 - overharvest 2022</t>
  </si>
  <si>
    <t>no carry over from 2023 due to overharvest 2022</t>
  </si>
  <si>
    <t>Limite ajustee 2022 = Limite 2022 + max. Solde (Limite 2021*0.4) -transfert Canada (125 t+25 t) = 250 + (250 * 0.4) -150= 200 t</t>
  </si>
  <si>
    <t>Limite ajustee 2023 = Limite 2023 + max. Solde (Limite 2022*0.4) -transfert Canada (125 t) = 250 + (250 * 0.4) -125= 200 t</t>
  </si>
  <si>
    <t>le calcul du quota ajusté 2023 prend en compte le solde  MAX de 2022 (Limite 2022 * 0.1 = 417*0.1=41.7) auquel est ajouté la limite 2023 417 t) ce qui donne (41.7+417=458.7) t</t>
  </si>
  <si>
    <t>2023: The 2022 underage is greater than the maximum amount that can be carried over to 2023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</si>
  <si>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8(A)=IQ2023+2t EU transfer provided by Rec. 19-05.</t>
  </si>
  <si>
    <t>Pour l'année 2023 le quota ajusté est de 3020  ( le quota initial 3000T+quota non consommé  des prises accessoires 2022 (20T)</t>
  </si>
  <si>
    <t>(7)</t>
  </si>
  <si>
    <t>(7) Límite ajustado 2023 = Límite 2023 + Saldo 2022</t>
  </si>
  <si>
    <t>IQ2024+MAX 25% IQ2022</t>
  </si>
  <si>
    <t>IQ2024+MAX 40% IQ2022</t>
  </si>
  <si>
    <t>IQ2022+Max5%IQ2021</t>
  </si>
  <si>
    <t>IQ2023+Max5%IQ2022</t>
  </si>
  <si>
    <t>IQ2024+Max5%IQ2023</t>
  </si>
  <si>
    <t xml:space="preserve">2023: The UK's IQ in 2023 is 63t. The UK's catches in 2022 were 4.61t,. The UK wants to carry over 5% of 2022 quota to 2023. Thus the UK's adjusted limit in 2023 is 65.42t. </t>
  </si>
  <si>
    <t>IQ2022+MAX100%IQ2021</t>
  </si>
  <si>
    <t>IQ2023+MAX100%IQ2022</t>
  </si>
  <si>
    <t>IQ2024+MAX100%IQ2023</t>
  </si>
  <si>
    <t xml:space="preserve">2023: The UK's quota for W.BFT for 2023 is 6.18. The UK's catches in 2022 were 0.t . The UK is permitted to transfer a maximum of 100% of 2022 Initial Quota to 2023. When the UK's carry over amount is combined with the UK's TAC for 2023. The adjusted quota for 2023 is 12.36t. </t>
  </si>
  <si>
    <t>TÜRKIYE</t>
  </si>
  <si>
    <t>ALBMed</t>
  </si>
  <si>
    <t>(*)</t>
  </si>
  <si>
    <t>(*) Türkiye transfers to EU 75 t in 2023, 75 t in 2024 and for the following years, any part of the ünüsed qüota üp to maximüm of 75 t.</t>
  </si>
  <si>
    <t>Adjusted limit for 2023 = 711.5  + (.25)(711.5) = 889.38</t>
  </si>
  <si>
    <t>Adjusted limit for 2023 = 3907.0 + (0.15)(3907) = 4493.05 t</t>
  </si>
  <si>
    <t>Adjusted limit for 2023 = 100.0 - (100 t (Namibia (50 t), Cote d'Ivoire (25 t), Belize (25 t)) + 100.0</t>
  </si>
  <si>
    <t>Adjusted limit for 2023 = 1341.14 + 106.54 = 1447.68 t****</t>
  </si>
  <si>
    <t>Initial quota/catch limit includes 25 t allocation for by-catch, as per Rec. 16-08 para 6a, Rec. 17-06 para 6a, Rec. 20-06 Para 1(4), Rec. 21-07 Para 1(D), and Rec. 22-10 para 5a.</t>
  </si>
  <si>
    <t>=10340+1005</t>
  </si>
  <si>
    <t>2023 adjusted quota is 11345.00 t (=10340+1005) due to the inclusion of 2021 underage and 2023 initial catch quota + 0 t (Rec. 22-06 Para 4b) as complement from total underage from the TAC</t>
  </si>
  <si>
    <t xml:space="preserve">In 2020 the underharvest for the EU was of 325,97 t, which is less than the maximum allowed 5% provided in Rec 19-04. Therefore, the EU is entitled to carry over  325,97 t to 2021. </t>
  </si>
  <si>
    <t>Limit 2021 + MAX5% 2020 (325.97) - 48.40 to UK</t>
  </si>
  <si>
    <t>Limit 2022 + MAX5% 2021 (573.90) - 48.40 to UK</t>
  </si>
  <si>
    <t>In Addition, the EU will transfer to United Kingdom 0,25% of its initial quota (corresponding to 19360 t) in 2021 and 2022. (48.40t)</t>
  </si>
  <si>
    <t xml:space="preserve">In 2021 the underharvest for the EU was of 573.90 t, which is less than the maximum allowed 5% provided in Rec 19-04. Therefore, the EU is entitled to carry over  573.90 t to 2022 if the current management arrangments are maintained. In Addition, the EU will transfer to United Kingdom 48,40t in 2022. </t>
  </si>
  <si>
    <t>Limit 2023+limit 2021*0,10</t>
  </si>
  <si>
    <t>In 2021 the underharvest for the EU was of 548,06 t, which is greater than the maximum allowed 10% provided in Rec 22-04. Therefore, the EU is entitled to carry over  482.4 t to 2023</t>
  </si>
  <si>
    <t>Limit 2023 +  10% Limit 2021</t>
  </si>
  <si>
    <t>2023 Limit - 2t</t>
  </si>
  <si>
    <t>50 + Balance 2020</t>
  </si>
  <si>
    <t>50 + Balance 2021</t>
  </si>
  <si>
    <t xml:space="preserve">
**Underage up to 40% of the initial catch quota has been carried over biennially Rec.17-02. Quota calculated from 2018 on</t>
  </si>
  <si>
    <t>2023 = Initial allocation + SPM transfer (5.18) + underharvest from 2022 (39.59) + Mexican transfer (60t)</t>
  </si>
  <si>
    <t>2023= 149.34+62.78-transfer to Canada (60t) por Rec. 22-10</t>
  </si>
  <si>
    <t>JAPAN-BUM:Japan's 2024 adjusted limit = 328.1t - overharvest 2022</t>
  </si>
  <si>
    <t>= 140 + MAX 25% IQ 2020</t>
  </si>
  <si>
    <t>= 170 + MAX 25% IQ 2021</t>
  </si>
  <si>
    <t>[6]= Límite de 2022 + 125% BALANCE de 2021</t>
  </si>
  <si>
    <t>[7]= Límite de 2023 + 125% BALANCE de 2022</t>
  </si>
  <si>
    <t>[2]= Límite de 2018 + balance de 2017</t>
  </si>
  <si>
    <t>[3]= Límite de 2019 + balance de 2018</t>
  </si>
  <si>
    <t>[4]= Límite de 2020 + balance de 2019</t>
  </si>
  <si>
    <t>[5]= Límite de 2021 + BALANCE de 2020</t>
  </si>
  <si>
    <t>[6] = 2022 limit + 125% 2021 Balance</t>
  </si>
  <si>
    <t>[7] = 2023 limit + 125% 2022 Balance</t>
  </si>
  <si>
    <t>SAO TOMÉ AND PRÍNCIPE</t>
  </si>
  <si>
    <t>[2] = 2018 limit + MAX 20% 2017 Balance</t>
  </si>
  <si>
    <t>[3] = 2019 limit + MAX 20% 2018 Balance</t>
  </si>
  <si>
    <t>[1] = 2017 limit + MAX 20% 2016 Balance</t>
  </si>
  <si>
    <t>[4] = 2020 limit + MAX 20% 2019 Balance</t>
  </si>
  <si>
    <t>[5] = 2021 limit</t>
  </si>
  <si>
    <t>(6) Límite ajustado 2022 = Límite 2022 + 125% Saldo 2021</t>
  </si>
  <si>
    <t>(7) Límite ajustado 2023 = Límite 2023 + 125% Saldo 2022</t>
  </si>
  <si>
    <t>* Adjusted limit 2022 = initial limit 2022 (4400) + available balance 2020(not to exceed 25% of initial quota) (874.08) - ZAF will invoke para 4f of the ICCAT Rec. 16-07, supplemented by ICCAT Rec. 21-05 to cover the over shooting of its catch limits (URY: 52.95  BRA: 259.96t)</t>
  </si>
  <si>
    <t>* Adjusted limit 2022 = initial limit 2022 (440) + available balance 2020(not to exceed 25% of initial quota) (110) - 52.95t [ZAF will invoke para 4f of the ICCAT Rec. 16-07, supplemented by ICCAT Rec. 21-05 to cover the over shooting of its catch limits (URY: 52.95  BRA: 259.96t]</t>
  </si>
  <si>
    <t>2022: IQ2022 + 25% MAX2020 - 129.95t [South Africa will invoke para 4f of the ICCAT Rec. 16-07, supplemented by ICCAT Rec. 21-05 to cover the over shooting of its catch limits (URY: 52.95  BRA: 259.96t)]</t>
  </si>
  <si>
    <t>2160+(0.25*2160)-259.96</t>
  </si>
  <si>
    <t>IQ(2015)+BALANCE(2013)</t>
  </si>
  <si>
    <t>IQ(2016)+BALANCE(2014)</t>
  </si>
  <si>
    <t>IQ(2017)+BALANCE(2015)</t>
  </si>
  <si>
    <t>IQ(2018)+BALANCE(2016)</t>
  </si>
  <si>
    <t>IQ(2019)+BALANCE(2017)</t>
  </si>
  <si>
    <t>IQ(2020)+BALANCE(2018)</t>
  </si>
  <si>
    <t>IQ(2021)+BALANCE(2019)</t>
  </si>
  <si>
    <t>IQ(2022)+125% BALANCE(2020)</t>
  </si>
  <si>
    <t>IQ(2023)+125% BALANCE(2021)</t>
  </si>
  <si>
    <t>IQ(2015)+ MAX 20% INITIAL QUOTA(2013)</t>
  </si>
  <si>
    <t>IQ(2016)+ MAX 20% INITIAL QUOTA(2014)</t>
  </si>
  <si>
    <t>IQ(2017)+MAX 20% INITIAL QUOTA(2015)</t>
  </si>
  <si>
    <t>*Belize is carrying forward 25% of its initial balance (62.5 t) from its balance of 299.76 in 2022 to be used in 2024.   As total 2022 underage is only 153.83t, pro rata carry over is 3.72t</t>
  </si>
  <si>
    <t>Adjusted limit for 2024=initial quota(240) +  2.98. As total 2022 underage is only 153.83t, pro rata carry over is 2.98t</t>
  </si>
  <si>
    <t>=10340+139.98</t>
  </si>
  <si>
    <t>=120+1.49</t>
  </si>
  <si>
    <t>2024 adjusted quota is 120+1.49 due to the inclusion of 2022 underage and 2024 initial catch quota.  As total 2022 underage is only 153.83t, pro rata carry over is 1.49</t>
  </si>
  <si>
    <t>2.08+170</t>
  </si>
  <si>
    <t xml:space="preserve"> As total 2022 underage is only 153.83t, pro rata carry over is 2.08t</t>
  </si>
  <si>
    <t>= 170 + 2.08</t>
  </si>
  <si>
    <t>=IQ2024+1.49</t>
  </si>
  <si>
    <t>2024: The UK's balance for 2022 was 125t,  As total 2022 underage is only 153.83t, pro rata carry over is 1.49t</t>
  </si>
  <si>
    <t>(1) Actual catch amount made by Türkiye in 2022 correspond to 2294.85 t (out of 2305 t). 10.15 t of underharvest from the year 2022 is to be carried-over. Adjusted quota for 2023 = 2600 t (Quota) +10.15 t (carried-over amount) + (440.79+67.08) from EGY + 128 from SYR = 3246.02</t>
  </si>
  <si>
    <t>(1) Curacao agreed on a payback plan for blue marlin of 2.5 tons per year from 2022 on. First year 2.53t. (Approved)</t>
  </si>
  <si>
    <t>*Senegal agreed on a payback plan for 2020 bigeye overharvest of 1377.77 t: 137.77 tons per year from 2023 to 2032 on. (Approved)</t>
  </si>
  <si>
    <t>The overharvest of bigeye tuna of 1,587.34 t for 2022 shall be paid back over a period of 5 years, from 2024 to 2028, in the following way: 2024: 355.34 t 2025 to 2028: 308 t</t>
  </si>
  <si>
    <t>IQ2024- 355.34</t>
  </si>
  <si>
    <t>IQ2027 -308</t>
  </si>
  <si>
    <t>IQ2028 -308</t>
  </si>
  <si>
    <r>
      <t>Data obtained from Task 1 whenever no data was reported in the Compliance Tables are shown in</t>
    </r>
    <r>
      <rPr>
        <sz val="11"/>
        <rFont val="Cambria"/>
        <family val="1"/>
      </rPr>
      <t xml:space="preserve"> </t>
    </r>
    <r>
      <rPr>
        <b/>
        <sz val="11"/>
        <rFont val="Cambria"/>
        <family val="1"/>
      </rPr>
      <t>bold</t>
    </r>
    <r>
      <rPr>
        <b/>
        <sz val="10"/>
        <rFont val="Cambria"/>
        <family val="1"/>
      </rPr>
      <t xml:space="preserve"> / </t>
    </r>
    <r>
      <rPr>
        <sz val="10"/>
        <rFont val="Cambria"/>
        <family val="1"/>
      </rPr>
      <t xml:space="preserve">Les données obtenues dans le cadre de la tâche 1 lorsqu'aucune donnée n'a été déclarée dans les tableaux d’application figurent en </t>
    </r>
    <r>
      <rPr>
        <b/>
        <sz val="11"/>
        <rFont val="Cambria"/>
        <family val="1"/>
      </rPr>
      <t>gras</t>
    </r>
    <r>
      <rPr>
        <sz val="10"/>
        <rFont val="Cambria"/>
        <family val="1"/>
      </rPr>
      <t xml:space="preserve"> / En </t>
    </r>
    <r>
      <rPr>
        <b/>
        <sz val="11"/>
        <rFont val="Cambria"/>
        <family val="1"/>
      </rPr>
      <t>negrita</t>
    </r>
    <r>
      <rPr>
        <sz val="10"/>
        <rFont val="Cambria"/>
        <family val="1"/>
      </rPr>
      <t xml:space="preserve"> datos obtenidos de Tarea I cuando no se han reportado datos en las tablas de Cumplimiento</t>
    </r>
  </si>
  <si>
    <t>Quota ajustée 2024: 362,50 tonnes  = quota initial alloué au Maroc 2024 (302 t) + 60,50 tonnes ( reliquat= 25% du quota initial 2022 (242 tonnes) ). Rec ICCAT 21-04, 23-05</t>
  </si>
  <si>
    <t>2024: For 2024 the UK's intial quota is 752.8t of N.ALB. The UK's catches in 2022 were 125.35. Consequently the UK has a remaining balance of 370.65t. The UK is allowed to carry over unused quota to 2024 at the max carry over rate of 25% of its IQ2022 (110.56). When the 25% is applied to the IQ2022 and the quota for 2024 is added, the adjusted quota for 2024 is 863.36t</t>
  </si>
  <si>
    <t>GRENADA</t>
  </si>
  <si>
    <t>IQ(2017)+BALANCE(2016)</t>
  </si>
  <si>
    <t>IQ(2018)+BALANCE(2017)</t>
  </si>
  <si>
    <t>IQ(2019)+BALANCE(2018)</t>
  </si>
  <si>
    <t>IQ(2020)+BALANCE(2019)</t>
  </si>
  <si>
    <t>IQ(2021)+BALANCE(2020)</t>
  </si>
  <si>
    <t>IQ(2022)+125% BALANCE(2021)</t>
  </si>
  <si>
    <t>IQ(2023)+125% BALANCE(2022)</t>
  </si>
  <si>
    <t>IQ(2022)+ BALANCE(2021)</t>
  </si>
  <si>
    <t>IQ(2023)+ BALANCE(2022)</t>
  </si>
  <si>
    <t>Limit 2023 + MAX5% 2022 (973t)</t>
  </si>
  <si>
    <t>Pour l'année 2022 , le quota ajusté est de 2679.72  ( le quota initial 2655T+quota non consommé  des prises accessoires 2021 (24,72T), les prises réalisées par les senneurs  en 2022 est de 2652,762 t , les prises accessoires ( 26,55T) n'ont pas encore été arrétées</t>
  </si>
  <si>
    <t>(1) In accordance with Rec. 19-04 Para 10, Syria will transfer 79.2 t to Tunisia to be caught by vessel (MOHAMED ESSADOK,  AT000TUN00051) for only this fishing season 2021</t>
  </si>
  <si>
    <t>(2) In accordance with Rec. 22-08 Para 8, Syria will transfer 128t to TUR to be caught by vessel (Tuncay Sagun 2	AT000TUR00455) for only this fishing season 2023</t>
  </si>
  <si>
    <t>(3) In accordance with Rec. 22-08 Para 8, Syria will transfer 128t to TUR to be caught by vessels (BANDIRMA BALIKÇILIK AT000TUR08044 39630 kg, KORKMAZLAR BALIKÇILIK AT000TUR07905 88370 kg) for only this fishing season 2024</t>
  </si>
  <si>
    <t>2024 adjusted limit: Egypt intends to transfer 507.87 ton from its quota to Türkiye</t>
  </si>
  <si>
    <t>(2) Adjusted quota for 2024 = 2600 t (Quota) -35.13t overharvest in 2023 + 128t from SYR + 507.87t from EGY = 3200.74t</t>
  </si>
  <si>
    <t>2024 adjusted quota is 51 t (=101-50) due to the transfer of 50t to Korea.</t>
  </si>
  <si>
    <t>Quota ajustée 2025: 362,50 tonnes  = quota initial alloué au Maroc 2024 (302 t) + 60,50 tonnes ( reliquat= 25% du quota initial 2022 (242 tonnes) ). Rec ICCAT 21-04, 23-05</t>
  </si>
  <si>
    <t>Quota ajusté 2024:  1261,83 tonnes = quota initial alloué au Maroc (850 t) + 18,81 t (reliquat= 15% du quota initial 2022 (850 t) + 150 t (transférées par le Japon au Maroc)+20 t (transférée par le Taipei Chinois)+ 25 t (transférée par le Trinité-et-Tobago) + 200 T (Transfrt des Etats Unies dés la soumission du plan de pêche). Rec ICCAT 21-02, 23-04</t>
  </si>
  <si>
    <t>Quota ajusté 2025: 1272,43 tonnes = quota initial alloué au Maroc (850 t) + 27,43 t (reliquat= 15% du quota initial 2022 (850 t) + 150 t (transférées par le Japon au Maroc)+20 t (transférée par le Taipei Chinois)+ 25 t (transférée par le Trinité-et-Tobago) + 200 T (Transfrt des Etats Unies dés la soumission du plan de pêche). Rec ICCAT 21-02, 23-04</t>
  </si>
  <si>
    <t>Quota ajustée 2024: 3739 tonnes = quota initial alloué au Maroc 2024 (3700 t) + 39 tonnes (reliquat de l'année 2023) Rec. 22-08, 23-06</t>
  </si>
  <si>
    <t>2015 = Initial allocation + Mexican transfer (86.50) + underage from 2014 (24.4)</t>
  </si>
  <si>
    <t>2016 = Initial allocation  + mexican transfer (51.98) + underage from 2014 (30.03)</t>
  </si>
  <si>
    <t>2017 = Initial allocation  + 55.98 (transfer from MEX) Rec. 16-08 + underharvest from 2016 (MAX 10% IQ 2016)</t>
  </si>
  <si>
    <t>2024 adjusted quota is 6425.33 t (=5521.1+4416.9*0.25-200)  due to the inclusion of 2022 underage and 2024 initial catch quota and the deduction of transfers of 200 t to Belize.</t>
  </si>
  <si>
    <t>=5521.1+4416.9*0.25-200</t>
  </si>
  <si>
    <t xml:space="preserve">2024 adjusted quota is 323 t (=270+270*40%-35-20) due to the inclusion of 2022 underage and 2024 initial catch quota and the deduction of respective transfers of 35 t to Canada and 20 t to Morocco. </t>
  </si>
  <si>
    <t>11 : limite 2024 + 25% quota de capture initial 2023 (REC 23-05)</t>
  </si>
  <si>
    <t>8 : limite 2022 + 40% limite de capture initiale (Rec.21-02) + 40 tonnes transférées de l'Union Européenne (REC 17-02)=40+(40*0.4)+40=96</t>
  </si>
  <si>
    <t>7 : limite 2021 + 40% limite de capture initiale (Rec.20-02) + 40 tonnes transférées de l'Union Européenne (REC 17-02)+ 12,75 tonnes transférées du Vénézuela (REC 17-02)=40+(40*0.4)+40+12.75=108.75</t>
  </si>
  <si>
    <t>6 : limite 2020 + 40% limite de capture initiale (Rec.19-03) + 40 tonnes transférées de l'Union Européenne (REC 17-02)+ 12,75 tonnes transférées du Vénézuela (REC 17-02)=40+(40*0.4)+40+12.75=108.75</t>
  </si>
  <si>
    <t>5 : limite 2019 + 40% limite de capture initiale (Rec.17-02) + 40 tonnes transférées de l'Union Européenne (REC 17-02)+ 12,75 tonnes transférées du Vénézuela (REC 17-02)=40+(40*0.4)+40+12.75=108.75</t>
  </si>
  <si>
    <t>4 : limite 2018 + 40% limite de capture initiale (Rec.17-02) + 40 tonnes transférées de l'Union Européenne (REC 17-02)+ 12,75 tonnes transférées du Vénézuela (REC 17-02)=40+(40*0.4)+40+12.75=108.75</t>
  </si>
  <si>
    <t>10 : limite 2024 + 40% limite de capture initiale (Rec.23-04) + 40 tonnes transférées de l'Union Européenne (REC 17-02)=40+(40*0.4)+40=96</t>
  </si>
  <si>
    <t>10:  limite 2024+ 100% allocation de quota initiale (MAX Solde 2023=4.46) = 6.18+4.46= 10.64</t>
  </si>
  <si>
    <t>2024 = Initial allocation + Mexican transfer (60t) + underharvest from 2023 (53.10)</t>
  </si>
  <si>
    <t>2024 = Initial allocation + transfers (from Senegal 125t, Japan 35t, Chinese Taipe 35t, and the EU 280t) + underage from 2022 (202.2t - max. carry forward)</t>
  </si>
  <si>
    <t>8 (A) = Limit 2023 + Carry over from Balance 2021 MAX. 10%3904.74 (390.47) Rec. 22-01 Para 12</t>
  </si>
  <si>
    <t>ALGERIE</t>
  </si>
  <si>
    <t>Q2024+ max 5%Q2023=2023+23</t>
  </si>
  <si>
    <t>2024: In accordance with paragraph 6 of Rec. 22-08, Algeria requests a transfer of 23 t (1.14%) of its 2023 unused quota to 2024. therefore, the total adjusted national quota will be 2,046 t</t>
  </si>
  <si>
    <t>IQ2024+25%Q2022</t>
  </si>
  <si>
    <t>REC: 17-04, 21-04, 23-05</t>
  </si>
  <si>
    <t>RECs: 17-02, 19-03,21-02,22-03, 23-04</t>
  </si>
  <si>
    <t>IQ(2024)+125% BALANCE(2022)</t>
  </si>
  <si>
    <t xml:space="preserve">Belize is carrying forward 25% of its initial catch limit (60.5t) from its balance of 121.85t in 2023 to be used in 2025. </t>
  </si>
  <si>
    <t xml:space="preserve">*Belize is carrying forward 25% of its initial balance (75 t) from its balance of 362.5 in 2023 to be used in 2025.  </t>
  </si>
  <si>
    <t>*Belize is carrying forward 40% of its initial limit (52 t) from its initial balance of 180.25 t in 2023 to be used in 2025. Transfer of 75 t from Trinidad and Tobago to Belize</t>
  </si>
  <si>
    <t>*Belize is carrying forward 10% of its initial limit (125 t) from its balance of 274.94 t in 2022 to be used in 2024.Transfer of 25 t from USA to Belize. Transfer of 50 t from Brazil to Belize.Transfer of 50 t from Uruguay to Belize</t>
  </si>
  <si>
    <t>*Belize is carrying forward 10% of its initial limit (25 t) from its balance of 245.92 t in 2021 to be used in 2023.Transfer of 25 t from USA to Belize. Transfer of 50 t from Brazil to Belize.Transfer of 50 t from Uruguay to Belize</t>
  </si>
  <si>
    <t>*Belize is carrying forward 10% of its initial limit (125 t) from its balance of 262.5 t in 2023 to be used in 2025.Transfer of 25 t from USA to Belize. Transfer of 50 t from Brazil to Belize.Transfer of 50 t from Uruguay to Belize</t>
  </si>
  <si>
    <t>2024 adjusted quota is 10479.98 t (=10340+139.98) due to the inclusion of 2022 prorata underage and 2024 initial catch quota. As total 2022 underage is only 153.83t, pro rata carry over is 139.98t</t>
  </si>
  <si>
    <t>Adjusted limited for 2024=302(initial quota)+55.88(carryover 2022)=357.88</t>
  </si>
  <si>
    <t>Adjusted limit for 2024=initial quota(100)+available balance of 2022 (100*15%=15t)=115t</t>
  </si>
  <si>
    <t>Adjusted limit for 2024=initial quota(313)+313*10%(carryover 2022)= 344.3</t>
  </si>
  <si>
    <t>Adjusted limite for 2024=initial quota(4426.38)+ (IQ2022) 4226.38*10%+600 ton transfer from Japan=5469.02</t>
  </si>
  <si>
    <t>Límite ajustado para 2024 = 302 + 60,5 = 362,50 t</t>
  </si>
  <si>
    <t>[9]</t>
  </si>
  <si>
    <t>[9]= Límite de 2024 + balance de 2023</t>
  </si>
  <si>
    <t>[8]= Límite de 2024 + 125% BALANCE de 2023</t>
  </si>
  <si>
    <t xml:space="preserve">The underharvest of the EU in 2021 is of 1862,1 t, which corresponds to more than 15% of its 2021 initial catch limit (1007.7t). In line with Rec. 17-02 the EU can carry over 1007.7 t to 2023 if current management arrangments are maintained. The adjusted limit for 2023 takes also into account the transfers to Canada (327t) as provided for in Rec 17-02. </t>
  </si>
  <si>
    <t>Limit 2024 + 2022 balance</t>
  </si>
  <si>
    <t>2023 limit + 0,15*2021 limit -327 CAN</t>
  </si>
  <si>
    <t xml:space="preserve">The underharvest of the EU in 2022 is of 1907,35 t, which corresponds to more than 15% of its 2022 initial catch limit. In line with Rec. 17-02 the EU can carry over 1007.6 t to 2024 if current management arrangements are maintained. The adjusted limit for 2022 takes also into account the transfers to Canada (280) and S. Pierre et Miquelon  (40) as provided for in Rec 17-02. </t>
  </si>
  <si>
    <t xml:space="preserve">In 2022 the underharvest for the EU was of 1282,88 t, which is more than the maximum allowed 10% (482,4t) provided in Rec 22-04. Therefore, the EU is entitled to carry over 482,4 t to 2024 if current management arrangmments are maintained. </t>
  </si>
  <si>
    <t>Limit 2024 +  10% Limit 2022</t>
  </si>
  <si>
    <t>Limit 2024 + MAX5% 2023 (1075,15)</t>
  </si>
  <si>
    <t>In 2022 the underharvest for the EU was of 1034.60 t, which is more than the maximum allowed 5% provided in Rec 22-08. Therefore, the EU is entitled to carry over  973t t to 2023 if the current management arrangments are maintained.</t>
  </si>
  <si>
    <t>In 2023 the underharvest for the EU was of 1371.77 t, which is more than the maximum allowed 5% provided in Rec 22-08. Therefore, the EU is entitled to carry over  1075.15t t to 2024 if the current management arrangments are maintained.</t>
  </si>
  <si>
    <t>Limit 2024+limit 2022*0,10</t>
  </si>
  <si>
    <t>2024 Limit - 2t</t>
  </si>
  <si>
    <t xml:space="preserve">2023 adjusted limit: Egypt intends to transfer 507.87 ton from its quota to Türkiye. Egypt didn’t engage in the BFT fishing season for 2023 due to the transferred amount of 507.87 t from Egypt to Türkiye	</t>
  </si>
  <si>
    <t>ALBM</t>
  </si>
  <si>
    <t>2024 adjusted limit = 2024 limit + 2023 negative balance (-13.73) according to Rec. 00-14</t>
  </si>
  <si>
    <t>(*) LBR has no quota for SWO, adjuted limit = negative balance from previous year - year catches</t>
  </si>
  <si>
    <t>(8)</t>
  </si>
  <si>
    <t>(8) Límite ajustado 2024 = Límite 2024 + Saldo 2023 (hasta MAX 25% Q2023)</t>
  </si>
  <si>
    <t>(8) Límite ajustado 2024 = Límite 2024 + 125% Saldo 2023</t>
  </si>
  <si>
    <t>Adjusted limit for 2024 = 889.4  + (.25)(711.5) = 1067.3*****</t>
  </si>
  <si>
    <t>***** reflects that 25% of the 2023 initial quota may be carried forward to 2024</t>
  </si>
  <si>
    <t>Adjusted limit for 2024 = 3907.0 - (200 t to Morocco) + (0.15)(3907)  = 4293.05 t</t>
  </si>
  <si>
    <t>Adjusted limit for 2024 = 100.0 - (100 t (Namibia (50 t), Cote d'Ivoire (25 t), Belize (25 t)) + 100.0</t>
  </si>
  <si>
    <t>Adjusted limit for 2024 = 1341.14 + 134.11 = 1475.25 t*****</t>
  </si>
  <si>
    <t>*****reflects that 10% of the 2023 initial quota may be carried forward to 2024</t>
  </si>
  <si>
    <t>[8] = 2024 limit + 125% 2023 Balance</t>
  </si>
  <si>
    <t>2023-2026: Brazil transfer 100 t to Japan (according to Para 3a of Rec. 22-06).</t>
  </si>
  <si>
    <t>(1) EU did not inform during the 2023 COMM regarding the amount of their 2022 underage they intend to use in 2024 as stated in Rec. 22-06 Para 4b)</t>
  </si>
  <si>
    <t>(1) Brazil did not inform during the 2023 COMM regarding the amount of their 2022 underage they intend to use in 2024 as stated in Rec. 22-06 Para 4b)</t>
  </si>
  <si>
    <t>2600-100 (1)</t>
  </si>
  <si>
    <t>2600+(0.25*2600)-100</t>
  </si>
  <si>
    <t>The applied methodology is described in Recs. 15-03, 16-04, 17-03, 2021-03, 22-04 with reduction of TAC.</t>
  </si>
  <si>
    <t>2014-2022: 50t transferred to Belize (The quota transfers shall be reviewed annually in response to a request from an involved CPC).</t>
  </si>
  <si>
    <t>302+(0.25*242)</t>
  </si>
  <si>
    <t>IQ2025 -308-balance 2023</t>
  </si>
  <si>
    <t>JAPAN-N-ALB:Japan's 2023 adjusted limit = BET 2023 catch * 4.5% (Para8 of Rec21-04)</t>
  </si>
  <si>
    <t>JAPAN-S-ALB: 2024 adjusted limit = 1,630t(Limit)-47.45t(overage in 2022)(Para5 of Rec 22-06)+100(transfer from Brazil (Para 3 of Rec. 22-06))+100(transfer from Uruguay(Para 3 of Rec. 22-06))+100(transfer from South Africa (Para 3 of Rec. 22-06))</t>
  </si>
  <si>
    <t>JAPAN-N-SWO:Japan’s 2023 adjusted limit = 842t(Limit)+1587.81t(2022 carry over(Para 1C of Rec22-03)-150t(transfer to Morocco(Para 1A) of Rec 22-03)-35t (transfer to Canada((Para 1A of Rec. 22-03))-25t(transfer to Mauritania(Para 1A of Rec. 22-03)).</t>
  </si>
  <si>
    <t>JAPAN-N-SWO: adjusted limit in 2018 excluded 100 t transfered to Morocco, and 35 transferred to Canada [Rec. 17-02].</t>
  </si>
  <si>
    <t>JAPAN-S-SWO:Japan's 2024 adjusted limit  = 901t(Limit)+600.00t(2022 carry over(Para1(2) of Rec22-04))-50t(transfer to Namibia(Para5 of Rec.17-03))</t>
  </si>
  <si>
    <t>JAPAN-BIGEYE:Japan's 2024 adjusted limit = 13868.00(Para 4 of Rec.22-01)+1386.8(2022 carry over(13868*10%)(Para12 of Rec22-01)-600(transfer to China (Footnote2 of Para.8  of Rec.22-01))-300(transfer to European Union (Footnote 2 of Para.8 of Rec.22-01))</t>
  </si>
  <si>
    <t>JAPAN-N-BSH:Japan's 2024 adjusted limit = 3,055t(Para3 of Rec23-10)-43t(transfer to Morocco(Para3 of Rec23-10))</t>
  </si>
  <si>
    <t xml:space="preserve">Note: Because the 2023 Japanese fishing season is from August 1, 2023 to July 31,2024, all the figures for the 2023 catches are preliminary and do not include a part of the data in the 2023 fishing season. Japan will submit the final figures before the Compliance Committee in November that include all the catches. </t>
  </si>
  <si>
    <t>2024**</t>
  </si>
  <si>
    <t>(992*0.10)+992 - 223</t>
  </si>
  <si>
    <t>a) According to Recommendation 19-04 paragraph 5, Norway was initially  allocated a quota of 300 tonnes eastern BFT in 2020. Referring to Recommendation 19-04 Paragraph 7, Norway requested in panel 2 to transfer a maximum of 5 % of its 2019 quota to 2020. A total of 49,3 tonnes of the Norwegian catch quota (239 tonnes) was utilised in 2019, and 11,95 tonnes (5 % of 239 tonnes) may, according to Paragraph 7, be transferred to 2020.</t>
  </si>
  <si>
    <t>b) According to Recommendation 20-07 paragraph 1, Norway was initially  allocated a quota of 300 tonnes eastern BFT in 2021. Referring to Recommendation 20-04 Paragraph 2, Norway requested in panel 2 to transfer a maximum of 5 % of its 2020 quota to 2021. A total of 194.39 tonnes of the Adjusted Norwegian catch quota (311.95 tonnes) was utilised in 2020, and 15 tonnes (5 % of 300 tonnes) may, according to Paragraph 2, be transferred to 2021.</t>
  </si>
  <si>
    <t>c) According to Recommendation 21-08 paragraph 5, Norway was initially  allocated a quota of 300 tonnes eastern BFT in 2022. Referring to Recommendation 21-08 Paragraph 7, Norway requested in panel 2 to transfer a maximum of 5 % of its 2021 quota to 2022. A total of 157,68 tonnes of the Adjusted Norwegian catch quota (315 tonnes) was utilised in 2021, and 15 tonnes (5 % of 300 tonnes) may, according to Paragraph 7, be transferred to 2022.</t>
  </si>
  <si>
    <t>d) According to Recommendation 22-08 paragraph 4, Norway was initially  allocated a quota of 368 tonnes eastern BFT in 2023. Referring to Recommendation 22-08 Paragraph 6, Norway requested in panel 2 to transfer a maximum of 5 % of its 2022 quota to 2023. A total of 123,17 tonnes of the Adjusted Norwegian catch quota (315 tonnes) was utilised in 2022, and 15 tonnes (5 % of 300 tonnes) may, according to Paragraph 7, be transferred to 2023.</t>
  </si>
  <si>
    <t>302+(242*0.25)</t>
  </si>
  <si>
    <t>2024= 149.34 + 113.12 - transfer to Canada (60t) por Rec. 22-10</t>
  </si>
  <si>
    <t>=1168+50+50</t>
  </si>
  <si>
    <t>In 2024 USA transfers 50t to NAM and JPN transfers 50to to NAM</t>
  </si>
  <si>
    <t>SMAS</t>
  </si>
  <si>
    <t>Retention allowance</t>
  </si>
  <si>
    <t>Adjusted Retention allowance (A)</t>
  </si>
  <si>
    <t>[1] = 2024 limit + 2023 Balance</t>
  </si>
  <si>
    <t>Describe the rationale used in the application of overage / underage: Rec. 22-11 Para 12</t>
  </si>
  <si>
    <t>Limite ajustee 2024= Limite 2024+ max. Solde (Limite 2024*0.4) -transfert Canada (125 t) = 250 + (250 * 0.4) -125= 225 t</t>
  </si>
  <si>
    <t>le calcul du quota ajusté 2024 prend en compte le solde  MAX de 2022 (Limite 2022 * 0,1 = 417*0,1=41.7) auquel est ajouté la limite 2023 de 417 t) ce qui donne (41.7+417=458.70) t</t>
  </si>
  <si>
    <t>* (1)</t>
  </si>
  <si>
    <t>(1) 2025 Adjusted limit considers payback plan and 2023 overharvest</t>
  </si>
  <si>
    <t>* Adjusted limit 2024 = initial limit 2023 (5280) + available balance 2022 (0 as the 2022 overharvest was covered by BRA &amp; URY according to para 4f of the ICCAT Rec. 16-07, supplemented by ICCAT Rec. 21-05 ) -100t transferred to JPN</t>
  </si>
  <si>
    <t>* Adjusted limit 2025 = initial limit 2023 (5280) + available balance 2023(not to exceed 25% of initial quota) (1320) -100t transferred to JPN</t>
  </si>
  <si>
    <t>=1001+10%1001-50</t>
  </si>
  <si>
    <t>=302+(MAX. 25% from 2022 quota= 60.5t)</t>
  </si>
  <si>
    <t>= 170 + MAX 25% IQ 2023</t>
  </si>
  <si>
    <t xml:space="preserve">2024: The 2023 underage is greater than the maximum amount that can be carried over to 2024 (&lt;= 40% of original catch limit); hence the amount carried over is 50 t (0.4*125).Additionally, 75 t and 25 t were transferred to Belize and Morocco respectively; hence 100 is subtracted from the sum of the initial catch limit and the allowed carry over, to arrive at the final adjusted limit of 75 t. </t>
  </si>
  <si>
    <t>The calculation of the adjusted quota for 2022, 2023, 2024 takes into account the transfer of 2 t to Trinidad &amp; Tobago as provided by Rec. 19-05.</t>
  </si>
  <si>
    <t>9(A)=IQ2024+2t EU transfer provided by Rec. 19-05.</t>
  </si>
  <si>
    <t>Pour l'année 2024 le quota ajusté est de 3030  ( le quota initial 3000T+quota non consommé  des prises accessoires 2023 (30T)</t>
  </si>
  <si>
    <t>IQ2025+MAX 25% IQ2023</t>
  </si>
  <si>
    <t>2025: For 2025 the UK's initial quota is 752.8t. The UK's catches in 2023 were 112.47t. As a result the UK has a remaining balance of 438.29. The UK is permitted to carry over to 2025 25% of its intitial 2023 quota which equals 110.56. The quota for 2025 is therefore 752.8+110.56=863.36</t>
  </si>
  <si>
    <t>2025: The UK wishes to carry over 25% of its 2023 quota into 2025, 25% of 120 is 30 with the adjusted quota for 2025 therefore being 120+30=150.</t>
  </si>
  <si>
    <t>=IQ2025+MAX. 0.25*IQ2023</t>
  </si>
  <si>
    <t xml:space="preserve">2024: The UK's adjusted quota for N.ATL SWO is 49.67t in 2022. The UK's catches in 2022 were 3.35t. The UK will bank 40% (14t) of IQ in 2022 and carry this over to 2024. Therefore the adjusted limit in 2024 is 49.67t. </t>
  </si>
  <si>
    <t>2025: The UK will carry over 40% of its 2023 quota 14.7t into 2025 which means 14.7 + 35.67 = 49.94</t>
  </si>
  <si>
    <t>IQ2025+MAX 40% IQ2023</t>
  </si>
  <si>
    <t>=IQ2023+MAX. 0.10*IQ2021</t>
  </si>
  <si>
    <t>=IQ2024+MAX. 0.10*IQ2022</t>
  </si>
  <si>
    <t>=IQ2025+MAX. 0.10*IQ2023</t>
  </si>
  <si>
    <t xml:space="preserve">2024: The UK's quota for S.ATL SWO is 25t  for 2022. The UK's catches in 2022 were 0t, consequently the UK has a remaining balance of 25t. The UK is permitted to transfer a maximum of 10% of unused quota to 2024. When the 10% is applied to the IQ2022 and the quota for 2024 is added, the adjusted quota for 2024 is 27.50t. </t>
  </si>
  <si>
    <t>2025: The UK will carry over 10% of its 2023 quota into 2025 this results in an adjusted quota of 30t. Initial quota of 25+2.5=27.5</t>
  </si>
  <si>
    <t>IQ2025+Max5%IQ2024</t>
  </si>
  <si>
    <t>2024: The UK's initial quota for 2024 was 63t and this was supplemented by 5% of the UK's 2023 quota which equals 3.15 giving a total of 66.15t</t>
  </si>
  <si>
    <t>IQ2025+MAX100%IQ2024</t>
  </si>
  <si>
    <t xml:space="preserve">2024: The UK's initial quota for W.BFT in 2024 is 6.18. The UK can carry over 100% of the 2023 quota over in to 2024 this means 6.18+6.18=12.36. </t>
  </si>
  <si>
    <t>JAPAN-N-SWO: Japan’s 2024 adjusted limit = 842t(Limit)+1723.51t(2023 carry over(Para 1A of Rec23-04))-150t(transfer to Morocco(Para 1A of Rec 23-04))-35t(transfer to Canada(Para 1A of Rec. 23-04))-25t(transfer to Mauritania(Para 1A of Rec. 23-04))</t>
  </si>
  <si>
    <t>JAPAN-S-SWO: Japan's 2025 adjusted limit  = 901t(Limit)+600.00t(2023 carry over(Para 1(2) of Rec22-04))-50t(transfer to Namibia(Para 5 of Rec.17-03))</t>
  </si>
  <si>
    <t>JAPAN-E-BFT: Japan's 2024 adjusted limit = 3114.00t(Limit)(Para 4 of Rec22-08)+70.40t(2023 carry over (Para 6 of Rec. 22-08))</t>
  </si>
  <si>
    <t>JAPAN-N-BSH:Japan's 2025 adjusted limit = 3,055t(Para3 of Rec23-10)-43t(transfer to Morocco(Para3 of Rec23-10))</t>
  </si>
  <si>
    <t>JAPAN-S-SMA: Japan's 2024 adjusted limit = 62t(Para 2 of Rec22-11)</t>
    <phoneticPr fontId="1" type="noConversion"/>
  </si>
  <si>
    <t>JAPAN-W-BFT: Japan's 2024 adjusted limit = 664.52t(Limit)+47.28t(2023 carry over(Para 6 of Rec. 22-10)</t>
  </si>
  <si>
    <t>IQ(2024)+ BALANCE(2023)</t>
  </si>
  <si>
    <t>[1] = 2017 limit + balance 2016</t>
  </si>
  <si>
    <t>[2] = 2018 limit + balance 2017</t>
  </si>
  <si>
    <t>[3] = 2019 limit + balance 2018</t>
  </si>
  <si>
    <t>[4] = 2020 limit + balance 2019</t>
  </si>
  <si>
    <t>[5] = 2021 limit + balance 2020</t>
  </si>
  <si>
    <t>* Adjusted limit 2024 = initial limit 2024 (530) - 100t transferred to JPN. URY did not inform during the 2023 COMM regarding the amount of their 2022 underage they intend to use in 2024 as stated in Rec. 22-06 Para 4b)</t>
  </si>
  <si>
    <t>* Adjusted limit 2025 = initial limit 2025 (530) + available balance 2023 (not to exceed 25% of initial quota) (132.5) - 100t transferred to JPN</t>
  </si>
  <si>
    <t>2025: IQ2025 + 25% MAX2023 - 100t transferred to JPN</t>
  </si>
  <si>
    <t>=120+30</t>
  </si>
  <si>
    <t xml:space="preserve">2025 adjusted quota is 120+30 due to the inclusion of 2023 underage (MAX 25% IQ 2023) and 2025 initial catch quota.  </t>
  </si>
  <si>
    <t>Limit 2025 + 25%  2023 limit</t>
  </si>
  <si>
    <t>The underharvest of the EU in 2023 was of 2090.79t.  In line with Rec 22-06, the EU is entitled to carry over  441.25 t to 2025, corresponding to 25% of its initial quota for 2023.</t>
  </si>
  <si>
    <t>42.5+170</t>
  </si>
  <si>
    <t>The applied methodology is described in Recs. 13-05, 16-06, 17-04, 20-03/04, 21-04, 23-05</t>
  </si>
  <si>
    <t>New REC 23-05 / annual TAC of 47,251 t is established for the management period 2024-2026. CPCs other than those mentioned in paragraph 6 shall limit their annual catches to 302 t (Brazil).</t>
  </si>
  <si>
    <t xml:space="preserve">2015-2023: 25t transferred to Mauritania (on the condition that Mauritania submit its development plan per paragraph 5 of Re. 22-03). </t>
  </si>
  <si>
    <t>Rec 16-04, 17-03, 22-04: Brazil may harvest up to 200 t of its annual catch limit from SWO_S within the area between 5 degrees North latitude and 15 degrees North latitude</t>
  </si>
  <si>
    <t>New Rec 23-04: Brazil 50 t; Brazil transfer 25 t to Mauritania (2024)</t>
  </si>
  <si>
    <t>50+(0.40*50)-25</t>
  </si>
  <si>
    <t>3940+(0.1*3940)-50</t>
  </si>
  <si>
    <t>3940+(0.1*3940)-51</t>
  </si>
  <si>
    <t>3940+(0.1*3940)-52</t>
  </si>
  <si>
    <t>Adjusted limit for 2025=initial quota(240)+240*25%(not exceeding the balance of 2023)=300</t>
  </si>
  <si>
    <t>IQ2025+25%Q2023</t>
  </si>
  <si>
    <r>
      <t>2020</t>
    </r>
    <r>
      <rPr>
        <b/>
        <vertAlign val="superscript"/>
        <sz val="10"/>
        <rFont val="Cambria"/>
        <family val="1"/>
      </rPr>
      <t>a</t>
    </r>
  </si>
  <si>
    <r>
      <t>2021</t>
    </r>
    <r>
      <rPr>
        <b/>
        <vertAlign val="superscript"/>
        <sz val="10"/>
        <rFont val="Cambria"/>
        <family val="1"/>
      </rPr>
      <t>b</t>
    </r>
  </si>
  <si>
    <r>
      <t>2022</t>
    </r>
    <r>
      <rPr>
        <b/>
        <vertAlign val="superscript"/>
        <sz val="10"/>
        <rFont val="Cambria"/>
        <family val="1"/>
      </rPr>
      <t>c</t>
    </r>
  </si>
  <si>
    <r>
      <t>2023</t>
    </r>
    <r>
      <rPr>
        <b/>
        <vertAlign val="superscript"/>
        <sz val="10"/>
        <rFont val="Cambria"/>
        <family val="1"/>
      </rPr>
      <t>d</t>
    </r>
  </si>
  <si>
    <t>Adjusted limited for 2025=302(initial quota)+55.93(carryover 2023)=357.93</t>
  </si>
  <si>
    <t>2025 adjusted quota is 6425.33 t (=5521.1+4416.9*0.25-200)  due to the inclusion of 2022 underage and 2024 initial catch quota and the deduction of transfers of 200 t to Belize.</t>
  </si>
  <si>
    <t>Limit 2025 + 2023 balance</t>
  </si>
  <si>
    <t>(9)</t>
  </si>
  <si>
    <t>Adjusted limit for 2025 = 889.4  + (.25)(889,4) = 1111.75******</t>
  </si>
  <si>
    <t>******reflects that 25% of the 2024 initial quota may be carried forward to 2025</t>
  </si>
  <si>
    <t>(9) Límite ajustado 2025 = Límite 2025 + Saldo 2024 (hasta MAX 25% Q2024)</t>
  </si>
  <si>
    <t>Limit 2025 + MAX5% 2023 (1075,15)</t>
  </si>
  <si>
    <t>Limit 2026 + 25%  2024 limit</t>
  </si>
  <si>
    <t>2026*</t>
  </si>
  <si>
    <t>?</t>
  </si>
  <si>
    <t>IQ(2025)+125% BALANCE(2023)</t>
  </si>
  <si>
    <t>[9] = 2025 limit + 125% 2024 Balance</t>
  </si>
  <si>
    <t>[9]= Límite de 2025 + 125% BALANCE de 2024</t>
  </si>
  <si>
    <t>IQ(2025)+ BALANCE(2024)</t>
  </si>
  <si>
    <t>(9) Límite ajustado 2025 = Límite 2025 + 125% Saldo 2024</t>
  </si>
  <si>
    <r>
      <t>Limit 202</t>
    </r>
    <r>
      <rPr>
        <sz val="10"/>
        <color rgb="FFFF0000"/>
        <rFont val="Cambria"/>
        <family val="1"/>
      </rPr>
      <t>5</t>
    </r>
    <r>
      <rPr>
        <sz val="10"/>
        <rFont val="Cambria"/>
        <family val="1"/>
      </rPr>
      <t xml:space="preserve"> + MAX5% 2023 (1075,15)</t>
    </r>
  </si>
  <si>
    <t>2025: In accordance with paragraph 6 of Rec. 22-08, Algeria requests a transfer of 29,65 t (1.44%) of its 2024 unused quota to 2025. therefore, the total adjusted national quota will be 2,052,65 t</t>
  </si>
  <si>
    <t>Q2025+ max 5%Q2024=2023+34,65</t>
  </si>
  <si>
    <t>n.a</t>
  </si>
  <si>
    <t>JAPAN-E-BFT: Japan's 2025 adjusted limit = 3114.00t(Limit)(Para 4 of Rec.24-05)+155.7t(2024 carry over (Para 6 of Rec. 24-05))</t>
  </si>
  <si>
    <t>JAPAN-W-BFT: Japan's 2025 adjusted limit = 664.52t(Limit)+19.14t(2024 carry over(Para 6 of Rec. 22-10))</t>
    <phoneticPr fontId="1" type="noConversion"/>
  </si>
  <si>
    <t>221+50+(278.72-273.55)</t>
  </si>
  <si>
    <t>221+50+(276.17-267.99)</t>
  </si>
  <si>
    <t>Quota ajusté 2025: 3870 tonnes = quota initial alloué au Maroc 2025 (3700 t) + 120 tonnes (reliquat de l'année 2024) + 50 t (transféré de la Namibie au Maroc) Rec. 22-08, 23-06</t>
  </si>
  <si>
    <t>Pour l'année 2025, le quota ajusté est de 3030 (le quota initial 3000T+quota non consommé  des prises accessoires 2024 (20,62T)</t>
  </si>
  <si>
    <t>=10340+450+2135-1425.02</t>
  </si>
  <si>
    <t>2025 adjusted quota is 11499.98 t (=10340+450) due to the inclusion of 2023 underage and 2025 initial catch quota + 2135 t (Rec. 22-06 Para 4b) as complement from total underage from the TAC - 1425.02 t (overage in 2024)</t>
  </si>
  <si>
    <t xml:space="preserve">9 : limite 2023 + 40% limite de capture initiale (Rec.22-03) + 40 tonnes transférées de l'Union Européenne (REC 17-02)=40+(40*0.4)+40=96 </t>
  </si>
  <si>
    <t>IQ(2025)+125% BALANCE(2024)</t>
  </si>
  <si>
    <t>Transfer of 200t from Chinese Taipei to Belize in 2022, 2023 and 2024</t>
  </si>
  <si>
    <t>50+(0.40*50)</t>
  </si>
  <si>
    <t>IQ2026 -308-balance 2024</t>
  </si>
  <si>
    <t>SMA</t>
  </si>
  <si>
    <t>2025 = Initial allocation + underharvest from 2024 (49.814)</t>
  </si>
  <si>
    <t>Adjusted limit for 2025=initial quota(111)+available balance of 202 (10t)=121t</t>
  </si>
  <si>
    <t>Adjusted limit for 2025=initial quota(313)+313*10%(carryover 2023)= 344.3</t>
  </si>
  <si>
    <t>Adjusted limit for 2025=initial quota(4624.07)+ (IQ2023)50.15+350 t transfer from Japan=5024.22</t>
  </si>
  <si>
    <t>=270*(1+40%)</t>
  </si>
  <si>
    <t>2025 adjusted quota is 378 t (=270+270*40%) due to the inclusion of 2023 underage and 2025 initial catch quota.</t>
  </si>
  <si>
    <t>No carryover from 2025 underage to 2027 (Rec 22-06, para 5)</t>
  </si>
  <si>
    <t>2024 adjusted quota is 504.9 t (=459 + 459*10%) due to the inclusion of 2023 underage and 2024 initial catch quota.</t>
  </si>
  <si>
    <t>2025 adjusted quota is 504.9 t (=459 + 459*10%) due to the inclusion of 2024 underage and 2025 initial catch quota.</t>
  </si>
  <si>
    <t>'=101-50</t>
  </si>
  <si>
    <t>2025 adjusted quota is 51 t (=101-50) due to the transfer of 50t to Korea.</t>
  </si>
  <si>
    <t>=9226.41+(11679*10%)+223</t>
  </si>
  <si>
    <t>=9226.41+(9226.41*10%)+223</t>
  </si>
  <si>
    <t>2021 adjusted quota is 10671.31 t = 9226.41 (initial quota) + 11679*10% (carry over of 10% of 2019 initial quota pursuant to Rec.19-02) +223 (transfer from Korea)</t>
  </si>
  <si>
    <t>2022 adjusted quota is 10372.05 t = 9226.41 (initial quota) + 9226.41*10% (carry over of 10% of 2020 initial quota pursuant to Rec.21-01) +223 (transfer from Korea).</t>
  </si>
  <si>
    <t>2023 adjusted quota is 10372.05 t = 9226.41 (initial quota) + 9226.41*10% (carry over of 10% of 2021 initial quota pursuant to Rec.22-01) +223 (transfer from Korea).</t>
  </si>
  <si>
    <t>2024 adjusted quota is 10372.05 t = 9226.41 (initial quota) + 9226.41*10% (carry over of 10% of 2022 initial quota pursuant to Rec.23-01) +223 (transfer from Korea).</t>
  </si>
  <si>
    <t>[10]</t>
  </si>
  <si>
    <t>[10]= Límite de 2025 + trasferencia de Estados Unidos (300 t) + balance de 2024</t>
  </si>
  <si>
    <t>50 + Balance 2022</t>
  </si>
  <si>
    <t>2023(***)</t>
  </si>
  <si>
    <t>2024(***)</t>
  </si>
  <si>
    <t>2025(***)</t>
  </si>
  <si>
    <t>2024 limit + 0,15*2022 limit - 40t SPM -280 CAN</t>
  </si>
  <si>
    <t>2025 limit + 2023 balance - 40t SPM -200 CAN</t>
  </si>
  <si>
    <t xml:space="preserve">Limit 2025 +  2023 balance </t>
  </si>
  <si>
    <t>In 2024, the underharvest for the EU was 1712,73 t, which is more than the maximum allowed 5% provided in the Rec. 22-08. Therefore, the EU is entitled to carry over 1075,15t to 2025 if the current management arrangments are maintained.</t>
  </si>
  <si>
    <t>2025 Limit - 2t</t>
  </si>
  <si>
    <t>9(A) = Limit 2024 + Carry over from Balance 2022 MAX. 10% 393.648 (393.648) Rec. 22-01 Para 12</t>
  </si>
  <si>
    <t xml:space="preserve"> </t>
  </si>
  <si>
    <t>JAPAN-N-ALB: Japan's 2024 adjusted limit = BET 2024 catch * 4.5% (Para 8 of Rec.23-05)</t>
  </si>
  <si>
    <t>JAPAN-N-ALB: Japan's 2025 adjusted limit = BET 2025 catch * 4.5% (Para 8 of Rec.23-05)</t>
  </si>
  <si>
    <t>JAPAN-S-ALB: 2025 adjusted limit = 1,630t(Limit)+259.35t(2023 carry over(Para 4 of Rec. 22-06))+100t(transfer from Brazil (Para 3 of Rec. 22-06))+100t(transfer from Uruguay(Para 3 of Rec. 22-06))+100t(transfer from South Africa (Para 3 of Rec. 22-06))+148.15t(up to 25% of initial quita(407.5-259.35)(Para 4b) of Rec. 22-06))</t>
  </si>
  <si>
    <t>JAPAN-N-SWO: Japan’s 2025 adjusted limit = 842t(Limit)+1,991.26t(2024 carry over(Para 12 of Rec.24-10))-150t(transfer to Morocco(Para 7 of Rec. 24-10))-25t(transfer to Mauritania(Para 7 of Rec. 24-10))</t>
  </si>
  <si>
    <t>JAPAN-BUM: Japan's 2025 adjusted limit = 328.1t(Limit)(Para 2 of Rec.19-05)</t>
  </si>
  <si>
    <t>JAPAN-WHM・SPF: Japan's 2024 adjusted limit =35t(Limit)(Para 2 of Rec.19-05)</t>
  </si>
  <si>
    <t>JAPAN-WHM・SPF: Japan's 2025 adjusted limit =35t(Limit)(Para 2 of Rec.19-05)</t>
  </si>
  <si>
    <t>JAPAN-S-SMA: Japan's 2025 adjusted limit = 62t(Para 2 of Rec.22-11)</t>
  </si>
  <si>
    <t>2025**</t>
    <phoneticPr fontId="24" type="noConversion"/>
  </si>
  <si>
    <t>50+(50*0.4)</t>
    <phoneticPr fontId="1" type="noConversion"/>
  </si>
  <si>
    <t>50+(50*0.1)</t>
    <phoneticPr fontId="1" type="noConversion"/>
  </si>
  <si>
    <t>2025*</t>
    <phoneticPr fontId="1" type="noConversion"/>
  </si>
  <si>
    <t>Quota ajusté 2026: 377,50 tonnes  = quota initial alloué au Maroc 2026 (302 t) + 75,50 tonnes ( reliquat= 25% du quota initial 2024 (302 tonnes) ). Rec ICCAT 21-04, 23-05</t>
  </si>
  <si>
    <t>Quota ajusté 2026: 1488,5 tonnes = quota initial alloué au Maroc (1186 t) + 127,5 t (reliquat= 15% du quota initial 2024 (850 t) + 150 t (transférées par le Japon au Maroc)+ 25 t (transférées par le Trinité-et-Tobago). Rec ICCAT  24-10</t>
  </si>
  <si>
    <t>Quota ajusté 2025: 08 tonnes = quota initial alloué au Maroc 2025 (10t) -02 tonnes (surconsommation). Recommandation ICCAT 19-05/para 3 amendant la Rec 15-05</t>
  </si>
  <si>
    <t>Q31+P35</t>
  </si>
  <si>
    <t>2025= 149.34+186.46-transfer to Canada (***) por Rec. 22-10</t>
  </si>
  <si>
    <t>2021=(58.90)</t>
  </si>
  <si>
    <t>2022=(58.90)</t>
  </si>
  <si>
    <t>2023=(58.90)</t>
  </si>
  <si>
    <t>2024=(58.90)</t>
  </si>
  <si>
    <r>
      <t>2024</t>
    </r>
    <r>
      <rPr>
        <b/>
        <vertAlign val="superscript"/>
        <sz val="10"/>
        <rFont val="Cambria"/>
        <family val="1"/>
      </rPr>
      <t>e</t>
    </r>
  </si>
  <si>
    <t>e) According to Recommendation 22-08 paragraph 4, Norway was initially  allocated a quota of 368 tonnes eastern BFT in 2024. Referring to Recommendation 22-08 Paragraph 6, Norway requested in panel 2 to transfer a maximum of 5 % of its 2023 quota to 2024. A total of 117,44 tonnes of the Adjusted Norwegian catch quota (368 tonnes) was utilised in 2023, and 18,4 tonnes (5 % of 368 tonnes) may, according to Paragraph 6, be transferred to 2024.</t>
  </si>
  <si>
    <t>le calcul du quota ajusté 2025 prend en compte le solde  MAX de 2024 (Limite 2024 * 0.2 = 417*0,1=41.7) auquel est ajouté la limite 2025 (417 t) ce qui donne (41,7+417=458,70) t</t>
  </si>
  <si>
    <t>le calcul du quota ajusté 2025 prend en compte le solde  MAX de 2024 (Limite 2024 * 0.2 = 417*0.2=83.4) auquel est ajouté la limite 2025 (417 t) ce qui donne (83.4+417=500.4) t</t>
  </si>
  <si>
    <t>Limite ajustée 2025: limite initiale (2546, t) à laquelle est soustraite 137, 77 t en application pour 2025 du plan de remboursement de 137,77 t sur 10 ans (2023-2032): 1322,73 t-137, 77 t= 2408, 23 t</t>
  </si>
  <si>
    <t>[1] = QI2025-Balance2024</t>
  </si>
  <si>
    <t>* Adjusted limit 2026 = initial limit 2026 (5280) + available balance 2024(not to exceed 25% of initial quota, i.e. max.25% of 5280t = 1320t) (297.7) - 100t transferred to Japan</t>
  </si>
  <si>
    <r>
      <t>From 2016 to</t>
    </r>
    <r>
      <rPr>
        <sz val="10"/>
        <color rgb="FFFF0000"/>
        <rFont val="Cambria"/>
        <family val="1"/>
      </rPr>
      <t xml:space="preserve"> 2024</t>
    </r>
    <r>
      <rPr>
        <sz val="10"/>
        <rFont val="Cambria"/>
        <family val="1"/>
      </rPr>
      <t>, South Africa has transferred 50t to Namibia in accordance with Recs. 16-04/17-03/22-04.</t>
    </r>
  </si>
  <si>
    <t>(**) Türkiye transfers to EU 0.5 t in 2025</t>
  </si>
  <si>
    <t>(**)</t>
  </si>
  <si>
    <t>2026: For 2026 the UK's initial quota is 752.8t. The UK's catches in 2024 were 8.23t. As a result, the UK has a remaining balance of 855.13. The UK is permitted to carry over to 2026 25% of its initial 2024 quota which equals 188.2. The quota for 2026 is therefore 752.8+188.2 = 941</t>
  </si>
  <si>
    <t>2026</t>
  </si>
  <si>
    <t>IQ2026+MAX 25% IQ 2024</t>
  </si>
  <si>
    <t>2026: The UK wishes to carry over 25% of its 2024 quota into 2026, 25% of 120 is 30 with the adjusted quota for 2025 therefore being 120+30=150</t>
  </si>
  <si>
    <t>=IQ2026+MAX. 0.25*IQ2024</t>
  </si>
  <si>
    <t>IQ2025+MAX 40% IQ 2024</t>
  </si>
  <si>
    <t>2026: The UK will carry over 40% of its 2024 quota 14.7t into 2025 which means 14.7 + 35.67 = 49.94</t>
  </si>
  <si>
    <t>2026: The UK will carry over 10% of its 2023 quota into 2025 this results in an adjusted quota of 30t. Initial quota of 25+2.5=27.5</t>
  </si>
  <si>
    <t xml:space="preserve">2025: The UK’s initial quota for 2025 was 63t and this was supplemented by 5% of the UK’s 2024 quota which equals 3.15 giving a total of 66.15t. </t>
  </si>
  <si>
    <t>=IQ2025+MAX. 0.10*IQ2024</t>
  </si>
  <si>
    <t>IQ2026+IQ2025</t>
  </si>
  <si>
    <t>IQ2025+MAX 40% IQ 2025</t>
  </si>
  <si>
    <t xml:space="preserve">2025: The UK's initial quota for BFT-W in 2025 is 6.18. The UK can carry over 100% of the 2024 quota over in to 2025 this means 6.18+6.18=12.36. </t>
  </si>
  <si>
    <t>Adjusted limit for 2025 = 3907.0 - (300 t to Costa Rica) + (0.15)(3907)  = 4193.05 t</t>
  </si>
  <si>
    <t>Adjusted limit for 2025 = 100.0 - (100 t (Namibia (50 t), Cote d'Ivoire (25 t), Belize (25 t)) + 100.0</t>
  </si>
  <si>
    <t>Adjusted limit for 2025 = 1341.14 - 141.18 = 1,199.96 t</t>
  </si>
  <si>
    <t>2025 adjusted quota is 10283.48 t = 9152.6 (initial quota) +9152.6*10% (carry over of 10% of 2022 initial quota pursuant to Rec.22-01) +223 (transfer from Korea).</t>
  </si>
  <si>
    <t>=9151.19+9.48+223</t>
  </si>
  <si>
    <t>Limit 2025+limit 2023*0,10</t>
  </si>
  <si>
    <t>JAPAN-BIGEYE:Japan's 2025 adjusted limit = 13865.86(Para 4 of Rec.22-01)+984.02(2023 carry over)(Para12 of Rec22-01)-350(transfer to China (Para.12 of Rec.24-01))</t>
  </si>
  <si>
    <t>[2] IQ(2025)+125% BALANCE(2024)</t>
  </si>
  <si>
    <t>(1) Límite ajustado en 2026 = Límite 2024 + Saldo 2024 (hasta 25% limite original de 2024)</t>
  </si>
  <si>
    <t>(2) Límite ajustado en 2026 = Límite 2024 + Saldo 2024 (hasta 25% limite original de 2024)</t>
  </si>
  <si>
    <t xml:space="preserve">COC-304/25 Annex 1: APPLICATION OF OVER/UNDERHARVEST / APPLICATION DE SUR/SOUSONSOMMATION / APLICACIÓN DE EXCESO/REMANENTE DE CAPTURA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</si>
</sst>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0.0_ "/>
    <numFmt numFmtId="165" formatCode="#,##0.00_ "/>
    <numFmt numFmtId="166" formatCode="0.0%"/>
    <numFmt numFmtId="167" formatCode="0.00_);[Red]\(0.00\)"/>
    <numFmt numFmtId="168" formatCode="0.00_);\(0.00\)"/>
    <numFmt numFmtId="169" formatCode="0.000"/>
  </numFmts>
  <fonts count="29" x14ac:knownFonts="1">
    <font>
      <sz val="11"/>
      <color theme="1"/>
      <name val="Calibri"/>
      <family val="2"/>
      <scheme val="minor"/>
    </font>
    <font>
      <sz val="10"/>
      <name val="Arial"/>
      <family val="2"/>
    </font>
    <font>
      <sz val="12"/>
      <name val="Times New Roman"/>
      <family val="1"/>
    </font>
    <font>
      <sz val="10"/>
      <color rgb="FF000000"/>
      <name val="Arial"/>
      <family val="2"/>
    </font>
    <font>
      <sz val="10"/>
      <name val="Arial"/>
      <family val="2"/>
    </font>
    <font>
      <b/>
      <sz val="10"/>
      <name val="Cambria"/>
      <family val="1"/>
    </font>
    <font>
      <sz val="10"/>
      <color rgb="FFFF0000"/>
      <name val="Cambria"/>
      <family val="1"/>
    </font>
    <font>
      <sz val="10"/>
      <color theme="1"/>
      <name val="Cambria"/>
      <family val="1"/>
    </font>
    <font>
      <sz val="10"/>
      <name val="Arial"/>
      <family val="2"/>
    </font>
    <font>
      <sz val="11"/>
      <color theme="1"/>
      <name val="Calibri"/>
      <family val="2"/>
      <scheme val="minor"/>
    </font>
    <font>
      <sz val="8"/>
      <name val="Calibri"/>
      <family val="2"/>
      <scheme val="minor"/>
    </font>
    <font>
      <sz val="10"/>
      <name val="Cambria"/>
      <family val="1"/>
    </font>
    <font>
      <sz val="10"/>
      <name val="Times New Roman"/>
      <family val="1"/>
    </font>
    <font>
      <b/>
      <sz val="10"/>
      <name val="Times New Roman"/>
      <family val="1"/>
    </font>
    <font>
      <vertAlign val="superscript"/>
      <sz val="10"/>
      <name val="Cambria"/>
      <family val="1"/>
    </font>
    <font>
      <sz val="11"/>
      <name val="Times New Roman"/>
      <family val="1"/>
    </font>
    <font>
      <sz val="11"/>
      <name val="Calibri"/>
      <family val="2"/>
      <scheme val="minor"/>
    </font>
    <font>
      <b/>
      <sz val="10"/>
      <name val="Calibri"/>
      <family val="2"/>
      <scheme val="minor"/>
    </font>
    <font>
      <sz val="11"/>
      <name val="Cambria"/>
      <family val="1"/>
    </font>
    <font>
      <b/>
      <sz val="11"/>
      <name val="Cambria"/>
      <family val="1"/>
    </font>
    <font>
      <sz val="10"/>
      <name val="Calibri Light"/>
      <family val="1"/>
      <scheme val="major"/>
    </font>
    <font>
      <strike/>
      <sz val="10"/>
      <name val="Cambria"/>
      <family val="1"/>
    </font>
    <font>
      <b/>
      <sz val="12"/>
      <name val="Cambria"/>
      <family val="1"/>
    </font>
    <font>
      <b/>
      <vertAlign val="superscript"/>
      <sz val="10"/>
      <name val="Cambria"/>
      <family val="1"/>
    </font>
    <font>
      <b/>
      <sz val="10"/>
      <color theme="1"/>
      <name val="Cambria"/>
      <family val="1"/>
    </font>
    <font>
      <b/>
      <sz val="10"/>
      <name val="Cambria"/>
      <family val="1"/>
      <charset val="1"/>
    </font>
    <font>
      <sz val="10"/>
      <name val="Cambria"/>
      <family val="1"/>
      <charset val="1"/>
    </font>
    <font>
      <sz val="11"/>
      <color rgb="FFFF0000"/>
      <name val="Calibri"/>
      <family val="2"/>
      <scheme val="minor"/>
    </font>
    <font>
      <sz val="10"/>
      <color rgb="FFFF0000"/>
      <name val="Times New Roman"/>
      <family val="1"/>
    </font>
  </fonts>
  <fills count="2">
    <fill>
      <patternFill patternType="none"/>
    </fill>
    <fill>
      <patternFill patternType="gray125"/>
    </fill>
  </fills>
  <borders count="4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hair">
        <color indexed="64"/>
      </left>
      <right style="thin">
        <color indexed="64"/>
      </right>
      <top style="thin">
        <color indexed="64"/>
      </top>
      <bottom style="thin">
        <color indexed="64"/>
      </bottom>
      <diagonal/>
    </border>
    <border>
      <left style="thin">
        <color theme="1"/>
      </left>
      <right style="thin">
        <color theme="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style="thin">
        <color indexed="8"/>
      </right>
      <top style="thin">
        <color indexed="8"/>
      </top>
      <bottom/>
      <diagonal/>
    </border>
  </borders>
  <cellStyleXfs count="9">
    <xf numFmtId="0" fontId="0" fillId="0" borderId="0"/>
    <xf numFmtId="0" fontId="1" fillId="0" borderId="0"/>
    <xf numFmtId="0" fontId="1" fillId="0" borderId="0"/>
    <xf numFmtId="0" fontId="1" fillId="0" borderId="0"/>
    <xf numFmtId="0" fontId="3" fillId="0" borderId="0"/>
    <xf numFmtId="0" fontId="4" fillId="0" borderId="0"/>
    <xf numFmtId="0" fontId="8" fillId="0" borderId="0"/>
    <xf numFmtId="0" fontId="1" fillId="0" borderId="0"/>
    <xf numFmtId="41" fontId="9" fillId="0" borderId="0" applyFont="0" applyFill="0" applyBorder="0" applyAlignment="0" applyProtection="0"/>
  </cellStyleXfs>
  <cellXfs count="699">
    <xf numFmtId="0" fontId="0" fillId="0" borderId="0" xfId="0"/>
    <xf numFmtId="0" fontId="17" fillId="0" borderId="0" xfId="0" applyFont="1"/>
    <xf numFmtId="0" fontId="5" fillId="0" borderId="0" xfId="0" applyFont="1"/>
    <xf numFmtId="0" fontId="11" fillId="0" borderId="0" xfId="0" applyFont="1"/>
    <xf numFmtId="0" fontId="11" fillId="0" borderId="0" xfId="0" applyFont="1" applyAlignment="1">
      <alignment wrapText="1"/>
    </xf>
    <xf numFmtId="0" fontId="20" fillId="0" borderId="0" xfId="0" applyFont="1" applyAlignment="1">
      <alignment horizontal="left" wrapText="1"/>
    </xf>
    <xf numFmtId="0" fontId="5" fillId="0" borderId="1" xfId="0" applyFont="1" applyBorder="1"/>
    <xf numFmtId="0" fontId="5" fillId="0" borderId="2" xfId="0" applyFont="1" applyBorder="1"/>
    <xf numFmtId="0" fontId="11" fillId="0" borderId="0" xfId="1" applyFont="1"/>
    <xf numFmtId="0" fontId="5" fillId="0" borderId="4" xfId="0" applyFont="1" applyBorder="1"/>
    <xf numFmtId="0" fontId="11" fillId="0" borderId="1" xfId="0" applyFont="1" applyBorder="1"/>
    <xf numFmtId="0" fontId="11" fillId="0" borderId="4" xfId="0" applyFont="1" applyBorder="1"/>
    <xf numFmtId="2" fontId="11" fillId="0" borderId="4" xfId="0" applyNumberFormat="1" applyFont="1" applyBorder="1"/>
    <xf numFmtId="1" fontId="11" fillId="0" borderId="4" xfId="0" applyNumberFormat="1" applyFont="1" applyBorder="1"/>
    <xf numFmtId="1" fontId="11" fillId="0" borderId="4" xfId="0" applyNumberFormat="1" applyFont="1" applyBorder="1" applyAlignment="1">
      <alignment wrapText="1"/>
    </xf>
    <xf numFmtId="2" fontId="5" fillId="0" borderId="4" xfId="0" applyNumberFormat="1" applyFont="1" applyBorder="1"/>
    <xf numFmtId="0" fontId="11" fillId="0" borderId="7" xfId="0" applyFont="1" applyBorder="1"/>
    <xf numFmtId="0" fontId="11" fillId="0" borderId="15" xfId="0" applyFont="1" applyBorder="1"/>
    <xf numFmtId="0" fontId="11" fillId="0" borderId="35" xfId="0" applyFont="1" applyBorder="1"/>
    <xf numFmtId="0" fontId="11" fillId="0" borderId="37" xfId="0" applyFont="1" applyBorder="1"/>
    <xf numFmtId="0" fontId="17" fillId="0" borderId="37" xfId="0" applyFont="1" applyBorder="1"/>
    <xf numFmtId="0" fontId="5" fillId="0" borderId="38" xfId="0" applyFont="1" applyBorder="1"/>
    <xf numFmtId="0" fontId="11" fillId="0" borderId="6" xfId="0" applyFont="1" applyBorder="1" applyAlignment="1">
      <alignment horizontal="left" wrapText="1"/>
    </xf>
    <xf numFmtId="0" fontId="17" fillId="0" borderId="6" xfId="0" applyFont="1" applyBorder="1"/>
    <xf numFmtId="0" fontId="5" fillId="0" borderId="3" xfId="0" applyFont="1" applyBorder="1"/>
    <xf numFmtId="0" fontId="6" fillId="0" borderId="4" xfId="0" applyFont="1" applyBorder="1"/>
    <xf numFmtId="2" fontId="6" fillId="0" borderId="4" xfId="0" applyNumberFormat="1" applyFont="1" applyBorder="1"/>
    <xf numFmtId="2" fontId="24" fillId="0" borderId="4" xfId="0" applyNumberFormat="1" applyFont="1" applyBorder="1"/>
    <xf numFmtId="1" fontId="24" fillId="0" borderId="4" xfId="0" applyNumberFormat="1" applyFont="1" applyBorder="1" applyAlignment="1">
      <alignment wrapText="1"/>
    </xf>
    <xf numFmtId="0" fontId="11" fillId="0" borderId="39" xfId="0" applyFont="1" applyBorder="1"/>
    <xf numFmtId="0" fontId="11" fillId="0" borderId="40" xfId="0" applyFont="1" applyBorder="1"/>
    <xf numFmtId="0" fontId="17" fillId="0" borderId="34" xfId="0" applyFont="1" applyBorder="1"/>
    <xf numFmtId="0" fontId="11" fillId="0" borderId="0" xfId="0" applyFont="1" applyAlignment="1">
      <alignment horizontal="left" wrapText="1"/>
    </xf>
    <xf numFmtId="0" fontId="5" fillId="0" borderId="6" xfId="0" applyFont="1" applyBorder="1"/>
    <xf numFmtId="0" fontId="11" fillId="0" borderId="6" xfId="0" applyFont="1" applyBorder="1"/>
    <xf numFmtId="0" fontId="6" fillId="0" borderId="0" xfId="0" applyFont="1" applyAlignment="1">
      <alignment horizontal="left" wrapText="1"/>
    </xf>
    <xf numFmtId="0" fontId="11" fillId="0" borderId="5" xfId="0" applyFont="1" applyBorder="1"/>
    <xf numFmtId="0" fontId="11" fillId="0" borderId="2" xfId="0" applyFont="1" applyBorder="1"/>
    <xf numFmtId="0" fontId="6" fillId="0" borderId="2" xfId="0" applyFont="1" applyBorder="1"/>
    <xf numFmtId="0" fontId="11" fillId="0" borderId="12" xfId="0" applyFont="1" applyBorder="1"/>
    <xf numFmtId="0" fontId="6" fillId="0" borderId="10" xfId="0" applyFont="1" applyBorder="1"/>
    <xf numFmtId="0" fontId="11" fillId="0" borderId="11" xfId="0" applyFont="1" applyBorder="1"/>
    <xf numFmtId="0" fontId="6" fillId="0" borderId="11" xfId="0" applyFont="1" applyBorder="1"/>
    <xf numFmtId="0" fontId="6" fillId="0" borderId="6" xfId="0" applyFont="1" applyBorder="1"/>
    <xf numFmtId="0" fontId="6" fillId="0" borderId="3" xfId="0" applyFont="1" applyBorder="1"/>
    <xf numFmtId="0" fontId="6" fillId="0" borderId="0" xfId="0" applyFont="1"/>
    <xf numFmtId="0" fontId="11" fillId="0" borderId="8" xfId="0" applyFont="1" applyBorder="1"/>
    <xf numFmtId="0" fontId="11" fillId="0" borderId="9" xfId="0" applyFont="1" applyBorder="1"/>
    <xf numFmtId="0" fontId="11" fillId="0" borderId="3" xfId="0" applyFont="1" applyBorder="1"/>
    <xf numFmtId="0" fontId="11" fillId="0" borderId="0" xfId="0" applyFont="1" applyAlignment="1">
      <alignment vertical="center"/>
    </xf>
    <xf numFmtId="0" fontId="16" fillId="0" borderId="0" xfId="0" applyFont="1"/>
    <xf numFmtId="0" fontId="11" fillId="0" borderId="4" xfId="0" applyFont="1" applyBorder="1" applyAlignment="1">
      <alignment vertical="center"/>
    </xf>
    <xf numFmtId="0" fontId="11" fillId="0" borderId="4" xfId="0" applyFont="1" applyBorder="1" applyAlignment="1">
      <alignment horizontal="right" vertical="center"/>
    </xf>
    <xf numFmtId="0" fontId="11" fillId="0" borderId="37" xfId="0" applyFont="1" applyBorder="1" applyAlignment="1">
      <alignment vertical="center"/>
    </xf>
    <xf numFmtId="0" fontId="16" fillId="0" borderId="37" xfId="0" applyFont="1" applyBorder="1"/>
    <xf numFmtId="0" fontId="16" fillId="0" borderId="38" xfId="0" applyFont="1" applyBorder="1"/>
    <xf numFmtId="0" fontId="11" fillId="0" borderId="12" xfId="0" applyFont="1" applyBorder="1" applyAlignment="1">
      <alignment vertical="center"/>
    </xf>
    <xf numFmtId="0" fontId="16" fillId="0" borderId="10" xfId="0" applyFont="1" applyBorder="1"/>
    <xf numFmtId="0" fontId="11" fillId="0" borderId="6" xfId="0" applyFont="1" applyBorder="1" applyAlignment="1">
      <alignment vertical="center"/>
    </xf>
    <xf numFmtId="0" fontId="16" fillId="0" borderId="6" xfId="0" applyFont="1" applyBorder="1"/>
    <xf numFmtId="0" fontId="16" fillId="0" borderId="3" xfId="0" applyFont="1" applyBorder="1"/>
    <xf numFmtId="0" fontId="11" fillId="0" borderId="8" xfId="0" applyFont="1" applyBorder="1" applyAlignment="1">
      <alignment vertical="center"/>
    </xf>
    <xf numFmtId="0" fontId="11" fillId="0" borderId="36" xfId="0" applyFont="1" applyBorder="1"/>
    <xf numFmtId="0" fontId="11" fillId="0" borderId="38" xfId="0" applyFont="1" applyBorder="1"/>
    <xf numFmtId="0" fontId="11" fillId="0" borderId="10" xfId="0" applyFont="1" applyBorder="1"/>
    <xf numFmtId="0" fontId="5" fillId="0" borderId="24" xfId="1" applyFont="1" applyBorder="1"/>
    <xf numFmtId="0" fontId="5" fillId="0" borderId="2" xfId="1" applyFont="1" applyBorder="1"/>
    <xf numFmtId="0" fontId="5" fillId="0" borderId="4" xfId="1" applyFont="1" applyBorder="1"/>
    <xf numFmtId="0" fontId="11" fillId="0" borderId="1" xfId="1" applyFont="1" applyBorder="1"/>
    <xf numFmtId="0" fontId="11" fillId="0" borderId="4" xfId="1" applyFont="1" applyBorder="1"/>
    <xf numFmtId="0" fontId="5" fillId="0" borderId="5" xfId="1" applyFont="1" applyBorder="1"/>
    <xf numFmtId="2" fontId="11" fillId="0" borderId="5" xfId="1" applyNumberFormat="1" applyFont="1" applyBorder="1"/>
    <xf numFmtId="2" fontId="11" fillId="0" borderId="4" xfId="1" applyNumberFormat="1" applyFont="1" applyBorder="1"/>
    <xf numFmtId="0" fontId="11" fillId="0" borderId="7" xfId="1" applyFont="1" applyBorder="1"/>
    <xf numFmtId="0" fontId="11" fillId="0" borderId="15" xfId="1" applyFont="1" applyBorder="1"/>
    <xf numFmtId="0" fontId="11" fillId="0" borderId="8" xfId="1" applyFont="1" applyBorder="1"/>
    <xf numFmtId="0" fontId="11" fillId="0" borderId="7" xfId="1" applyFont="1" applyBorder="1" applyAlignment="1">
      <alignment horizontal="left"/>
    </xf>
    <xf numFmtId="0" fontId="11" fillId="0" borderId="8" xfId="1" applyFont="1" applyBorder="1" applyAlignment="1">
      <alignment horizontal="left"/>
    </xf>
    <xf numFmtId="0" fontId="12" fillId="0" borderId="12" xfId="0" applyFont="1" applyBorder="1" applyAlignment="1">
      <alignment horizontal="left"/>
    </xf>
    <xf numFmtId="0" fontId="12" fillId="0" borderId="0" xfId="0" applyFont="1" applyAlignment="1">
      <alignment horizontal="left"/>
    </xf>
    <xf numFmtId="0" fontId="11" fillId="0" borderId="0" xfId="1" applyFont="1" applyAlignment="1">
      <alignment horizontal="left"/>
    </xf>
    <xf numFmtId="0" fontId="12" fillId="0" borderId="12" xfId="0" applyFont="1" applyBorder="1"/>
    <xf numFmtId="0" fontId="28" fillId="0" borderId="12" xfId="0" applyFont="1" applyBorder="1"/>
    <xf numFmtId="0" fontId="12" fillId="0" borderId="0" xfId="0" applyFont="1"/>
    <xf numFmtId="0" fontId="12" fillId="0" borderId="11" xfId="0" applyFont="1" applyBorder="1"/>
    <xf numFmtId="0" fontId="11" fillId="0" borderId="6" xfId="1" applyFont="1" applyBorder="1"/>
    <xf numFmtId="0" fontId="28" fillId="0" borderId="0" xfId="0" applyFont="1"/>
    <xf numFmtId="0" fontId="11" fillId="0" borderId="24" xfId="1" applyFont="1" applyBorder="1"/>
    <xf numFmtId="0" fontId="11" fillId="0" borderId="34" xfId="0" applyFont="1" applyBorder="1"/>
    <xf numFmtId="2" fontId="11" fillId="0" borderId="16" xfId="1" applyNumberFormat="1" applyFont="1" applyBorder="1"/>
    <xf numFmtId="0" fontId="11" fillId="0" borderId="33" xfId="0" applyFont="1" applyBorder="1"/>
    <xf numFmtId="0" fontId="11" fillId="0" borderId="25" xfId="1" applyFont="1" applyBorder="1"/>
    <xf numFmtId="0" fontId="11" fillId="0" borderId="35" xfId="1" applyFont="1" applyBorder="1"/>
    <xf numFmtId="0" fontId="11" fillId="0" borderId="37" xfId="1" applyFont="1" applyBorder="1"/>
    <xf numFmtId="0" fontId="11" fillId="0" borderId="12" xfId="1" applyFont="1" applyBorder="1"/>
    <xf numFmtId="0" fontId="11" fillId="0" borderId="11" xfId="1" applyFont="1" applyBorder="1"/>
    <xf numFmtId="2" fontId="11" fillId="0" borderId="1" xfId="1" applyNumberFormat="1" applyFont="1" applyBorder="1"/>
    <xf numFmtId="2" fontId="11" fillId="0" borderId="2" xfId="1" applyNumberFormat="1" applyFont="1" applyBorder="1"/>
    <xf numFmtId="0" fontId="5" fillId="0" borderId="1" xfId="1" applyFont="1" applyBorder="1"/>
    <xf numFmtId="39" fontId="11" fillId="0" borderId="4" xfId="1" applyNumberFormat="1" applyFont="1" applyBorder="1"/>
    <xf numFmtId="39" fontId="11" fillId="0" borderId="2" xfId="1" applyNumberFormat="1" applyFont="1" applyBorder="1"/>
    <xf numFmtId="43" fontId="11" fillId="0" borderId="4" xfId="1" applyNumberFormat="1" applyFont="1" applyBorder="1"/>
    <xf numFmtId="1" fontId="11" fillId="0" borderId="15" xfId="1" applyNumberFormat="1" applyFont="1" applyBorder="1"/>
    <xf numFmtId="0" fontId="5" fillId="0" borderId="11" xfId="1" applyFont="1" applyBorder="1"/>
    <xf numFmtId="0" fontId="5" fillId="0" borderId="3" xfId="1" applyFont="1" applyBorder="1"/>
    <xf numFmtId="0" fontId="5" fillId="0" borderId="16" xfId="1" applyFont="1" applyBorder="1"/>
    <xf numFmtId="168" fontId="11" fillId="0" borderId="4" xfId="1" applyNumberFormat="1" applyFont="1" applyBorder="1"/>
    <xf numFmtId="168" fontId="11" fillId="0" borderId="2" xfId="1" applyNumberFormat="1" applyFont="1" applyBorder="1"/>
    <xf numFmtId="43" fontId="11" fillId="0" borderId="4" xfId="1" applyNumberFormat="1" applyFont="1" applyBorder="1" applyAlignment="1">
      <alignment wrapText="1"/>
    </xf>
    <xf numFmtId="0" fontId="11" fillId="0" borderId="12" xfId="1" applyFont="1" applyBorder="1" applyAlignment="1">
      <alignment horizontal="left"/>
    </xf>
    <xf numFmtId="0" fontId="11" fillId="0" borderId="11" xfId="1" applyFont="1" applyBorder="1" applyAlignment="1">
      <alignment horizontal="left"/>
    </xf>
    <xf numFmtId="0" fontId="11" fillId="0" borderId="6" xfId="1" applyFont="1" applyBorder="1" applyAlignment="1">
      <alignment horizontal="left"/>
    </xf>
    <xf numFmtId="0" fontId="13" fillId="0" borderId="33" xfId="0" applyFont="1" applyBorder="1"/>
    <xf numFmtId="0" fontId="12" fillId="0" borderId="33" xfId="0" applyFont="1" applyBorder="1"/>
    <xf numFmtId="0" fontId="12" fillId="0" borderId="33" xfId="0" applyFont="1" applyBorder="1" applyAlignment="1">
      <alignment horizontal="right"/>
    </xf>
    <xf numFmtId="0" fontId="12" fillId="0" borderId="34" xfId="0" applyFont="1" applyBorder="1"/>
    <xf numFmtId="0" fontId="12" fillId="0" borderId="6" xfId="0" applyFont="1" applyBorder="1"/>
    <xf numFmtId="0" fontId="11" fillId="0" borderId="9" xfId="1" applyFont="1" applyBorder="1"/>
    <xf numFmtId="0" fontId="11" fillId="0" borderId="12" xfId="1" applyFont="1" applyBorder="1" applyAlignment="1">
      <alignment vertical="top"/>
    </xf>
    <xf numFmtId="0" fontId="11" fillId="0" borderId="0" xfId="1" applyFont="1" applyAlignment="1">
      <alignment wrapText="1"/>
    </xf>
    <xf numFmtId="0" fontId="11" fillId="0" borderId="11" xfId="1" applyFont="1" applyBorder="1" applyAlignment="1">
      <alignment vertical="top"/>
    </xf>
    <xf numFmtId="0" fontId="11" fillId="0" borderId="6" xfId="1" applyFont="1" applyBorder="1" applyAlignment="1">
      <alignment vertical="top" wrapText="1"/>
    </xf>
    <xf numFmtId="0" fontId="11" fillId="0" borderId="6" xfId="1" applyFont="1" applyBorder="1" applyAlignment="1">
      <alignment wrapText="1"/>
    </xf>
    <xf numFmtId="0" fontId="11" fillId="0" borderId="0" xfId="0" applyFont="1" applyAlignment="1">
      <alignment horizontal="left"/>
    </xf>
    <xf numFmtId="0" fontId="5" fillId="0" borderId="36" xfId="1" applyFont="1" applyBorder="1"/>
    <xf numFmtId="0" fontId="5" fillId="0" borderId="37" xfId="1" applyFont="1" applyBorder="1"/>
    <xf numFmtId="0" fontId="5" fillId="0" borderId="38" xfId="1" applyFont="1" applyBorder="1"/>
    <xf numFmtId="0" fontId="5" fillId="0" borderId="36" xfId="0" applyFont="1" applyBorder="1"/>
    <xf numFmtId="0" fontId="5" fillId="0" borderId="33" xfId="0" applyFont="1" applyBorder="1"/>
    <xf numFmtId="0" fontId="11" fillId="0" borderId="33" xfId="1" applyFont="1" applyBorder="1"/>
    <xf numFmtId="2" fontId="11" fillId="0" borderId="33" xfId="1" applyNumberFormat="1" applyFont="1" applyBorder="1"/>
    <xf numFmtId="2" fontId="11" fillId="0" borderId="33" xfId="0" applyNumberFormat="1" applyFont="1" applyBorder="1"/>
    <xf numFmtId="2" fontId="11" fillId="0" borderId="33" xfId="1" applyNumberFormat="1" applyFont="1" applyBorder="1" applyAlignment="1">
      <alignment horizontal="right"/>
    </xf>
    <xf numFmtId="43" fontId="11" fillId="0" borderId="33" xfId="1" applyNumberFormat="1" applyFont="1" applyBorder="1"/>
    <xf numFmtId="1" fontId="11" fillId="0" borderId="33" xfId="1" applyNumberFormat="1" applyFont="1" applyBorder="1"/>
    <xf numFmtId="43" fontId="11" fillId="0" borderId="2" xfId="1" applyNumberFormat="1" applyFont="1" applyBorder="1"/>
    <xf numFmtId="0" fontId="11" fillId="0" borderId="5" xfId="1" applyFont="1" applyBorder="1"/>
    <xf numFmtId="0" fontId="11" fillId="0" borderId="2" xfId="1" applyFont="1" applyBorder="1"/>
    <xf numFmtId="0" fontId="11" fillId="0" borderId="0" xfId="1" applyFont="1" applyAlignment="1">
      <alignment horizontal="left" wrapText="1"/>
    </xf>
    <xf numFmtId="43" fontId="6" fillId="0" borderId="4" xfId="1" applyNumberFormat="1" applyFont="1" applyBorder="1" applyAlignment="1">
      <alignment horizontal="right"/>
    </xf>
    <xf numFmtId="0" fontId="11" fillId="0" borderId="7" xfId="0" applyFont="1" applyBorder="1" applyAlignment="1">
      <alignment vertical="center"/>
    </xf>
    <xf numFmtId="0" fontId="11" fillId="0" borderId="10" xfId="0" applyFont="1" applyBorder="1" applyAlignment="1">
      <alignment vertical="center"/>
    </xf>
    <xf numFmtId="0" fontId="6" fillId="0" borderId="6" xfId="0" applyFont="1" applyBorder="1" applyAlignment="1">
      <alignment vertical="center"/>
    </xf>
    <xf numFmtId="0" fontId="5" fillId="0" borderId="5" xfId="0" applyFont="1" applyBorder="1"/>
    <xf numFmtId="169" fontId="11" fillId="0" borderId="0" xfId="0" applyNumberFormat="1" applyFont="1"/>
    <xf numFmtId="0" fontId="5" fillId="0" borderId="4" xfId="0" applyFont="1" applyBorder="1" applyAlignment="1">
      <alignment horizontal="right" vertical="center"/>
    </xf>
    <xf numFmtId="2" fontId="11" fillId="0" borderId="4" xfId="0" applyNumberFormat="1" applyFont="1" applyBorder="1" applyAlignment="1">
      <alignment horizontal="right" vertical="center"/>
    </xf>
    <xf numFmtId="2" fontId="11" fillId="0" borderId="4" xfId="0" applyNumberFormat="1" applyFont="1" applyBorder="1" applyAlignment="1">
      <alignment vertical="center"/>
    </xf>
    <xf numFmtId="0" fontId="11" fillId="0" borderId="15" xfId="0" applyFont="1" applyBorder="1" applyAlignment="1">
      <alignment horizontal="right" vertical="center"/>
    </xf>
    <xf numFmtId="0" fontId="11" fillId="0" borderId="15" xfId="0" applyFont="1" applyBorder="1" applyAlignment="1">
      <alignment vertical="center"/>
    </xf>
    <xf numFmtId="0" fontId="11" fillId="0" borderId="8" xfId="0" applyFont="1" applyBorder="1" applyAlignment="1">
      <alignment horizontal="right" vertical="center"/>
    </xf>
    <xf numFmtId="0" fontId="6" fillId="0" borderId="12" xfId="0" applyFont="1" applyBorder="1"/>
    <xf numFmtId="0" fontId="5" fillId="0" borderId="11" xfId="0" applyFont="1" applyBorder="1"/>
    <xf numFmtId="0" fontId="11"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xf>
    <xf numFmtId="2" fontId="11" fillId="0" borderId="4" xfId="0" applyNumberFormat="1" applyFont="1" applyBorder="1" applyAlignment="1">
      <alignment horizontal="right" vertical="center" wrapText="1"/>
    </xf>
    <xf numFmtId="2" fontId="11" fillId="0" borderId="4" xfId="0" applyNumberFormat="1" applyFont="1" applyBorder="1" applyAlignment="1">
      <alignment horizontal="right"/>
    </xf>
    <xf numFmtId="0" fontId="11" fillId="0" borderId="15"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15" xfId="0" applyFont="1" applyBorder="1" applyAlignment="1">
      <alignment horizontal="center"/>
    </xf>
    <xf numFmtId="0" fontId="11" fillId="0" borderId="35" xfId="0" applyFont="1" applyBorder="1" applyAlignment="1">
      <alignment horizontal="left"/>
    </xf>
    <xf numFmtId="0" fontId="11" fillId="0" borderId="12" xfId="0" applyFont="1" applyBorder="1" applyAlignment="1">
      <alignment horizontal="left"/>
    </xf>
    <xf numFmtId="0" fontId="6" fillId="0" borderId="11" xfId="0" applyFont="1" applyBorder="1" applyAlignment="1">
      <alignment horizontal="left"/>
    </xf>
    <xf numFmtId="2" fontId="11" fillId="0" borderId="4" xfId="0" applyNumberFormat="1" applyFont="1" applyBorder="1" applyAlignment="1">
      <alignment horizontal="left" vertical="center" wrapText="1"/>
    </xf>
    <xf numFmtId="0" fontId="11" fillId="0" borderId="16" xfId="0" applyFont="1" applyBorder="1" applyAlignment="1">
      <alignment horizontal="left" vertical="center" wrapText="1"/>
    </xf>
    <xf numFmtId="0" fontId="5" fillId="0" borderId="16" xfId="0" applyFont="1" applyBorder="1" applyAlignment="1">
      <alignment horizontal="center" vertical="center" wrapText="1"/>
    </xf>
    <xf numFmtId="2" fontId="11" fillId="0" borderId="16" xfId="0" applyNumberFormat="1" applyFont="1" applyBorder="1" applyAlignment="1">
      <alignment horizontal="right"/>
    </xf>
    <xf numFmtId="0" fontId="11" fillId="0" borderId="36" xfId="0" applyFont="1" applyBorder="1" applyAlignment="1">
      <alignment horizontal="left" vertical="center" wrapText="1"/>
    </xf>
    <xf numFmtId="0" fontId="5" fillId="0" borderId="36" xfId="0" applyFont="1" applyBorder="1" applyAlignment="1">
      <alignment horizontal="center" vertical="center" wrapText="1"/>
    </xf>
    <xf numFmtId="0" fontId="5" fillId="0" borderId="36" xfId="0" applyFont="1" applyBorder="1" applyAlignment="1">
      <alignment horizontal="center"/>
    </xf>
    <xf numFmtId="0" fontId="11" fillId="0" borderId="16" xfId="0" applyFont="1" applyBorder="1"/>
    <xf numFmtId="0" fontId="6" fillId="0" borderId="6" xfId="0" applyFont="1" applyBorder="1" applyAlignment="1">
      <alignment horizontal="left"/>
    </xf>
    <xf numFmtId="0" fontId="5" fillId="0" borderId="5" xfId="0" applyFont="1" applyBorder="1" applyAlignment="1">
      <alignment horizontal="center"/>
    </xf>
    <xf numFmtId="0" fontId="5" fillId="0" borderId="2" xfId="0" applyFont="1" applyBorder="1" applyAlignment="1">
      <alignment horizontal="center"/>
    </xf>
    <xf numFmtId="2" fontId="11" fillId="0" borderId="5" xfId="0" applyNumberFormat="1" applyFont="1" applyBorder="1" applyAlignment="1">
      <alignment horizontal="right"/>
    </xf>
    <xf numFmtId="2" fontId="11" fillId="0" borderId="2" xfId="0" applyNumberFormat="1" applyFont="1" applyBorder="1" applyAlignment="1">
      <alignment horizontal="right"/>
    </xf>
    <xf numFmtId="49" fontId="11" fillId="0" borderId="4" xfId="0" applyNumberFormat="1" applyFont="1" applyBorder="1" applyAlignment="1">
      <alignment wrapText="1"/>
    </xf>
    <xf numFmtId="49" fontId="11" fillId="0" borderId="2" xfId="0" applyNumberFormat="1" applyFont="1" applyBorder="1" applyAlignment="1">
      <alignment wrapText="1"/>
    </xf>
    <xf numFmtId="0" fontId="11" fillId="0" borderId="8" xfId="0" applyFont="1" applyBorder="1" applyAlignment="1">
      <alignment horizontal="center"/>
    </xf>
    <xf numFmtId="0" fontId="11" fillId="0" borderId="9" xfId="0" applyFont="1" applyBorder="1" applyAlignment="1">
      <alignment horizontal="center"/>
    </xf>
    <xf numFmtId="0" fontId="11" fillId="0" borderId="33" xfId="0" applyFont="1" applyBorder="1" applyAlignment="1">
      <alignment horizontal="center"/>
    </xf>
    <xf numFmtId="0" fontId="11" fillId="0" borderId="6" xfId="0" applyFont="1" applyBorder="1" applyAlignment="1">
      <alignment horizontal="left"/>
    </xf>
    <xf numFmtId="2" fontId="6" fillId="0" borderId="4" xfId="0" applyNumberFormat="1" applyFont="1" applyBorder="1" applyAlignment="1">
      <alignment horizontal="right"/>
    </xf>
    <xf numFmtId="0" fontId="11" fillId="0" borderId="4" xfId="0" quotePrefix="1" applyFont="1" applyBorder="1"/>
    <xf numFmtId="0" fontId="11" fillId="0" borderId="4" xfId="0" quotePrefix="1" applyFont="1" applyBorder="1" applyAlignment="1">
      <alignment wrapText="1"/>
    </xf>
    <xf numFmtId="0" fontId="6" fillId="0" borderId="9" xfId="0" applyFont="1" applyBorder="1" applyAlignment="1">
      <alignment horizontal="center" vertical="center" wrapText="1"/>
    </xf>
    <xf numFmtId="0" fontId="11" fillId="0" borderId="40" xfId="0" applyFont="1" applyBorder="1" applyAlignment="1">
      <alignment horizontal="center"/>
    </xf>
    <xf numFmtId="2" fontId="11" fillId="0" borderId="36" xfId="0" applyNumberFormat="1" applyFont="1" applyBorder="1" applyAlignment="1">
      <alignment horizontal="right"/>
    </xf>
    <xf numFmtId="2" fontId="11" fillId="0" borderId="5" xfId="0" applyNumberFormat="1" applyFont="1" applyBorder="1"/>
    <xf numFmtId="2" fontId="11" fillId="0" borderId="2" xfId="0" applyNumberFormat="1" applyFont="1" applyBorder="1"/>
    <xf numFmtId="49" fontId="11" fillId="0" borderId="4" xfId="0" applyNumberFormat="1" applyFont="1" applyBorder="1"/>
    <xf numFmtId="49" fontId="11" fillId="0" borderId="2" xfId="0" applyNumberFormat="1" applyFont="1" applyBorder="1"/>
    <xf numFmtId="49" fontId="6" fillId="0" borderId="4" xfId="0" applyNumberFormat="1" applyFont="1" applyBorder="1" applyAlignment="1">
      <alignment wrapText="1"/>
    </xf>
    <xf numFmtId="0" fontId="6" fillId="0" borderId="4" xfId="0" quotePrefix="1" applyFont="1" applyBorder="1" applyAlignment="1">
      <alignment wrapText="1"/>
    </xf>
    <xf numFmtId="0" fontId="6" fillId="0" borderId="33" xfId="0" applyFont="1" applyBorder="1" applyAlignment="1">
      <alignment horizontal="center"/>
    </xf>
    <xf numFmtId="0" fontId="11" fillId="0" borderId="4" xfId="0" applyFont="1" applyBorder="1" applyAlignment="1">
      <alignment wrapText="1"/>
    </xf>
    <xf numFmtId="0" fontId="6" fillId="0" borderId="12" xfId="0" applyFont="1" applyBorder="1" applyAlignment="1">
      <alignment horizontal="left"/>
    </xf>
    <xf numFmtId="0" fontId="11" fillId="0" borderId="4" xfId="0" applyFont="1" applyBorder="1" applyAlignment="1">
      <alignment horizontal="center"/>
    </xf>
    <xf numFmtId="0" fontId="12" fillId="0" borderId="1" xfId="0" applyFont="1" applyBorder="1"/>
    <xf numFmtId="0" fontId="13" fillId="0" borderId="4" xfId="0" applyFont="1" applyBorder="1"/>
    <xf numFmtId="0" fontId="13" fillId="0" borderId="5" xfId="0" applyFont="1" applyBorder="1"/>
    <xf numFmtId="0" fontId="13" fillId="0" borderId="2" xfId="0" applyFont="1" applyBorder="1"/>
    <xf numFmtId="0" fontId="1" fillId="0" borderId="0" xfId="0" applyFont="1"/>
    <xf numFmtId="2" fontId="12" fillId="0" borderId="4" xfId="0" applyNumberFormat="1" applyFont="1" applyBorder="1" applyAlignment="1">
      <alignment horizontal="right" vertical="center"/>
    </xf>
    <xf numFmtId="2" fontId="12" fillId="0" borderId="2" xfId="0" applyNumberFormat="1" applyFont="1" applyBorder="1" applyAlignment="1">
      <alignment horizontal="right" vertical="center"/>
    </xf>
    <xf numFmtId="0" fontId="12" fillId="0" borderId="4" xfId="0" applyFont="1" applyBorder="1" applyAlignment="1">
      <alignment horizontal="right"/>
    </xf>
    <xf numFmtId="2" fontId="12" fillId="0" borderId="4" xfId="0" applyNumberFormat="1" applyFont="1" applyBorder="1" applyAlignment="1">
      <alignment horizontal="right"/>
    </xf>
    <xf numFmtId="0" fontId="12" fillId="0" borderId="5" xfId="0" applyFont="1" applyBorder="1" applyAlignment="1">
      <alignment horizontal="right"/>
    </xf>
    <xf numFmtId="0" fontId="12" fillId="0" borderId="2" xfId="0" applyFont="1" applyBorder="1" applyAlignment="1">
      <alignment horizontal="right"/>
    </xf>
    <xf numFmtId="0" fontId="12" fillId="0" borderId="7" xfId="0" applyFont="1" applyBorder="1"/>
    <xf numFmtId="0" fontId="12" fillId="0" borderId="15" xfId="0" applyFont="1" applyBorder="1" applyAlignment="1">
      <alignment horizontal="right"/>
    </xf>
    <xf numFmtId="0" fontId="12" fillId="0" borderId="8" xfId="0" applyFont="1" applyBorder="1" applyAlignment="1">
      <alignment horizontal="right"/>
    </xf>
    <xf numFmtId="0" fontId="12" fillId="0" borderId="9" xfId="0" applyFont="1" applyBorder="1" applyAlignment="1">
      <alignment horizontal="right"/>
    </xf>
    <xf numFmtId="0" fontId="12" fillId="0" borderId="8" xfId="0" applyFont="1" applyBorder="1"/>
    <xf numFmtId="0" fontId="12" fillId="0" borderId="9" xfId="0" applyFont="1" applyBorder="1"/>
    <xf numFmtId="0" fontId="12" fillId="0" borderId="10" xfId="0" applyFont="1" applyBorder="1"/>
    <xf numFmtId="0" fontId="12" fillId="0" borderId="3" xfId="0" applyFont="1" applyBorder="1"/>
    <xf numFmtId="2" fontId="12" fillId="0" borderId="4" xfId="0" applyNumberFormat="1" applyFont="1" applyBorder="1" applyAlignment="1">
      <alignment vertical="center"/>
    </xf>
    <xf numFmtId="2" fontId="12" fillId="0" borderId="2" xfId="0" applyNumberFormat="1" applyFont="1" applyBorder="1" applyAlignment="1">
      <alignment vertical="center"/>
    </xf>
    <xf numFmtId="0" fontId="1" fillId="0" borderId="33" xfId="0" applyFont="1" applyBorder="1"/>
    <xf numFmtId="0" fontId="12" fillId="0" borderId="4" xfId="0" applyFont="1" applyBorder="1"/>
    <xf numFmtId="2" fontId="12" fillId="0" borderId="4" xfId="0" applyNumberFormat="1" applyFont="1" applyBorder="1"/>
    <xf numFmtId="2" fontId="12" fillId="0" borderId="33" xfId="0" applyNumberFormat="1" applyFont="1" applyBorder="1"/>
    <xf numFmtId="0" fontId="12" fillId="0" borderId="2" xfId="0" applyFont="1" applyBorder="1"/>
    <xf numFmtId="2" fontId="28" fillId="0" borderId="4" xfId="0" applyNumberFormat="1" applyFont="1" applyBorder="1" applyAlignment="1">
      <alignment horizontal="right"/>
    </xf>
    <xf numFmtId="0" fontId="12" fillId="0" borderId="15" xfId="0" applyFont="1" applyBorder="1"/>
    <xf numFmtId="0" fontId="12" fillId="0" borderId="39" xfId="0" applyFont="1" applyBorder="1"/>
    <xf numFmtId="0" fontId="12" fillId="0" borderId="40" xfId="0" applyFont="1" applyBorder="1"/>
    <xf numFmtId="0" fontId="1" fillId="0" borderId="34" xfId="0" applyFont="1" applyBorder="1"/>
    <xf numFmtId="20" fontId="12" fillId="0" borderId="35" xfId="0" applyNumberFormat="1" applyFont="1" applyBorder="1"/>
    <xf numFmtId="0" fontId="12" fillId="0" borderId="37" xfId="0" applyFont="1" applyBorder="1"/>
    <xf numFmtId="0" fontId="12" fillId="0" borderId="38" xfId="0" applyFont="1" applyBorder="1"/>
    <xf numFmtId="0" fontId="1" fillId="0" borderId="38" xfId="0" applyFont="1" applyBorder="1"/>
    <xf numFmtId="20" fontId="12" fillId="0" borderId="12" xfId="0" applyNumberFormat="1" applyFont="1" applyBorder="1"/>
    <xf numFmtId="0" fontId="1" fillId="0" borderId="10" xfId="0" applyFont="1" applyBorder="1"/>
    <xf numFmtId="20" fontId="28" fillId="0" borderId="11" xfId="0" applyNumberFormat="1" applyFont="1" applyBorder="1"/>
    <xf numFmtId="0" fontId="1" fillId="0" borderId="3" xfId="0" applyFont="1" applyBorder="1"/>
    <xf numFmtId="0" fontId="13" fillId="0" borderId="4" xfId="0" applyFont="1" applyBorder="1" applyAlignment="1">
      <alignment horizontal="right"/>
    </xf>
    <xf numFmtId="0" fontId="13" fillId="0" borderId="5" xfId="0" applyFont="1" applyBorder="1" applyAlignment="1">
      <alignment horizontal="right"/>
    </xf>
    <xf numFmtId="0" fontId="13" fillId="0" borderId="2" xfId="0" applyFont="1" applyBorder="1" applyAlignment="1">
      <alignment horizontal="right"/>
    </xf>
    <xf numFmtId="2" fontId="12" fillId="0" borderId="4" xfId="0" applyNumberFormat="1" applyFont="1" applyBorder="1" applyAlignment="1">
      <alignment horizontal="right" vertical="center" wrapText="1"/>
    </xf>
    <xf numFmtId="2" fontId="12" fillId="0" borderId="2" xfId="0" applyNumberFormat="1" applyFont="1" applyBorder="1" applyAlignment="1">
      <alignment horizontal="right" vertical="center" wrapText="1"/>
    </xf>
    <xf numFmtId="2" fontId="12" fillId="0" borderId="2" xfId="0" applyNumberFormat="1" applyFont="1" applyBorder="1" applyAlignment="1">
      <alignment horizontal="right"/>
    </xf>
    <xf numFmtId="0" fontId="12" fillId="0" borderId="35" xfId="0" applyFont="1" applyBorder="1"/>
    <xf numFmtId="0" fontId="11" fillId="0" borderId="10" xfId="0" applyFont="1" applyBorder="1" applyAlignment="1">
      <alignment horizontal="left" wrapText="1"/>
    </xf>
    <xf numFmtId="0" fontId="11" fillId="0" borderId="11" xfId="0" applyFont="1" applyBorder="1" applyAlignment="1">
      <alignment horizontal="left"/>
    </xf>
    <xf numFmtId="0" fontId="11" fillId="0" borderId="3" xfId="0" applyFont="1" applyBorder="1" applyAlignment="1">
      <alignment horizontal="left" wrapText="1"/>
    </xf>
    <xf numFmtId="0" fontId="11" fillId="0" borderId="16" xfId="1" applyFont="1" applyBorder="1"/>
    <xf numFmtId="0" fontId="11" fillId="0" borderId="4" xfId="1" applyFont="1" applyBorder="1" applyAlignment="1">
      <alignment horizontal="center"/>
    </xf>
    <xf numFmtId="0" fontId="11" fillId="0" borderId="33" xfId="0" applyFont="1" applyBorder="1" applyAlignment="1">
      <alignment horizontal="center" vertical="center"/>
    </xf>
    <xf numFmtId="164" fontId="11" fillId="0" borderId="4" xfId="1" applyNumberFormat="1" applyFont="1" applyBorder="1"/>
    <xf numFmtId="164" fontId="11" fillId="0" borderId="4" xfId="1" applyNumberFormat="1" applyFont="1" applyBorder="1" applyAlignment="1">
      <alignment horizontal="right"/>
    </xf>
    <xf numFmtId="0" fontId="11" fillId="0" borderId="4" xfId="1" applyFont="1" applyBorder="1" applyAlignment="1">
      <alignment horizontal="right" wrapText="1"/>
    </xf>
    <xf numFmtId="0" fontId="11" fillId="0" borderId="4" xfId="1" applyFont="1" applyBorder="1" applyAlignment="1">
      <alignment horizontal="right"/>
    </xf>
    <xf numFmtId="0" fontId="11" fillId="0" borderId="15" xfId="1" applyFont="1" applyBorder="1" applyAlignment="1">
      <alignment horizontal="center"/>
    </xf>
    <xf numFmtId="0" fontId="11" fillId="0" borderId="37" xfId="1" applyFont="1" applyBorder="1" applyAlignment="1">
      <alignment horizontal="center"/>
    </xf>
    <xf numFmtId="0" fontId="11" fillId="0" borderId="11" xfId="1" applyFont="1" applyBorder="1" applyAlignment="1">
      <alignment horizontal="left" vertical="center"/>
    </xf>
    <xf numFmtId="0" fontId="11" fillId="0" borderId="6" xfId="1" applyFont="1" applyBorder="1" applyAlignment="1">
      <alignment horizontal="left" vertical="center"/>
    </xf>
    <xf numFmtId="0" fontId="11" fillId="0" borderId="37" xfId="1" applyFont="1" applyBorder="1" applyAlignment="1">
      <alignment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5" fillId="0" borderId="12" xfId="1" applyFont="1" applyBorder="1"/>
    <xf numFmtId="0" fontId="5" fillId="0" borderId="10" xfId="1" applyFont="1" applyBorder="1"/>
    <xf numFmtId="0" fontId="5" fillId="0" borderId="9" xfId="1" applyFont="1" applyBorder="1"/>
    <xf numFmtId="0" fontId="5" fillId="0" borderId="4" xfId="1" applyFont="1" applyBorder="1" applyAlignment="1">
      <alignment horizontal="center"/>
    </xf>
    <xf numFmtId="2" fontId="11" fillId="0" borderId="4" xfId="1" applyNumberFormat="1" applyFont="1" applyBorder="1" applyAlignment="1">
      <alignment horizontal="right"/>
    </xf>
    <xf numFmtId="49" fontId="11" fillId="0" borderId="4" xfId="1" applyNumberFormat="1" applyFont="1" applyBorder="1" applyAlignment="1">
      <alignment horizontal="right"/>
    </xf>
    <xf numFmtId="2" fontId="6" fillId="0" borderId="4" xfId="1" applyNumberFormat="1" applyFont="1" applyBorder="1"/>
    <xf numFmtId="0" fontId="11" fillId="0" borderId="15" xfId="1" applyFont="1" applyBorder="1" applyAlignment="1">
      <alignment wrapText="1"/>
    </xf>
    <xf numFmtId="0" fontId="11" fillId="0" borderId="3" xfId="1" applyFont="1" applyBorder="1" applyAlignment="1">
      <alignment wrapText="1"/>
    </xf>
    <xf numFmtId="2" fontId="11" fillId="0" borderId="0" xfId="0" applyNumberFormat="1" applyFont="1"/>
    <xf numFmtId="0" fontId="11" fillId="0" borderId="8" xfId="1" applyFont="1" applyBorder="1" applyAlignment="1">
      <alignment wrapText="1"/>
    </xf>
    <xf numFmtId="0" fontId="5" fillId="0" borderId="16" xfId="1" applyFont="1" applyBorder="1" applyAlignment="1">
      <alignment horizontal="center"/>
    </xf>
    <xf numFmtId="0" fontId="5" fillId="0" borderId="33" xfId="1" applyFont="1" applyBorder="1" applyAlignment="1">
      <alignment horizontal="center"/>
    </xf>
    <xf numFmtId="0" fontId="11" fillId="0" borderId="36" xfId="1" applyFont="1" applyBorder="1"/>
    <xf numFmtId="0" fontId="5" fillId="0" borderId="3" xfId="0" applyFont="1" applyBorder="1" applyAlignment="1">
      <alignment horizontal="center"/>
    </xf>
    <xf numFmtId="0" fontId="5" fillId="0" borderId="16" xfId="0" applyFont="1" applyBorder="1" applyAlignment="1">
      <alignment horizontal="center"/>
    </xf>
    <xf numFmtId="2" fontId="11" fillId="0" borderId="4" xfId="1" applyNumberFormat="1" applyFont="1" applyBorder="1" applyProtection="1">
      <protection locked="0"/>
    </xf>
    <xf numFmtId="2" fontId="11" fillId="0" borderId="4" xfId="1" applyNumberFormat="1" applyFont="1" applyBorder="1" applyAlignment="1" applyProtection="1">
      <alignment horizontal="center" vertical="center" wrapText="1"/>
      <protection locked="0"/>
    </xf>
    <xf numFmtId="2" fontId="11" fillId="0" borderId="4" xfId="0" applyNumberFormat="1" applyFont="1" applyBorder="1" applyAlignment="1">
      <alignment horizontal="center" vertical="center" wrapText="1"/>
    </xf>
    <xf numFmtId="2" fontId="11" fillId="0" borderId="4" xfId="0" applyNumberFormat="1" applyFont="1" applyBorder="1" applyAlignment="1">
      <alignment horizontal="center" wrapText="1"/>
    </xf>
    <xf numFmtId="0" fontId="5" fillId="0" borderId="37" xfId="0" applyFont="1" applyBorder="1" applyAlignment="1">
      <alignment horizontal="center"/>
    </xf>
    <xf numFmtId="0" fontId="5" fillId="0" borderId="0" xfId="0" applyFont="1" applyAlignment="1">
      <alignment horizontal="center"/>
    </xf>
    <xf numFmtId="0" fontId="5" fillId="0" borderId="6" xfId="0" applyFont="1" applyBorder="1" applyAlignment="1">
      <alignment horizontal="center"/>
    </xf>
    <xf numFmtId="49" fontId="11" fillId="0" borderId="4" xfId="0" applyNumberFormat="1" applyFont="1" applyBorder="1" applyAlignment="1">
      <alignment horizontal="center" wrapText="1"/>
    </xf>
    <xf numFmtId="0" fontId="5" fillId="0" borderId="33" xfId="0" applyFont="1" applyBorder="1" applyAlignment="1">
      <alignment horizontal="center" vertical="center"/>
    </xf>
    <xf numFmtId="2" fontId="11" fillId="0" borderId="4" xfId="0" applyNumberFormat="1" applyFont="1" applyBorder="1" applyAlignment="1">
      <alignment wrapText="1"/>
    </xf>
    <xf numFmtId="0" fontId="11" fillId="0" borderId="33" xfId="0" applyFont="1" applyBorder="1" applyAlignment="1">
      <alignment horizontal="left" wrapText="1"/>
    </xf>
    <xf numFmtId="2" fontId="11" fillId="0" borderId="1" xfId="0" applyNumberFormat="1" applyFont="1" applyBorder="1"/>
    <xf numFmtId="0" fontId="5" fillId="0" borderId="37" xfId="0" applyFont="1" applyBorder="1"/>
    <xf numFmtId="0" fontId="11" fillId="0" borderId="11" xfId="0" applyFont="1" applyBorder="1" applyProtection="1">
      <protection locked="0"/>
    </xf>
    <xf numFmtId="0" fontId="11" fillId="0" borderId="6" xfId="0" applyFont="1" applyBorder="1" applyAlignment="1" applyProtection="1">
      <alignment wrapText="1"/>
      <protection locked="0"/>
    </xf>
    <xf numFmtId="2" fontId="26" fillId="0" borderId="41" xfId="1" applyNumberFormat="1" applyFont="1" applyBorder="1" applyProtection="1">
      <protection locked="0"/>
    </xf>
    <xf numFmtId="0" fontId="11" fillId="0" borderId="4" xfId="0" applyFont="1" applyBorder="1" applyAlignment="1">
      <alignment horizontal="center" vertical="center" wrapText="1"/>
    </xf>
    <xf numFmtId="0" fontId="26" fillId="0" borderId="41" xfId="0" applyFont="1" applyBorder="1" applyAlignment="1">
      <alignment wrapText="1"/>
    </xf>
    <xf numFmtId="2" fontId="26" fillId="0" borderId="41" xfId="0" applyNumberFormat="1" applyFont="1" applyBorder="1"/>
    <xf numFmtId="0" fontId="26" fillId="0" borderId="41" xfId="0" applyFont="1" applyBorder="1"/>
    <xf numFmtId="0" fontId="26" fillId="0" borderId="42" xfId="0" applyFont="1" applyBorder="1" applyAlignment="1">
      <alignment horizontal="center"/>
    </xf>
    <xf numFmtId="0" fontId="11" fillId="0" borderId="11" xfId="1" applyFont="1" applyBorder="1" applyAlignment="1">
      <alignment horizontal="left" vertical="top"/>
    </xf>
    <xf numFmtId="0" fontId="11" fillId="0" borderId="6" xfId="1" applyFont="1" applyBorder="1" applyAlignment="1">
      <alignment horizontal="left" vertical="top" wrapText="1"/>
    </xf>
    <xf numFmtId="2" fontId="11" fillId="0" borderId="4" xfId="1" applyNumberFormat="1" applyFont="1" applyBorder="1" applyAlignment="1" applyProtection="1">
      <alignment horizontal="right"/>
      <protection locked="0"/>
    </xf>
    <xf numFmtId="0" fontId="11" fillId="0" borderId="4" xfId="0" applyFont="1" applyBorder="1" applyAlignment="1">
      <alignment horizontal="center" wrapText="1"/>
    </xf>
    <xf numFmtId="0" fontId="5" fillId="0" borderId="15" xfId="0" applyFont="1" applyBorder="1" applyAlignment="1">
      <alignment horizontal="center"/>
    </xf>
    <xf numFmtId="0" fontId="5" fillId="0" borderId="38" xfId="0" applyFont="1" applyBorder="1" applyAlignment="1">
      <alignment horizontal="center"/>
    </xf>
    <xf numFmtId="0" fontId="5" fillId="0" borderId="10" xfId="0" applyFont="1" applyBorder="1" applyAlignment="1">
      <alignment horizontal="center"/>
    </xf>
    <xf numFmtId="0" fontId="11" fillId="0" borderId="12" xfId="0" applyFont="1" applyBorder="1" applyAlignment="1">
      <alignment vertical="top"/>
    </xf>
    <xf numFmtId="0" fontId="11" fillId="0" borderId="0" xfId="0" applyFont="1" applyAlignment="1">
      <alignment vertical="top" wrapText="1"/>
    </xf>
    <xf numFmtId="0" fontId="11" fillId="0" borderId="10" xfId="0" applyFont="1" applyBorder="1" applyAlignment="1">
      <alignment vertical="top" wrapText="1"/>
    </xf>
    <xf numFmtId="0" fontId="6" fillId="0" borderId="11" xfId="0" applyFont="1" applyBorder="1" applyAlignment="1">
      <alignment vertical="top"/>
    </xf>
    <xf numFmtId="0" fontId="11" fillId="0" borderId="6" xfId="0" applyFont="1" applyBorder="1" applyAlignment="1">
      <alignment vertical="top" wrapText="1"/>
    </xf>
    <xf numFmtId="0" fontId="11" fillId="0" borderId="3" xfId="0" applyFont="1" applyBorder="1" applyAlignment="1">
      <alignment vertical="top" wrapText="1"/>
    </xf>
    <xf numFmtId="0" fontId="11" fillId="0" borderId="4" xfId="1" applyFont="1" applyBorder="1" applyAlignment="1" applyProtection="1">
      <alignment horizontal="right"/>
      <protection locked="0"/>
    </xf>
    <xf numFmtId="2" fontId="11" fillId="0" borderId="7" xfId="0" applyNumberFormat="1" applyFont="1" applyBorder="1"/>
    <xf numFmtId="2" fontId="11" fillId="0" borderId="15" xfId="0" applyNumberFormat="1" applyFont="1" applyBorder="1"/>
    <xf numFmtId="0" fontId="11" fillId="0" borderId="11" xfId="0" applyFont="1" applyBorder="1" applyAlignment="1">
      <alignment vertical="center"/>
    </xf>
    <xf numFmtId="0" fontId="11" fillId="0" borderId="6" xfId="0" applyFont="1" applyBorder="1" applyAlignment="1">
      <alignment vertical="center" wrapText="1"/>
    </xf>
    <xf numFmtId="2" fontId="11" fillId="0" borderId="4" xfId="1" applyNumberFormat="1" applyFont="1" applyBorder="1" applyAlignment="1" applyProtection="1">
      <alignment horizontal="right" vertical="center" wrapText="1"/>
      <protection locked="0"/>
    </xf>
    <xf numFmtId="0" fontId="11" fillId="0" borderId="0" xfId="0" applyFont="1" applyAlignment="1">
      <alignment horizontal="left" vertical="center" wrapText="1"/>
    </xf>
    <xf numFmtId="1" fontId="11" fillId="0" borderId="5" xfId="0" applyNumberFormat="1" applyFont="1" applyBorder="1"/>
    <xf numFmtId="1" fontId="11" fillId="0" borderId="2" xfId="0" applyNumberFormat="1" applyFont="1" applyBorder="1"/>
    <xf numFmtId="1" fontId="11" fillId="0" borderId="15" xfId="0" applyNumberFormat="1" applyFont="1" applyBorder="1" applyAlignment="1">
      <alignment horizontal="right"/>
    </xf>
    <xf numFmtId="1" fontId="11" fillId="0" borderId="33" xfId="0" applyNumberFormat="1" applyFont="1" applyBorder="1" applyAlignment="1">
      <alignment horizontal="right"/>
    </xf>
    <xf numFmtId="0" fontId="5" fillId="0" borderId="1" xfId="0" applyFont="1" applyBorder="1" applyAlignment="1">
      <alignment wrapText="1"/>
    </xf>
    <xf numFmtId="0" fontId="5" fillId="0" borderId="2" xfId="0" applyFont="1" applyBorder="1" applyAlignment="1">
      <alignment wrapText="1"/>
    </xf>
    <xf numFmtId="0" fontId="5" fillId="0" borderId="4" xfId="0" applyFont="1" applyBorder="1" applyAlignment="1">
      <alignment wrapText="1"/>
    </xf>
    <xf numFmtId="0" fontId="11" fillId="0" borderId="1" xfId="0" applyFont="1" applyBorder="1" applyAlignment="1">
      <alignment wrapText="1"/>
    </xf>
    <xf numFmtId="0" fontId="5" fillId="0" borderId="4" xfId="0" applyFont="1" applyBorder="1" applyAlignment="1">
      <alignment horizontal="center" wrapText="1"/>
    </xf>
    <xf numFmtId="0" fontId="5" fillId="0" borderId="5" xfId="0" applyFont="1" applyBorder="1" applyAlignment="1">
      <alignment horizontal="center" wrapText="1"/>
    </xf>
    <xf numFmtId="2" fontId="11" fillId="0" borderId="5" xfId="0" applyNumberFormat="1" applyFont="1" applyBorder="1" applyAlignment="1">
      <alignment wrapText="1"/>
    </xf>
    <xf numFmtId="2" fontId="11" fillId="0" borderId="2" xfId="0" applyNumberFormat="1" applyFont="1" applyBorder="1" applyAlignment="1">
      <alignment wrapText="1"/>
    </xf>
    <xf numFmtId="2" fontId="6" fillId="0" borderId="4" xfId="0" applyNumberFormat="1" applyFont="1" applyBorder="1" applyAlignment="1">
      <alignment wrapText="1"/>
    </xf>
    <xf numFmtId="0" fontId="11" fillId="0" borderId="5" xfId="0" applyFont="1" applyBorder="1" applyAlignment="1">
      <alignment wrapText="1"/>
    </xf>
    <xf numFmtId="0" fontId="11" fillId="0" borderId="2" xfId="0" applyFont="1" applyBorder="1" applyAlignment="1">
      <alignment wrapText="1"/>
    </xf>
    <xf numFmtId="0" fontId="11" fillId="0" borderId="7" xfId="0" applyFont="1" applyBorder="1" applyAlignment="1">
      <alignment wrapText="1"/>
    </xf>
    <xf numFmtId="0" fontId="11" fillId="0" borderId="15" xfId="0" applyFont="1" applyBorder="1" applyAlignment="1">
      <alignment wrapText="1"/>
    </xf>
    <xf numFmtId="0" fontId="11" fillId="0" borderId="8" xfId="0" applyFont="1" applyBorder="1" applyAlignment="1">
      <alignment wrapText="1"/>
    </xf>
    <xf numFmtId="0" fontId="11" fillId="0" borderId="9" xfId="0" applyFont="1" applyBorder="1" applyAlignment="1">
      <alignment wrapText="1"/>
    </xf>
    <xf numFmtId="0" fontId="11" fillId="0" borderId="10" xfId="0" applyFont="1" applyBorder="1" applyAlignment="1">
      <alignment wrapText="1"/>
    </xf>
    <xf numFmtId="0" fontId="7" fillId="0" borderId="12" xfId="0" applyFont="1" applyBorder="1" applyAlignment="1">
      <alignment horizontal="left"/>
    </xf>
    <xf numFmtId="0" fontId="7" fillId="0" borderId="0" xfId="0" applyFont="1" applyAlignment="1">
      <alignment horizontal="left" wrapText="1"/>
    </xf>
    <xf numFmtId="0" fontId="7" fillId="0" borderId="0" xfId="0" applyFont="1" applyAlignment="1">
      <alignment wrapText="1"/>
    </xf>
    <xf numFmtId="0" fontId="7" fillId="0" borderId="10" xfId="0" applyFont="1" applyBorder="1" applyAlignment="1">
      <alignment wrapText="1"/>
    </xf>
    <xf numFmtId="0" fontId="11" fillId="0" borderId="6" xfId="0" applyFont="1" applyBorder="1" applyAlignment="1">
      <alignment wrapText="1"/>
    </xf>
    <xf numFmtId="0" fontId="11" fillId="0" borderId="3" xfId="0" applyFont="1" applyBorder="1" applyAlignment="1">
      <alignment wrapText="1"/>
    </xf>
    <xf numFmtId="0" fontId="11" fillId="0" borderId="0" xfId="2" applyFont="1"/>
    <xf numFmtId="0" fontId="5" fillId="0" borderId="5" xfId="1" applyFont="1" applyBorder="1" applyAlignment="1">
      <alignment horizontal="center"/>
    </xf>
    <xf numFmtId="0" fontId="5" fillId="0" borderId="2" xfId="1" applyFont="1" applyBorder="1" applyAlignment="1">
      <alignment horizontal="center"/>
    </xf>
    <xf numFmtId="0" fontId="5" fillId="0" borderId="34" xfId="1" applyFont="1" applyBorder="1" applyAlignment="1">
      <alignment horizontal="center"/>
    </xf>
    <xf numFmtId="1" fontId="11" fillId="0" borderId="33" xfId="0" applyNumberFormat="1" applyFont="1" applyBorder="1"/>
    <xf numFmtId="1" fontId="11" fillId="0" borderId="15" xfId="1" applyNumberFormat="1" applyFont="1" applyBorder="1" applyAlignment="1">
      <alignment horizontal="center"/>
    </xf>
    <xf numFmtId="1" fontId="11" fillId="0" borderId="36" xfId="1" applyNumberFormat="1" applyFont="1" applyBorder="1" applyAlignment="1">
      <alignment horizontal="center"/>
    </xf>
    <xf numFmtId="0" fontId="11" fillId="0" borderId="35" xfId="0" applyFont="1" applyBorder="1" applyAlignment="1">
      <alignment horizontal="left" vertical="center" wrapText="1"/>
    </xf>
    <xf numFmtId="0" fontId="11" fillId="0" borderId="37" xfId="0" applyFont="1" applyBorder="1" applyAlignment="1">
      <alignment vertical="center" wrapText="1"/>
    </xf>
    <xf numFmtId="0" fontId="11" fillId="0" borderId="0" xfId="0" applyFont="1" applyAlignment="1">
      <alignment vertical="center" wrapText="1"/>
    </xf>
    <xf numFmtId="0" fontId="12" fillId="0" borderId="0" xfId="0" applyFont="1" applyAlignment="1">
      <alignment vertical="center"/>
    </xf>
    <xf numFmtId="2" fontId="22" fillId="0" borderId="4" xfId="0" applyNumberFormat="1" applyFont="1" applyBorder="1" applyAlignment="1">
      <alignment horizontal="right" vertical="center"/>
    </xf>
    <xf numFmtId="2" fontId="22" fillId="0" borderId="4" xfId="0" applyNumberFormat="1" applyFont="1" applyBorder="1" applyAlignment="1">
      <alignment vertical="center"/>
    </xf>
    <xf numFmtId="0" fontId="5" fillId="0" borderId="1" xfId="2" applyFont="1" applyBorder="1"/>
    <xf numFmtId="0" fontId="5" fillId="0" borderId="2" xfId="2" applyFont="1" applyBorder="1"/>
    <xf numFmtId="0" fontId="21" fillId="0" borderId="0" xfId="2" applyFont="1"/>
    <xf numFmtId="0" fontId="5" fillId="0" borderId="11" xfId="2" applyFont="1" applyBorder="1"/>
    <xf numFmtId="0" fontId="5" fillId="0" borderId="3" xfId="2" applyFont="1" applyBorder="1"/>
    <xf numFmtId="0" fontId="11" fillId="0" borderId="11" xfId="2" applyFont="1" applyBorder="1"/>
    <xf numFmtId="1" fontId="5" fillId="0" borderId="16" xfId="2" applyNumberFormat="1" applyFont="1" applyBorder="1" applyAlignment="1">
      <alignment horizontal="center" vertical="top"/>
    </xf>
    <xf numFmtId="1" fontId="5" fillId="0" borderId="4" xfId="2" applyNumberFormat="1" applyFont="1" applyBorder="1" applyAlignment="1">
      <alignment horizontal="center" vertical="top"/>
    </xf>
    <xf numFmtId="0" fontId="11" fillId="0" borderId="1" xfId="2" applyFont="1" applyBorder="1"/>
    <xf numFmtId="40" fontId="11" fillId="0" borderId="4" xfId="2" applyNumberFormat="1" applyFont="1" applyBorder="1"/>
    <xf numFmtId="0" fontId="16" fillId="0" borderId="33" xfId="0" applyFont="1" applyBorder="1"/>
    <xf numFmtId="0" fontId="18" fillId="0" borderId="33" xfId="0" applyFont="1" applyBorder="1"/>
    <xf numFmtId="0" fontId="11" fillId="0" borderId="7" xfId="2" applyFont="1" applyBorder="1"/>
    <xf numFmtId="40" fontId="11" fillId="0" borderId="15" xfId="2" applyNumberFormat="1" applyFont="1" applyBorder="1"/>
    <xf numFmtId="165" fontId="11" fillId="0" borderId="15" xfId="2" applyNumberFormat="1" applyFont="1" applyBorder="1"/>
    <xf numFmtId="0" fontId="11" fillId="0" borderId="35" xfId="2" applyFont="1" applyBorder="1"/>
    <xf numFmtId="40" fontId="11" fillId="0" borderId="37" xfId="2" applyNumberFormat="1" applyFont="1" applyBorder="1"/>
    <xf numFmtId="0" fontId="11" fillId="0" borderId="37" xfId="2" applyFont="1" applyBorder="1"/>
    <xf numFmtId="0" fontId="12" fillId="0" borderId="37" xfId="2" applyFont="1" applyBorder="1"/>
    <xf numFmtId="0" fontId="11" fillId="0" borderId="12" xfId="2" applyFont="1" applyBorder="1"/>
    <xf numFmtId="0" fontId="12" fillId="0" borderId="0" xfId="2" applyFont="1"/>
    <xf numFmtId="0" fontId="11" fillId="0" borderId="0" xfId="2" applyFont="1" applyAlignment="1">
      <alignment horizontal="left"/>
    </xf>
    <xf numFmtId="166" fontId="11" fillId="0" borderId="0" xfId="2" applyNumberFormat="1" applyFont="1"/>
    <xf numFmtId="0" fontId="11" fillId="0" borderId="0" xfId="2" applyFont="1" applyAlignment="1">
      <alignment horizontal="center"/>
    </xf>
    <xf numFmtId="2" fontId="11" fillId="0" borderId="0" xfId="2" applyNumberFormat="1" applyFont="1" applyAlignment="1">
      <alignment horizontal="center"/>
    </xf>
    <xf numFmtId="0" fontId="11" fillId="0" borderId="6" xfId="2" applyFont="1" applyBorder="1"/>
    <xf numFmtId="0" fontId="12" fillId="0" borderId="6" xfId="2" applyFont="1" applyBorder="1"/>
    <xf numFmtId="0" fontId="18" fillId="0" borderId="0" xfId="0" applyFont="1"/>
    <xf numFmtId="2" fontId="11" fillId="0" borderId="4" xfId="2" applyNumberFormat="1" applyFont="1" applyBorder="1"/>
    <xf numFmtId="0" fontId="11" fillId="0" borderId="15" xfId="2" applyFont="1" applyBorder="1"/>
    <xf numFmtId="0" fontId="11" fillId="0" borderId="15" xfId="2" applyFont="1" applyBorder="1" applyAlignment="1">
      <alignment horizontal="center"/>
    </xf>
    <xf numFmtId="0" fontId="11" fillId="0" borderId="39" xfId="2" applyFont="1" applyBorder="1"/>
    <xf numFmtId="0" fontId="11" fillId="0" borderId="40" xfId="2" applyFont="1" applyBorder="1"/>
    <xf numFmtId="0" fontId="18" fillId="0" borderId="34" xfId="0" applyFont="1" applyBorder="1"/>
    <xf numFmtId="0" fontId="18" fillId="0" borderId="38" xfId="0" applyFont="1" applyBorder="1"/>
    <xf numFmtId="0" fontId="18" fillId="0" borderId="10" xfId="0" applyFont="1" applyBorder="1"/>
    <xf numFmtId="0" fontId="11" fillId="0" borderId="12" xfId="3" applyFont="1" applyBorder="1" applyAlignment="1">
      <alignment horizontal="left"/>
    </xf>
    <xf numFmtId="0" fontId="21" fillId="0" borderId="0" xfId="2" applyFont="1" applyAlignment="1">
      <alignment horizontal="center"/>
    </xf>
    <xf numFmtId="0" fontId="21" fillId="0" borderId="10" xfId="0" applyFont="1" applyBorder="1"/>
    <xf numFmtId="0" fontId="21" fillId="0" borderId="0" xfId="0" applyFont="1"/>
    <xf numFmtId="164" fontId="21" fillId="0" borderId="0" xfId="2" applyNumberFormat="1" applyFont="1" applyAlignment="1">
      <alignment horizontal="center"/>
    </xf>
    <xf numFmtId="0" fontId="11" fillId="0" borderId="12" xfId="3" applyFont="1" applyBorder="1"/>
    <xf numFmtId="0" fontId="11" fillId="0" borderId="0" xfId="3" applyFont="1"/>
    <xf numFmtId="0" fontId="6" fillId="0" borderId="12" xfId="3" applyFont="1" applyBorder="1"/>
    <xf numFmtId="0" fontId="11" fillId="0" borderId="11" xfId="3" applyFont="1" applyBorder="1"/>
    <xf numFmtId="0" fontId="11" fillId="0" borderId="6" xfId="3" applyFont="1" applyBorder="1"/>
    <xf numFmtId="0" fontId="18" fillId="0" borderId="3" xfId="0" applyFont="1" applyBorder="1"/>
    <xf numFmtId="0" fontId="5" fillId="0" borderId="16" xfId="2" applyFont="1" applyBorder="1" applyAlignment="1">
      <alignment horizontal="center" vertical="top"/>
    </xf>
    <xf numFmtId="0" fontId="5" fillId="0" borderId="4" xfId="2" applyFont="1" applyBorder="1" applyAlignment="1">
      <alignment horizontal="center" vertical="top"/>
    </xf>
    <xf numFmtId="1" fontId="11" fillId="0" borderId="33" xfId="2" applyNumberFormat="1" applyFont="1" applyBorder="1" applyAlignment="1">
      <alignment horizontal="center" vertical="top"/>
    </xf>
    <xf numFmtId="40" fontId="11" fillId="0" borderId="33" xfId="8" applyNumberFormat="1" applyFont="1" applyFill="1" applyBorder="1" applyAlignment="1"/>
    <xf numFmtId="1" fontId="11" fillId="0" borderId="4" xfId="2" applyNumberFormat="1" applyFont="1" applyBorder="1"/>
    <xf numFmtId="4" fontId="11" fillId="0" borderId="33" xfId="8" applyNumberFormat="1" applyFont="1" applyFill="1" applyBorder="1" applyAlignment="1">
      <alignment horizontal="center"/>
    </xf>
    <xf numFmtId="167" fontId="11" fillId="0" borderId="15" xfId="2" applyNumberFormat="1" applyFont="1" applyBorder="1"/>
    <xf numFmtId="1" fontId="11" fillId="0" borderId="15" xfId="2" applyNumberFormat="1" applyFont="1" applyBorder="1"/>
    <xf numFmtId="0" fontId="11" fillId="0" borderId="33" xfId="2" applyFont="1" applyBorder="1"/>
    <xf numFmtId="0" fontId="11" fillId="0" borderId="34" xfId="2" applyFont="1" applyBorder="1"/>
    <xf numFmtId="0" fontId="11" fillId="0" borderId="38" xfId="2" applyFont="1" applyBorder="1"/>
    <xf numFmtId="0" fontId="11" fillId="0" borderId="10" xfId="2" applyFont="1" applyBorder="1"/>
    <xf numFmtId="0" fontId="11" fillId="0" borderId="12" xfId="2" applyFont="1" applyBorder="1" applyAlignment="1">
      <alignment horizontal="left"/>
    </xf>
    <xf numFmtId="164" fontId="11" fillId="0" borderId="0" xfId="2" applyNumberFormat="1" applyFont="1" applyAlignment="1">
      <alignment horizontal="center"/>
    </xf>
    <xf numFmtId="0" fontId="11" fillId="0" borderId="0" xfId="3" applyFont="1" applyAlignment="1">
      <alignment wrapText="1"/>
    </xf>
    <xf numFmtId="0" fontId="6" fillId="0" borderId="11" xfId="3" applyFont="1" applyBorder="1"/>
    <xf numFmtId="0" fontId="11" fillId="0" borderId="6" xfId="3" applyFont="1" applyBorder="1" applyAlignment="1">
      <alignment wrapText="1"/>
    </xf>
    <xf numFmtId="0" fontId="11" fillId="0" borderId="3" xfId="2" applyFont="1" applyBorder="1"/>
    <xf numFmtId="0" fontId="11" fillId="0" borderId="8" xfId="2" applyFont="1" applyBorder="1"/>
    <xf numFmtId="0" fontId="11" fillId="0" borderId="9" xfId="2" applyFont="1" applyBorder="1"/>
    <xf numFmtId="0" fontId="11" fillId="0" borderId="11" xfId="3" applyFont="1" applyBorder="1" applyAlignment="1">
      <alignment horizontal="left"/>
    </xf>
    <xf numFmtId="0" fontId="5" fillId="0" borderId="4" xfId="2" applyFont="1" applyBorder="1"/>
    <xf numFmtId="2" fontId="11" fillId="0" borderId="4" xfId="2" applyNumberFormat="1" applyFont="1" applyBorder="1" applyAlignment="1">
      <alignment horizontal="right"/>
    </xf>
    <xf numFmtId="0" fontId="16" fillId="0" borderId="34" xfId="0" applyFont="1" applyBorder="1"/>
    <xf numFmtId="0" fontId="11" fillId="0" borderId="6" xfId="2" applyFont="1" applyBorder="1" applyAlignment="1">
      <alignment horizontal="center"/>
    </xf>
    <xf numFmtId="0" fontId="20" fillId="0" borderId="6" xfId="0" applyFont="1" applyBorder="1"/>
    <xf numFmtId="0" fontId="20" fillId="0" borderId="3" xfId="0" applyFont="1" applyBorder="1"/>
    <xf numFmtId="0" fontId="20" fillId="0" borderId="0" xfId="0" applyFont="1"/>
    <xf numFmtId="0" fontId="5" fillId="0" borderId="7" xfId="2" applyFont="1" applyBorder="1"/>
    <xf numFmtId="0" fontId="11" fillId="0" borderId="4" xfId="2" applyFont="1" applyBorder="1"/>
    <xf numFmtId="1" fontId="5" fillId="0" borderId="2" xfId="2" applyNumberFormat="1" applyFont="1" applyBorder="1" applyAlignment="1">
      <alignment horizontal="center" vertical="top"/>
    </xf>
    <xf numFmtId="1" fontId="5" fillId="0" borderId="13" xfId="2" applyNumberFormat="1" applyFont="1" applyBorder="1" applyAlignment="1">
      <alignment horizontal="center" vertical="top"/>
    </xf>
    <xf numFmtId="2" fontId="11" fillId="0" borderId="2" xfId="2" applyNumberFormat="1" applyFont="1" applyBorder="1" applyAlignment="1">
      <alignment horizontal="right"/>
    </xf>
    <xf numFmtId="2" fontId="11" fillId="0" borderId="2" xfId="2" applyNumberFormat="1" applyFont="1" applyBorder="1"/>
    <xf numFmtId="0" fontId="11" fillId="0" borderId="10" xfId="2" applyFont="1" applyBorder="1" applyAlignment="1">
      <alignment horizontal="left"/>
    </xf>
    <xf numFmtId="0" fontId="6" fillId="0" borderId="11" xfId="2" applyFont="1" applyBorder="1" applyAlignment="1">
      <alignment horizontal="left"/>
    </xf>
    <xf numFmtId="0" fontId="11" fillId="0" borderId="6" xfId="2" applyFont="1" applyBorder="1" applyAlignment="1">
      <alignment horizontal="left"/>
    </xf>
    <xf numFmtId="0" fontId="11" fillId="0" borderId="3" xfId="2" applyFont="1" applyBorder="1" applyAlignment="1">
      <alignment horizontal="left"/>
    </xf>
    <xf numFmtId="2" fontId="11" fillId="0" borderId="5" xfId="2" applyNumberFormat="1" applyFont="1" applyBorder="1"/>
    <xf numFmtId="40" fontId="11" fillId="0" borderId="9" xfId="2" applyNumberFormat="1" applyFont="1" applyBorder="1"/>
    <xf numFmtId="0" fontId="11" fillId="0" borderId="5" xfId="2" applyFont="1" applyBorder="1"/>
    <xf numFmtId="0" fontId="6" fillId="0" borderId="11" xfId="2" applyFont="1" applyBorder="1"/>
    <xf numFmtId="164" fontId="11" fillId="0" borderId="6" xfId="2" applyNumberFormat="1" applyFont="1" applyBorder="1" applyAlignment="1">
      <alignment horizontal="center"/>
    </xf>
    <xf numFmtId="40" fontId="11" fillId="0" borderId="8" xfId="2" applyNumberFormat="1" applyFont="1" applyBorder="1"/>
    <xf numFmtId="0" fontId="6" fillId="0" borderId="12" xfId="2" applyFont="1" applyBorder="1"/>
    <xf numFmtId="0" fontId="11" fillId="0" borderId="2" xfId="2" applyFont="1" applyBorder="1"/>
    <xf numFmtId="0" fontId="6" fillId="0" borderId="12" xfId="0" applyFont="1" applyBorder="1" applyAlignment="1">
      <alignment horizontal="left" vertical="center"/>
    </xf>
    <xf numFmtId="0" fontId="6" fillId="0" borderId="11" xfId="0" applyFont="1" applyBorder="1" applyAlignment="1">
      <alignment horizontal="left" vertical="center"/>
    </xf>
    <xf numFmtId="0" fontId="11" fillId="0" borderId="0" xfId="0" applyFont="1" applyAlignment="1">
      <alignment horizontal="left" vertical="center"/>
    </xf>
    <xf numFmtId="1" fontId="11" fillId="0" borderId="4" xfId="2" applyNumberFormat="1" applyFont="1" applyBorder="1" applyAlignment="1">
      <alignment horizontal="center" vertical="top"/>
    </xf>
    <xf numFmtId="1" fontId="11" fillId="0" borderId="1" xfId="2" applyNumberFormat="1" applyFont="1" applyBorder="1" applyAlignment="1">
      <alignment horizontal="center" vertical="top"/>
    </xf>
    <xf numFmtId="40" fontId="11" fillId="0" borderId="1" xfId="2" applyNumberFormat="1" applyFont="1" applyBorder="1"/>
    <xf numFmtId="40" fontId="11" fillId="0" borderId="7" xfId="2" applyNumberFormat="1" applyFont="1" applyBorder="1"/>
    <xf numFmtId="0" fontId="20" fillId="0" borderId="2" xfId="0" applyFont="1" applyBorder="1"/>
    <xf numFmtId="164" fontId="11" fillId="0" borderId="4" xfId="1" applyNumberFormat="1" applyFont="1" applyBorder="1" applyAlignment="1">
      <alignment horizontal="right" vertical="center"/>
    </xf>
    <xf numFmtId="0" fontId="11" fillId="0" borderId="9" xfId="1" applyFont="1" applyBorder="1" applyAlignment="1">
      <alignment horizontal="center"/>
    </xf>
    <xf numFmtId="0" fontId="11" fillId="0" borderId="39" xfId="1" applyFont="1" applyBorder="1" applyAlignment="1">
      <alignment horizontal="left"/>
    </xf>
    <xf numFmtId="0" fontId="11" fillId="0" borderId="40" xfId="1" applyFont="1" applyBorder="1" applyAlignment="1">
      <alignment horizontal="left"/>
    </xf>
    <xf numFmtId="2" fontId="11" fillId="0" borderId="4" xfId="1" applyNumberFormat="1" applyFont="1" applyBorder="1" applyAlignment="1">
      <alignment vertical="center" wrapText="1"/>
    </xf>
    <xf numFmtId="0" fontId="11" fillId="0" borderId="37" xfId="0" applyFont="1" applyBorder="1" applyAlignment="1">
      <alignment horizontal="center"/>
    </xf>
    <xf numFmtId="0" fontId="6" fillId="0" borderId="11" xfId="1" applyFont="1" applyBorder="1" applyAlignment="1">
      <alignment horizontal="left"/>
    </xf>
    <xf numFmtId="0" fontId="24" fillId="0" borderId="33" xfId="1" applyFont="1" applyBorder="1" applyAlignment="1">
      <alignment horizontal="center"/>
    </xf>
    <xf numFmtId="2" fontId="7" fillId="0" borderId="33" xfId="0" applyNumberFormat="1" applyFont="1" applyBorder="1"/>
    <xf numFmtId="0" fontId="7" fillId="0" borderId="33" xfId="0" applyFont="1" applyBorder="1" applyAlignment="1">
      <alignment horizontal="right"/>
    </xf>
    <xf numFmtId="0" fontId="7" fillId="0" borderId="33" xfId="0" applyFont="1" applyBorder="1" applyAlignment="1">
      <alignment horizontal="center"/>
    </xf>
    <xf numFmtId="0" fontId="11" fillId="0" borderId="0" xfId="1" applyFont="1" applyAlignment="1">
      <alignment horizontal="center"/>
    </xf>
    <xf numFmtId="0" fontId="11" fillId="0" borderId="0" xfId="0" applyFont="1" applyAlignment="1">
      <alignment horizontal="center"/>
    </xf>
    <xf numFmtId="0" fontId="24" fillId="0" borderId="33" xfId="0" applyFont="1" applyBorder="1" applyAlignment="1">
      <alignment horizontal="center"/>
    </xf>
    <xf numFmtId="0" fontId="7" fillId="0" borderId="33" xfId="1" applyFont="1" applyBorder="1" applyAlignment="1">
      <alignment horizontal="right"/>
    </xf>
    <xf numFmtId="0" fontId="7" fillId="0" borderId="36" xfId="0" applyFont="1" applyBorder="1" applyAlignment="1">
      <alignment horizontal="center"/>
    </xf>
    <xf numFmtId="0" fontId="7" fillId="0" borderId="33" xfId="0" applyFont="1" applyBorder="1" applyAlignment="1">
      <alignment wrapText="1"/>
    </xf>
    <xf numFmtId="2" fontId="11" fillId="0" borderId="4" xfId="1" applyNumberFormat="1" applyFont="1" applyBorder="1" applyAlignment="1">
      <alignment horizontal="right" wrapText="1"/>
    </xf>
    <xf numFmtId="2" fontId="7" fillId="0" borderId="33" xfId="1" applyNumberFormat="1" applyFont="1" applyBorder="1"/>
    <xf numFmtId="2" fontId="7" fillId="0" borderId="33" xfId="1" applyNumberFormat="1" applyFont="1" applyBorder="1" applyAlignment="1">
      <alignment horizontal="right"/>
    </xf>
    <xf numFmtId="2" fontId="11" fillId="0" borderId="4" xfId="0" applyNumberFormat="1" applyFont="1" applyBorder="1" applyAlignment="1">
      <alignment horizontal="center" vertical="center"/>
    </xf>
    <xf numFmtId="2" fontId="11" fillId="0" borderId="2" xfId="0" applyNumberFormat="1" applyFont="1" applyBorder="1" applyAlignment="1">
      <alignment horizontal="center" vertical="center"/>
    </xf>
    <xf numFmtId="1" fontId="11" fillId="0" borderId="15" xfId="0" applyNumberFormat="1" applyFont="1" applyBorder="1" applyAlignment="1">
      <alignment horizontal="center"/>
    </xf>
    <xf numFmtId="0" fontId="25" fillId="0" borderId="41" xfId="0" applyFont="1" applyBorder="1" applyAlignment="1">
      <alignment horizontal="center"/>
    </xf>
    <xf numFmtId="2" fontId="26" fillId="0" borderId="43" xfId="0" applyNumberFormat="1" applyFont="1" applyBorder="1" applyAlignment="1">
      <alignment horizontal="right"/>
    </xf>
    <xf numFmtId="0" fontId="26" fillId="0" borderId="44" xfId="0" applyFont="1" applyBorder="1" applyAlignment="1">
      <alignment horizontal="center"/>
    </xf>
    <xf numFmtId="0" fontId="1" fillId="0" borderId="40" xfId="0" applyFont="1" applyBorder="1"/>
    <xf numFmtId="0" fontId="1" fillId="0" borderId="37" xfId="0" applyFont="1" applyBorder="1"/>
    <xf numFmtId="0" fontId="11" fillId="0" borderId="12" xfId="0" applyFont="1" applyBorder="1" applyAlignment="1">
      <alignment horizontal="left" vertical="center"/>
    </xf>
    <xf numFmtId="0" fontId="11" fillId="0" borderId="6" xfId="0" applyFont="1" applyBorder="1" applyAlignment="1">
      <alignment horizontal="left" vertical="center" wrapText="1"/>
    </xf>
    <xf numFmtId="2" fontId="11" fillId="0" borderId="43" xfId="0" applyNumberFormat="1" applyFont="1" applyBorder="1" applyAlignment="1">
      <alignment horizontal="right"/>
    </xf>
    <xf numFmtId="0" fontId="25" fillId="0" borderId="31" xfId="0" applyFont="1" applyBorder="1" applyAlignment="1">
      <alignment horizontal="center"/>
    </xf>
    <xf numFmtId="2" fontId="11" fillId="0" borderId="4" xfId="0" applyNumberFormat="1" applyFont="1" applyBorder="1" applyAlignment="1">
      <alignment horizontal="center"/>
    </xf>
    <xf numFmtId="2" fontId="11" fillId="0" borderId="32" xfId="0" applyNumberFormat="1" applyFont="1" applyBorder="1"/>
    <xf numFmtId="1" fontId="11" fillId="0" borderId="32" xfId="0" applyNumberFormat="1" applyFont="1" applyBorder="1"/>
    <xf numFmtId="0" fontId="5" fillId="0" borderId="16" xfId="0" applyFont="1" applyBorder="1"/>
    <xf numFmtId="2" fontId="26" fillId="0" borderId="43" xfId="0" applyNumberFormat="1" applyFont="1" applyBorder="1"/>
    <xf numFmtId="0" fontId="26" fillId="0" borderId="44" xfId="0" applyFont="1" applyBorder="1"/>
    <xf numFmtId="0" fontId="11" fillId="0" borderId="35" xfId="0" applyFont="1" applyBorder="1" applyAlignment="1">
      <alignment vertical="center"/>
    </xf>
    <xf numFmtId="0" fontId="5" fillId="0" borderId="2" xfId="0" applyFont="1" applyBorder="1" applyAlignment="1">
      <alignment horizontal="left"/>
    </xf>
    <xf numFmtId="0" fontId="5" fillId="0" borderId="1" xfId="0" applyFont="1" applyBorder="1" applyAlignment="1">
      <alignment horizontal="center"/>
    </xf>
    <xf numFmtId="0" fontId="11" fillId="0" borderId="7" xfId="0" applyFont="1" applyBorder="1" applyAlignment="1">
      <alignment horizontal="center"/>
    </xf>
    <xf numFmtId="0" fontId="15" fillId="0" borderId="0" xfId="0" applyFont="1"/>
    <xf numFmtId="2" fontId="11" fillId="0" borderId="1" xfId="0" applyNumberFormat="1" applyFont="1" applyBorder="1" applyAlignment="1">
      <alignment horizontal="right" vertical="center" wrapText="1"/>
    </xf>
    <xf numFmtId="2" fontId="11" fillId="0" borderId="1" xfId="0" applyNumberFormat="1" applyFont="1" applyBorder="1" applyAlignment="1">
      <alignment horizontal="right"/>
    </xf>
    <xf numFmtId="1" fontId="11" fillId="0" borderId="33" xfId="0" applyNumberFormat="1" applyFont="1" applyBorder="1" applyAlignment="1">
      <alignment horizontal="center"/>
    </xf>
    <xf numFmtId="2" fontId="11" fillId="0" borderId="4" xfId="1" quotePrefix="1" applyNumberFormat="1" applyFont="1" applyBorder="1" applyAlignment="1">
      <alignment horizontal="right"/>
    </xf>
    <xf numFmtId="2" fontId="11" fillId="0" borderId="4" xfId="1" quotePrefix="1" applyNumberFormat="1" applyFont="1" applyBorder="1" applyAlignment="1">
      <alignment horizontal="right" wrapText="1"/>
    </xf>
    <xf numFmtId="0" fontId="11" fillId="0" borderId="40" xfId="1" applyFont="1" applyBorder="1"/>
    <xf numFmtId="0" fontId="25" fillId="0" borderId="33" xfId="1" applyFont="1" applyBorder="1" applyAlignment="1">
      <alignment horizontal="center"/>
    </xf>
    <xf numFmtId="0" fontId="11" fillId="0" borderId="30" xfId="0" applyFont="1" applyBorder="1"/>
    <xf numFmtId="0" fontId="26" fillId="0" borderId="30" xfId="0" applyFont="1" applyBorder="1"/>
    <xf numFmtId="2" fontId="26" fillId="0" borderId="33" xfId="1" applyNumberFormat="1" applyFont="1" applyBorder="1"/>
    <xf numFmtId="0" fontId="26" fillId="0" borderId="33" xfId="1" applyFont="1" applyBorder="1"/>
    <xf numFmtId="49" fontId="11" fillId="0" borderId="4" xfId="1" applyNumberFormat="1" applyFont="1" applyBorder="1" applyAlignment="1">
      <alignment horizontal="center" wrapText="1"/>
    </xf>
    <xf numFmtId="0" fontId="11" fillId="0" borderId="6" xfId="0" applyFont="1" applyBorder="1" applyAlignment="1">
      <alignment horizontal="center"/>
    </xf>
    <xf numFmtId="2" fontId="11" fillId="0" borderId="13" xfId="0" applyNumberFormat="1" applyFont="1" applyBorder="1" applyAlignment="1">
      <alignment horizontal="right"/>
    </xf>
    <xf numFmtId="2" fontId="11" fillId="0" borderId="37" xfId="0" applyNumberFormat="1" applyFont="1" applyBorder="1"/>
    <xf numFmtId="0" fontId="6" fillId="0" borderId="11" xfId="0" applyFont="1" applyBorder="1" applyAlignment="1">
      <alignment vertical="center"/>
    </xf>
    <xf numFmtId="2" fontId="22" fillId="0" borderId="4" xfId="0" applyNumberFormat="1" applyFont="1" applyBorder="1"/>
    <xf numFmtId="2" fontId="22" fillId="0" borderId="4" xfId="0" applyNumberFormat="1" applyFont="1" applyBorder="1" applyAlignment="1">
      <alignment horizontal="right"/>
    </xf>
    <xf numFmtId="0" fontId="5" fillId="0" borderId="33" xfId="0" applyFont="1" applyBorder="1" applyAlignment="1">
      <alignment horizontal="center"/>
    </xf>
    <xf numFmtId="0" fontId="11" fillId="0" borderId="10" xfId="0" applyFont="1" applyBorder="1" applyAlignment="1">
      <alignment horizontal="left"/>
    </xf>
    <xf numFmtId="0" fontId="11" fillId="0" borderId="3" xfId="0" applyFont="1" applyBorder="1" applyAlignment="1">
      <alignment horizontal="left"/>
    </xf>
    <xf numFmtId="49" fontId="11" fillId="0" borderId="4" xfId="0" applyNumberFormat="1" applyFont="1" applyBorder="1" applyAlignment="1">
      <alignment horizontal="center"/>
    </xf>
    <xf numFmtId="0" fontId="11" fillId="0" borderId="7" xfId="1" applyFont="1" applyBorder="1" applyAlignment="1">
      <alignment horizontal="left" vertical="top"/>
    </xf>
    <xf numFmtId="0" fontId="11" fillId="0" borderId="8" xfId="1" applyFont="1" applyBorder="1" applyAlignment="1">
      <alignment horizontal="left" vertical="top"/>
    </xf>
    <xf numFmtId="0" fontId="11" fillId="0" borderId="9" xfId="1" applyFont="1" applyBorder="1" applyAlignment="1">
      <alignment horizontal="left" vertical="top"/>
    </xf>
    <xf numFmtId="0" fontId="11" fillId="0" borderId="12" xfId="1" applyFont="1" applyBorder="1" applyAlignment="1">
      <alignment horizontal="left" vertical="top"/>
    </xf>
    <xf numFmtId="0" fontId="11" fillId="0" borderId="0" xfId="1" applyFont="1" applyAlignment="1">
      <alignment horizontal="left" vertical="top"/>
    </xf>
    <xf numFmtId="0" fontId="11" fillId="0" borderId="10" xfId="1" applyFont="1" applyBorder="1" applyAlignment="1">
      <alignment horizontal="left" vertical="top"/>
    </xf>
    <xf numFmtId="2" fontId="11" fillId="0" borderId="33" xfId="0" applyNumberFormat="1" applyFont="1" applyBorder="1" applyAlignment="1">
      <alignment horizontal="right"/>
    </xf>
    <xf numFmtId="0" fontId="11" fillId="0" borderId="33" xfId="0" quotePrefix="1" applyFont="1" applyBorder="1" applyAlignment="1">
      <alignment horizontal="center"/>
    </xf>
    <xf numFmtId="0" fontId="11" fillId="0" borderId="33" xfId="0" applyFont="1" applyBorder="1" applyAlignment="1">
      <alignment horizontal="left"/>
    </xf>
    <xf numFmtId="0" fontId="11" fillId="0" borderId="38" xfId="0" applyFont="1" applyBorder="1" applyAlignment="1">
      <alignment horizontal="left"/>
    </xf>
    <xf numFmtId="1" fontId="5" fillId="0" borderId="4" xfId="0" applyNumberFormat="1" applyFont="1" applyBorder="1" applyAlignment="1">
      <alignment horizontal="center"/>
    </xf>
    <xf numFmtId="1" fontId="5" fillId="0" borderId="5" xfId="0" applyNumberFormat="1" applyFont="1" applyBorder="1" applyAlignment="1">
      <alignment horizontal="center"/>
    </xf>
    <xf numFmtId="1" fontId="5" fillId="0" borderId="2" xfId="0" applyNumberFormat="1" applyFont="1" applyBorder="1" applyAlignment="1">
      <alignment horizontal="center"/>
    </xf>
    <xf numFmtId="49" fontId="11" fillId="0" borderId="2" xfId="0" applyNumberFormat="1" applyFont="1" applyBorder="1" applyAlignment="1">
      <alignment horizontal="center"/>
    </xf>
    <xf numFmtId="0" fontId="5" fillId="0" borderId="9" xfId="0" applyFont="1" applyBorder="1" applyAlignment="1">
      <alignment horizontal="left"/>
    </xf>
    <xf numFmtId="0" fontId="5" fillId="0" borderId="15" xfId="0" applyFont="1" applyBorder="1"/>
    <xf numFmtId="0" fontId="11" fillId="0" borderId="7" xfId="0" applyFont="1" applyBorder="1" applyAlignment="1">
      <alignment horizontal="left"/>
    </xf>
    <xf numFmtId="0" fontId="5" fillId="0" borderId="8" xfId="0" applyFont="1" applyBorder="1"/>
    <xf numFmtId="0" fontId="5" fillId="0" borderId="8" xfId="0" applyFont="1" applyBorder="1" applyAlignment="1">
      <alignment horizontal="right"/>
    </xf>
    <xf numFmtId="0" fontId="5" fillId="0" borderId="0" xfId="0" applyFont="1" applyAlignment="1">
      <alignment horizontal="right"/>
    </xf>
    <xf numFmtId="0" fontId="5" fillId="0" borderId="6" xfId="0" applyFont="1" applyBorder="1" applyAlignment="1">
      <alignment horizontal="right"/>
    </xf>
    <xf numFmtId="0" fontId="11" fillId="0" borderId="10" xfId="0" applyFont="1" applyBorder="1" applyAlignment="1">
      <alignment horizontal="center"/>
    </xf>
    <xf numFmtId="0" fontId="11" fillId="0" borderId="3" xfId="0" applyFont="1" applyBorder="1" applyAlignment="1">
      <alignment horizontal="center"/>
    </xf>
    <xf numFmtId="0" fontId="5" fillId="0" borderId="2" xfId="0" applyFont="1" applyBorder="1" applyAlignment="1">
      <alignment horizontal="center" vertical="top" wrapText="1"/>
    </xf>
    <xf numFmtId="0" fontId="5" fillId="0" borderId="13" xfId="0" applyFont="1" applyBorder="1" applyAlignment="1">
      <alignment horizontal="center" vertical="top" wrapText="1"/>
    </xf>
    <xf numFmtId="2" fontId="11" fillId="0" borderId="14" xfId="0" applyNumberFormat="1" applyFont="1" applyBorder="1"/>
    <xf numFmtId="2" fontId="5" fillId="0" borderId="2" xfId="0" applyNumberFormat="1" applyFont="1" applyBorder="1"/>
    <xf numFmtId="0" fontId="6" fillId="0" borderId="6" xfId="0" applyFont="1" applyBorder="1" applyAlignment="1">
      <alignment horizontal="left" wrapText="1"/>
    </xf>
    <xf numFmtId="0" fontId="5" fillId="0" borderId="17" xfId="4" applyFont="1" applyBorder="1"/>
    <xf numFmtId="0" fontId="5" fillId="0" borderId="18" xfId="4" applyFont="1" applyBorder="1"/>
    <xf numFmtId="0" fontId="11" fillId="0" borderId="0" xfId="4" applyFont="1"/>
    <xf numFmtId="0" fontId="5" fillId="0" borderId="20" xfId="4" applyFont="1" applyBorder="1"/>
    <xf numFmtId="0" fontId="5" fillId="0" borderId="4" xfId="4" applyFont="1" applyBorder="1"/>
    <xf numFmtId="0" fontId="11" fillId="0" borderId="17" xfId="4" applyFont="1" applyBorder="1"/>
    <xf numFmtId="0" fontId="11" fillId="0" borderId="19" xfId="4" applyFont="1" applyBorder="1"/>
    <xf numFmtId="0" fontId="5" fillId="0" borderId="26" xfId="4" applyFont="1" applyBorder="1" applyAlignment="1">
      <alignment horizontal="center"/>
    </xf>
    <xf numFmtId="0" fontId="5" fillId="0" borderId="18" xfId="4" applyFont="1" applyBorder="1" applyAlignment="1">
      <alignment horizontal="center"/>
    </xf>
    <xf numFmtId="2" fontId="11" fillId="0" borderId="19" xfId="4" applyNumberFormat="1" applyFont="1" applyBorder="1" applyAlignment="1">
      <alignment horizontal="right"/>
    </xf>
    <xf numFmtId="2" fontId="11" fillId="0" borderId="19" xfId="4" applyNumberFormat="1" applyFont="1" applyBorder="1" applyAlignment="1">
      <alignment horizontal="left"/>
    </xf>
    <xf numFmtId="2" fontId="11" fillId="0" borderId="19" xfId="4" applyNumberFormat="1" applyFont="1" applyBorder="1"/>
    <xf numFmtId="2" fontId="11" fillId="0" borderId="22" xfId="4" applyNumberFormat="1" applyFont="1" applyBorder="1" applyAlignment="1">
      <alignment horizontal="center"/>
    </xf>
    <xf numFmtId="2" fontId="11" fillId="0" borderId="22" xfId="4" applyNumberFormat="1" applyFont="1" applyBorder="1"/>
    <xf numFmtId="0" fontId="11" fillId="0" borderId="27" xfId="4" applyFont="1" applyBorder="1"/>
    <xf numFmtId="0" fontId="11" fillId="0" borderId="28" xfId="4" applyFont="1" applyBorder="1"/>
    <xf numFmtId="0" fontId="11" fillId="0" borderId="28" xfId="4" applyFont="1" applyBorder="1" applyAlignment="1">
      <alignment horizontal="center"/>
    </xf>
    <xf numFmtId="0" fontId="11" fillId="0" borderId="23" xfId="4" applyFont="1" applyBorder="1" applyAlignment="1">
      <alignment horizontal="center"/>
    </xf>
    <xf numFmtId="0" fontId="11" fillId="0" borderId="7" xfId="4" applyFont="1" applyBorder="1"/>
    <xf numFmtId="0" fontId="11" fillId="0" borderId="8" xfId="4" applyFont="1" applyBorder="1"/>
    <xf numFmtId="0" fontId="11" fillId="0" borderId="8" xfId="4" applyFont="1" applyBorder="1" applyAlignment="1">
      <alignment horizontal="center"/>
    </xf>
    <xf numFmtId="0" fontId="11" fillId="0" borderId="9" xfId="4" applyFont="1" applyBorder="1" applyAlignment="1">
      <alignment horizontal="center"/>
    </xf>
    <xf numFmtId="0" fontId="11" fillId="0" borderId="11" xfId="4" applyFont="1" applyBorder="1"/>
    <xf numFmtId="0" fontId="11" fillId="0" borderId="6" xfId="4" applyFont="1" applyBorder="1"/>
    <xf numFmtId="0" fontId="11" fillId="0" borderId="6" xfId="4" applyFont="1" applyBorder="1" applyAlignment="1">
      <alignment horizontal="center"/>
    </xf>
    <xf numFmtId="0" fontId="11" fillId="0" borderId="3" xfId="4" applyFont="1" applyBorder="1" applyAlignment="1">
      <alignment horizontal="center"/>
    </xf>
    <xf numFmtId="2" fontId="11" fillId="0" borderId="19" xfId="4" applyNumberFormat="1" applyFont="1" applyBorder="1" applyAlignment="1">
      <alignment horizontal="center"/>
    </xf>
    <xf numFmtId="0" fontId="11" fillId="0" borderId="1" xfId="4" applyFont="1" applyBorder="1"/>
    <xf numFmtId="0" fontId="11" fillId="0" borderId="5" xfId="4" applyFont="1" applyBorder="1"/>
    <xf numFmtId="0" fontId="11" fillId="0" borderId="5" xfId="4" applyFont="1" applyBorder="1" applyAlignment="1">
      <alignment horizontal="center"/>
    </xf>
    <xf numFmtId="0" fontId="11" fillId="0" borderId="2" xfId="4" applyFont="1" applyBorder="1" applyAlignment="1">
      <alignment horizontal="center"/>
    </xf>
    <xf numFmtId="0" fontId="6" fillId="0" borderId="0" xfId="4" applyFont="1"/>
    <xf numFmtId="0" fontId="5" fillId="0" borderId="19" xfId="4" applyFont="1" applyBorder="1" applyAlignment="1">
      <alignment horizontal="center"/>
    </xf>
    <xf numFmtId="2" fontId="11" fillId="0" borderId="19" xfId="0" applyNumberFormat="1" applyFont="1" applyBorder="1"/>
    <xf numFmtId="0" fontId="11" fillId="0" borderId="19" xfId="0" applyFont="1" applyBorder="1"/>
    <xf numFmtId="0" fontId="11" fillId="0" borderId="28" xfId="0" applyFont="1" applyBorder="1" applyAlignment="1">
      <alignment horizontal="center"/>
    </xf>
    <xf numFmtId="0" fontId="11" fillId="0" borderId="35" xfId="4" applyFont="1" applyBorder="1"/>
    <xf numFmtId="0" fontId="11" fillId="0" borderId="37" xfId="4" applyFont="1" applyBorder="1" applyAlignment="1">
      <alignment wrapText="1"/>
    </xf>
    <xf numFmtId="0" fontId="11" fillId="0" borderId="12" xfId="4" applyFont="1" applyBorder="1"/>
    <xf numFmtId="0" fontId="11" fillId="0" borderId="0" xfId="4" applyFont="1" applyAlignment="1">
      <alignment wrapText="1"/>
    </xf>
    <xf numFmtId="0" fontId="11" fillId="0" borderId="12" xfId="4" applyFont="1" applyBorder="1" applyAlignment="1">
      <alignment horizontal="left"/>
    </xf>
    <xf numFmtId="0" fontId="11" fillId="0" borderId="0" xfId="4" applyFont="1" applyAlignment="1">
      <alignment horizontal="left" wrapText="1"/>
    </xf>
    <xf numFmtId="0" fontId="6" fillId="0" borderId="11" xfId="4" applyFont="1" applyBorder="1"/>
    <xf numFmtId="0" fontId="11" fillId="0" borderId="6" xfId="4" applyFont="1" applyBorder="1" applyAlignment="1">
      <alignment wrapText="1"/>
    </xf>
    <xf numFmtId="0" fontId="11" fillId="0" borderId="6" xfId="4" applyFont="1" applyBorder="1" applyAlignment="1">
      <alignment horizontal="left" wrapText="1"/>
    </xf>
    <xf numFmtId="2" fontId="11" fillId="0" borderId="19" xfId="4" quotePrefix="1" applyNumberFormat="1" applyFont="1" applyBorder="1"/>
    <xf numFmtId="0" fontId="11" fillId="0" borderId="37" xfId="4" applyFont="1" applyBorder="1"/>
    <xf numFmtId="0" fontId="11" fillId="0" borderId="37" xfId="4" applyFont="1" applyBorder="1" applyAlignment="1">
      <alignment horizontal="center"/>
    </xf>
    <xf numFmtId="0" fontId="11" fillId="0" borderId="0" xfId="4" applyFont="1" applyAlignment="1">
      <alignment horizontal="center"/>
    </xf>
    <xf numFmtId="2" fontId="11" fillId="0" borderId="19" xfId="4" applyNumberFormat="1" applyFont="1" applyBorder="1" applyAlignment="1">
      <alignment wrapText="1"/>
    </xf>
    <xf numFmtId="0" fontId="5" fillId="0" borderId="20" xfId="4" applyFont="1" applyBorder="1" applyAlignment="1">
      <alignment horizontal="center"/>
    </xf>
    <xf numFmtId="0" fontId="5" fillId="0" borderId="4" xfId="4" applyFont="1" applyBorder="1" applyAlignment="1">
      <alignment horizontal="center"/>
    </xf>
    <xf numFmtId="2" fontId="11" fillId="0" borderId="20" xfId="4" applyNumberFormat="1" applyFont="1" applyBorder="1"/>
    <xf numFmtId="2" fontId="11" fillId="0" borderId="4" xfId="4" applyNumberFormat="1" applyFont="1" applyBorder="1"/>
    <xf numFmtId="2" fontId="7" fillId="0" borderId="19" xfId="0" applyNumberFormat="1" applyFont="1" applyBorder="1"/>
    <xf numFmtId="0" fontId="11" fillId="0" borderId="29" xfId="4" applyFont="1" applyBorder="1" applyAlignment="1">
      <alignment horizontal="center"/>
    </xf>
    <xf numFmtId="0" fontId="11" fillId="0" borderId="15" xfId="4" applyFont="1" applyBorder="1" applyAlignment="1">
      <alignment horizontal="center"/>
    </xf>
    <xf numFmtId="0" fontId="11" fillId="0" borderId="4" xfId="4" applyFont="1" applyBorder="1" applyAlignment="1">
      <alignment horizontal="center"/>
    </xf>
    <xf numFmtId="0" fontId="11" fillId="0" borderId="39" xfId="4" applyFont="1" applyBorder="1"/>
    <xf numFmtId="0" fontId="11" fillId="0" borderId="40" xfId="4" applyFont="1" applyBorder="1"/>
    <xf numFmtId="0" fontId="5" fillId="0" borderId="21" xfId="4" applyFont="1" applyBorder="1" applyAlignment="1">
      <alignment horizontal="center"/>
    </xf>
    <xf numFmtId="0" fontId="24" fillId="0" borderId="19" xfId="0" applyFont="1" applyBorder="1" applyAlignment="1">
      <alignment horizontal="center"/>
    </xf>
    <xf numFmtId="2" fontId="11" fillId="0" borderId="21" xfId="4" applyNumberFormat="1" applyFont="1" applyBorder="1"/>
    <xf numFmtId="2" fontId="11" fillId="0" borderId="22" xfId="4" applyNumberFormat="1" applyFont="1" applyBorder="1" applyAlignment="1">
      <alignment horizontal="right"/>
    </xf>
    <xf numFmtId="0" fontId="7" fillId="0" borderId="28" xfId="0" applyFont="1" applyBorder="1" applyAlignment="1">
      <alignment horizontal="center"/>
    </xf>
    <xf numFmtId="0" fontId="5" fillId="0" borderId="0" xfId="4" applyFont="1" applyAlignment="1">
      <alignment horizontal="center"/>
    </xf>
    <xf numFmtId="0" fontId="5" fillId="0" borderId="28" xfId="4" applyFont="1" applyBorder="1" applyAlignment="1">
      <alignment horizontal="center"/>
    </xf>
    <xf numFmtId="0" fontId="5" fillId="0" borderId="29" xfId="4" applyFont="1" applyBorder="1" applyAlignment="1">
      <alignment horizontal="center"/>
    </xf>
    <xf numFmtId="2" fontId="11" fillId="0" borderId="4" xfId="4" applyNumberFormat="1" applyFont="1" applyBorder="1" applyAlignment="1">
      <alignment horizontal="right"/>
    </xf>
    <xf numFmtId="2" fontId="11" fillId="0" borderId="26" xfId="4" applyNumberFormat="1" applyFont="1" applyBorder="1" applyAlignment="1">
      <alignment horizontal="right"/>
    </xf>
    <xf numFmtId="0" fontId="11" fillId="0" borderId="19" xfId="4" applyFont="1" applyBorder="1" applyAlignment="1">
      <alignment horizontal="right"/>
    </xf>
    <xf numFmtId="0" fontId="11" fillId="0" borderId="20" xfId="4" applyFont="1" applyBorder="1"/>
    <xf numFmtId="0" fontId="7" fillId="0" borderId="19" xfId="0" applyFont="1" applyBorder="1"/>
    <xf numFmtId="0" fontId="11" fillId="0" borderId="40" xfId="4" applyFont="1" applyBorder="1" applyAlignment="1">
      <alignment horizontal="center"/>
    </xf>
    <xf numFmtId="0" fontId="27" fillId="0" borderId="0" xfId="0" applyFont="1"/>
    <xf numFmtId="49" fontId="11" fillId="0" borderId="4" xfId="1" quotePrefix="1" applyNumberFormat="1" applyFont="1" applyBorder="1" applyAlignment="1">
      <alignment horizontal="center" wrapText="1"/>
    </xf>
    <xf numFmtId="0" fontId="12" fillId="0" borderId="33" xfId="0" applyFont="1" applyBorder="1" applyAlignment="1">
      <alignment horizontal="center"/>
    </xf>
    <xf numFmtId="0" fontId="11" fillId="0" borderId="37" xfId="0" applyFont="1" applyBorder="1" applyAlignment="1">
      <alignment wrapText="1"/>
    </xf>
    <xf numFmtId="49" fontId="11" fillId="0" borderId="4" xfId="1" applyNumberFormat="1" applyFont="1" applyBorder="1" applyAlignment="1">
      <alignment horizontal="right" wrapText="1"/>
    </xf>
    <xf numFmtId="0" fontId="7" fillId="0" borderId="4" xfId="0" applyFont="1" applyBorder="1"/>
    <xf numFmtId="2" fontId="7" fillId="0" borderId="4" xfId="0" applyNumberFormat="1" applyFont="1" applyBorder="1"/>
    <xf numFmtId="0" fontId="7" fillId="0" borderId="15" xfId="0" applyFont="1" applyBorder="1"/>
    <xf numFmtId="1" fontId="7" fillId="0" borderId="4" xfId="0" applyNumberFormat="1" applyFont="1" applyBorder="1" applyAlignment="1">
      <alignment wrapText="1"/>
    </xf>
    <xf numFmtId="0" fontId="6" fillId="0" borderId="38" xfId="0" applyFont="1" applyBorder="1"/>
    <xf numFmtId="0" fontId="6" fillId="0" borderId="37" xfId="0" applyFont="1" applyBorder="1"/>
    <xf numFmtId="1" fontId="11" fillId="0" borderId="36" xfId="1" applyNumberFormat="1" applyFont="1" applyBorder="1"/>
    <xf numFmtId="0" fontId="12" fillId="0" borderId="36" xfId="0" applyFont="1" applyBorder="1"/>
    <xf numFmtId="0" fontId="11" fillId="0" borderId="35" xfId="1" applyFont="1" applyBorder="1" applyAlignment="1">
      <alignment vertical="top" wrapText="1"/>
    </xf>
    <xf numFmtId="0" fontId="11" fillId="0" borderId="37" xfId="1" applyFont="1" applyBorder="1" applyAlignment="1">
      <alignment vertical="top" wrapText="1"/>
    </xf>
    <xf numFmtId="0" fontId="11" fillId="0" borderId="38" xfId="1" applyFont="1" applyBorder="1" applyAlignment="1">
      <alignment vertical="top" wrapText="1"/>
    </xf>
    <xf numFmtId="0" fontId="11" fillId="0" borderId="0" xfId="1" applyFont="1" applyAlignment="1">
      <alignment vertical="top" wrapText="1"/>
    </xf>
    <xf numFmtId="0" fontId="11" fillId="0" borderId="35" xfId="1" applyFont="1" applyBorder="1" applyAlignment="1">
      <alignment vertical="top"/>
    </xf>
    <xf numFmtId="0" fontId="5" fillId="0" borderId="33" xfId="1" applyFont="1" applyBorder="1"/>
    <xf numFmtId="0" fontId="11" fillId="0" borderId="39" xfId="1" applyFont="1" applyBorder="1"/>
    <xf numFmtId="0" fontId="11" fillId="0" borderId="34" xfId="1" applyFont="1" applyBorder="1"/>
    <xf numFmtId="0" fontId="5" fillId="0" borderId="34" xfId="0" applyFont="1" applyBorder="1" applyAlignment="1">
      <alignment horizontal="left"/>
    </xf>
    <xf numFmtId="49" fontId="11" fillId="0" borderId="33" xfId="1" applyNumberFormat="1" applyFont="1" applyBorder="1" applyAlignment="1">
      <alignment horizontal="center" wrapText="1"/>
    </xf>
    <xf numFmtId="0" fontId="11" fillId="0" borderId="35" xfId="0" applyFont="1" applyBorder="1" applyAlignment="1">
      <alignment horizontal="left" vertical="center" wrapText="1"/>
    </xf>
    <xf numFmtId="0" fontId="11" fillId="0" borderId="37" xfId="0" applyFont="1" applyBorder="1" applyAlignment="1">
      <alignment horizontal="left" vertical="center" wrapText="1"/>
    </xf>
    <xf numFmtId="0" fontId="11" fillId="0" borderId="12" xfId="0" applyFont="1" applyBorder="1" applyAlignment="1">
      <alignment horizontal="left" wrapText="1"/>
    </xf>
    <xf numFmtId="0" fontId="11" fillId="0" borderId="0" xfId="0" applyFont="1" applyAlignment="1">
      <alignment horizontal="left" wrapText="1"/>
    </xf>
    <xf numFmtId="0" fontId="11" fillId="0" borderId="7" xfId="0" applyFont="1" applyBorder="1" applyAlignment="1">
      <alignment horizontal="left" wrapText="1"/>
    </xf>
    <xf numFmtId="0" fontId="11" fillId="0" borderId="8" xfId="0" applyFont="1" applyBorder="1" applyAlignment="1">
      <alignment horizontal="left" wrapText="1"/>
    </xf>
    <xf numFmtId="0" fontId="11" fillId="0" borderId="11" xfId="0" applyFont="1" applyBorder="1" applyAlignment="1">
      <alignment horizontal="left" wrapText="1"/>
    </xf>
    <xf numFmtId="0" fontId="11" fillId="0" borderId="6" xfId="0" applyFont="1" applyBorder="1" applyAlignment="1">
      <alignment horizontal="left" wrapText="1"/>
    </xf>
    <xf numFmtId="0" fontId="11" fillId="0" borderId="12" xfId="0" applyFont="1" applyBorder="1" applyAlignment="1">
      <alignment horizontal="left" vertical="center" wrapText="1"/>
    </xf>
    <xf numFmtId="0" fontId="11" fillId="0" borderId="0" xfId="0" applyFont="1" applyAlignment="1">
      <alignment horizontal="left" vertical="center" wrapText="1"/>
    </xf>
    <xf numFmtId="0" fontId="11" fillId="0" borderId="35" xfId="0" applyFont="1" applyBorder="1" applyAlignment="1">
      <alignment horizontal="left" wrapText="1"/>
    </xf>
    <xf numFmtId="0" fontId="11" fillId="0" borderId="37" xfId="0" applyFont="1" applyBorder="1" applyAlignment="1">
      <alignment horizontal="left" wrapText="1"/>
    </xf>
    <xf numFmtId="0" fontId="11" fillId="0" borderId="12" xfId="3" applyFont="1" applyBorder="1" applyAlignment="1">
      <alignment horizontal="left" wrapText="1"/>
    </xf>
    <xf numFmtId="0" fontId="11" fillId="0" borderId="0" xfId="3" applyFont="1" applyAlignment="1">
      <alignment horizontal="left" wrapText="1"/>
    </xf>
    <xf numFmtId="2" fontId="11" fillId="0" borderId="1" xfId="0" applyNumberFormat="1" applyFont="1" applyBorder="1" applyAlignment="1">
      <alignment horizontal="center"/>
    </xf>
    <xf numFmtId="2" fontId="11" fillId="0" borderId="5" xfId="0" applyNumberFormat="1" applyFont="1" applyBorder="1" applyAlignment="1">
      <alignment horizontal="center"/>
    </xf>
    <xf numFmtId="2" fontId="11" fillId="0" borderId="2" xfId="0" applyNumberFormat="1" applyFont="1" applyBorder="1" applyAlignment="1">
      <alignment horizontal="center"/>
    </xf>
    <xf numFmtId="0" fontId="11" fillId="0" borderId="4" xfId="1" applyFont="1" applyBorder="1" applyAlignment="1">
      <alignment horizontal="left"/>
    </xf>
    <xf numFmtId="0" fontId="11" fillId="0" borderId="7" xfId="1" applyFont="1" applyBorder="1" applyAlignment="1">
      <alignment horizontal="left"/>
    </xf>
    <xf numFmtId="0" fontId="11" fillId="0" borderId="8" xfId="1" applyFont="1" applyBorder="1" applyAlignment="1">
      <alignment horizontal="left"/>
    </xf>
    <xf numFmtId="2" fontId="11" fillId="0" borderId="1" xfId="1" applyNumberFormat="1" applyFont="1" applyBorder="1" applyAlignment="1">
      <alignment horizontal="center"/>
    </xf>
    <xf numFmtId="2" fontId="11" fillId="0" borderId="5" xfId="1" applyNumberFormat="1" applyFont="1" applyBorder="1" applyAlignment="1">
      <alignment horizontal="center"/>
    </xf>
    <xf numFmtId="2" fontId="11" fillId="0" borderId="2" xfId="1" applyNumberFormat="1" applyFont="1" applyBorder="1" applyAlignment="1">
      <alignment horizontal="center"/>
    </xf>
    <xf numFmtId="2" fontId="11" fillId="0" borderId="39" xfId="1" applyNumberFormat="1" applyFont="1" applyBorder="1" applyAlignment="1">
      <alignment horizontal="center"/>
    </xf>
    <xf numFmtId="2" fontId="11" fillId="0" borderId="40" xfId="1" applyNumberFormat="1" applyFont="1" applyBorder="1" applyAlignment="1">
      <alignment horizontal="center"/>
    </xf>
    <xf numFmtId="2" fontId="11" fillId="0" borderId="34" xfId="1" applyNumberFormat="1" applyFont="1" applyBorder="1" applyAlignment="1">
      <alignment horizontal="center"/>
    </xf>
    <xf numFmtId="0" fontId="12" fillId="0" borderId="35" xfId="0" applyFont="1" applyBorder="1" applyAlignment="1">
      <alignment horizontal="left"/>
    </xf>
    <xf numFmtId="0" fontId="12" fillId="0" borderId="37" xfId="0" applyFont="1" applyBorder="1" applyAlignment="1">
      <alignment horizontal="left"/>
    </xf>
    <xf numFmtId="0" fontId="11" fillId="0" borderId="35" xfId="1" applyFont="1" applyBorder="1" applyAlignment="1">
      <alignment horizontal="left"/>
    </xf>
    <xf numFmtId="0" fontId="11" fillId="0" borderId="37" xfId="1" applyFont="1" applyBorder="1" applyAlignment="1">
      <alignment horizontal="left"/>
    </xf>
    <xf numFmtId="0" fontId="12" fillId="0" borderId="12" xfId="0" applyFont="1" applyBorder="1" applyAlignment="1">
      <alignment horizontal="left" wrapText="1"/>
    </xf>
    <xf numFmtId="0" fontId="12" fillId="0" borderId="0" xfId="0" applyFont="1" applyAlignment="1">
      <alignment horizontal="left" wrapText="1"/>
    </xf>
    <xf numFmtId="46" fontId="5" fillId="0" borderId="6" xfId="0" applyNumberFormat="1" applyFont="1" applyBorder="1" applyAlignment="1">
      <alignment horizontal="left" wrapText="1"/>
    </xf>
    <xf numFmtId="0" fontId="11" fillId="0" borderId="39" xfId="1" applyFont="1" applyBorder="1" applyAlignment="1">
      <alignment horizontal="left" wrapText="1"/>
    </xf>
    <xf numFmtId="0" fontId="11" fillId="0" borderId="40" xfId="1" applyFont="1" applyBorder="1" applyAlignment="1">
      <alignment horizontal="left" wrapText="1"/>
    </xf>
    <xf numFmtId="0" fontId="11" fillId="0" borderId="34" xfId="1" applyFont="1" applyBorder="1" applyAlignment="1">
      <alignment horizontal="left" wrapText="1"/>
    </xf>
    <xf numFmtId="0" fontId="11" fillId="0" borderId="40" xfId="0" applyFont="1" applyBorder="1" applyAlignment="1">
      <alignment horizontal="center"/>
    </xf>
    <xf numFmtId="0" fontId="11" fillId="0" borderId="34" xfId="0" applyFont="1" applyBorder="1" applyAlignment="1">
      <alignment horizontal="center"/>
    </xf>
    <xf numFmtId="0" fontId="11" fillId="0" borderId="39" xfId="0" applyFont="1" applyBorder="1" applyAlignment="1">
      <alignment horizontal="left"/>
    </xf>
    <xf numFmtId="0" fontId="11" fillId="0" borderId="40" xfId="0" applyFont="1" applyBorder="1" applyAlignment="1">
      <alignment horizontal="left"/>
    </xf>
    <xf numFmtId="0" fontId="11" fillId="0" borderId="35" xfId="1" applyFont="1" applyBorder="1" applyAlignment="1">
      <alignment horizontal="left" wrapText="1"/>
    </xf>
    <xf numFmtId="0" fontId="11" fillId="0" borderId="37" xfId="1" applyFont="1" applyBorder="1" applyAlignment="1">
      <alignment horizontal="left" wrapText="1"/>
    </xf>
    <xf numFmtId="0" fontId="11" fillId="0" borderId="12" xfId="1" applyFont="1" applyBorder="1" applyAlignment="1">
      <alignment horizontal="left" vertical="top" wrapText="1"/>
    </xf>
    <xf numFmtId="0" fontId="11" fillId="0" borderId="0" xfId="1" applyFont="1" applyAlignment="1">
      <alignment horizontal="left" vertical="top"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11" fillId="0" borderId="1" xfId="0" applyFont="1" applyBorder="1" applyAlignment="1">
      <alignment horizontal="left"/>
    </xf>
    <xf numFmtId="0" fontId="11" fillId="0" borderId="5" xfId="0" applyFont="1" applyBorder="1" applyAlignment="1">
      <alignment horizontal="left"/>
    </xf>
    <xf numFmtId="0" fontId="11" fillId="0" borderId="39" xfId="1" applyFont="1" applyBorder="1" applyAlignment="1">
      <alignment horizontal="left"/>
    </xf>
    <xf numFmtId="0" fontId="11" fillId="0" borderId="40" xfId="1" applyFont="1" applyBorder="1" applyAlignment="1">
      <alignment horizontal="left"/>
    </xf>
  </cellXfs>
  <cellStyles count="9">
    <cellStyle name="Comma [0]" xfId="8" builtinId="6"/>
    <cellStyle name="Normal" xfId="0" builtinId="0"/>
    <cellStyle name="Normal 2" xfId="1" xr:uid="{00000000-0005-0000-0000-000001000000}"/>
    <cellStyle name="Normal 3" xfId="4" xr:uid="{00000000-0005-0000-0000-000002000000}"/>
    <cellStyle name="Normal 4" xfId="5" xr:uid="{64DFD5AE-932A-43CB-89FD-77DBA7A77495}"/>
    <cellStyle name="Normal 5" xfId="6" xr:uid="{0B908675-5FC1-47F7-A420-9E22167CE1EC}"/>
    <cellStyle name="표준 3" xfId="7" xr:uid="{62E14E76-F9FB-4938-A6D0-9109D4D5C877}"/>
    <cellStyle name="標準 2" xfId="2" xr:uid="{00000000-0005-0000-0000-000003000000}"/>
    <cellStyle name="標準_COMP FORMS Japan"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217"/>
  <sheetViews>
    <sheetView tabSelected="1" zoomScale="110" zoomScaleNormal="110" workbookViewId="0">
      <pane xSplit="2" ySplit="2" topLeftCell="C3" activePane="bottomRight" state="frozen"/>
      <selection pane="topRight" activeCell="C1" sqref="C1"/>
      <selection pane="bottomLeft" activeCell="A3" sqref="A3"/>
      <selection pane="bottomRight" activeCell="A2" sqref="A2"/>
    </sheetView>
  </sheetViews>
  <sheetFormatPr defaultColWidth="9.140625" defaultRowHeight="12.75" x14ac:dyDescent="0.2"/>
  <cols>
    <col min="1" max="1" width="19.85546875" style="3" customWidth="1"/>
    <col min="2" max="4" width="28.5703125" style="3" customWidth="1"/>
    <col min="5" max="5" width="30.5703125" style="3" customWidth="1"/>
    <col min="6" max="9" width="28.5703125" style="3" customWidth="1"/>
    <col min="10" max="10" width="27.42578125" style="3" bestFit="1" customWidth="1"/>
    <col min="11" max="11" width="20.7109375" style="3" customWidth="1"/>
    <col min="12" max="12" width="19.140625" style="3" bestFit="1" customWidth="1"/>
    <col min="13" max="14" width="17.7109375" style="3" bestFit="1" customWidth="1"/>
    <col min="15" max="16" width="10.28515625" style="3" customWidth="1"/>
    <col min="17" max="16384" width="9.140625" style="3"/>
  </cols>
  <sheetData>
    <row r="1" spans="1:26" x14ac:dyDescent="0.2">
      <c r="A1" s="1" t="s">
        <v>1244</v>
      </c>
      <c r="B1" s="2"/>
      <c r="C1" s="2"/>
      <c r="D1" s="2"/>
      <c r="E1" s="2"/>
      <c r="F1" s="1"/>
      <c r="G1" s="2"/>
    </row>
    <row r="2" spans="1:26" x14ac:dyDescent="0.2">
      <c r="A2" s="1"/>
      <c r="B2" s="2"/>
      <c r="C2" s="2"/>
      <c r="D2" s="2"/>
      <c r="E2" s="2"/>
      <c r="F2" s="1"/>
      <c r="G2" s="2"/>
    </row>
    <row r="3" spans="1:26" ht="12.75" customHeight="1" x14ac:dyDescent="0.2">
      <c r="A3" s="3" t="s">
        <v>941</v>
      </c>
      <c r="B3" s="4"/>
      <c r="C3" s="4"/>
      <c r="D3" s="4"/>
      <c r="E3" s="4"/>
      <c r="F3" s="4"/>
      <c r="G3" s="4"/>
      <c r="H3" s="4"/>
      <c r="I3" s="4"/>
      <c r="J3" s="4"/>
      <c r="K3" s="4"/>
      <c r="L3" s="4"/>
      <c r="M3" s="4"/>
      <c r="N3" s="4"/>
      <c r="O3" s="4"/>
      <c r="P3" s="4"/>
      <c r="Q3" s="4"/>
      <c r="R3" s="4"/>
      <c r="S3" s="4"/>
      <c r="T3" s="4"/>
      <c r="U3" s="4"/>
      <c r="V3" s="4"/>
      <c r="W3" s="4"/>
      <c r="X3" s="4"/>
      <c r="Y3" s="4"/>
      <c r="Z3" s="4"/>
    </row>
    <row r="4" spans="1:26" s="5" customFormat="1" x14ac:dyDescent="0.2"/>
    <row r="5" spans="1:26" x14ac:dyDescent="0.2">
      <c r="A5" s="6" t="s">
        <v>12</v>
      </c>
      <c r="B5" s="7" t="s">
        <v>757</v>
      </c>
      <c r="C5" s="8"/>
      <c r="F5" s="1"/>
      <c r="G5" s="2"/>
    </row>
    <row r="6" spans="1:26" x14ac:dyDescent="0.2">
      <c r="A6" s="6" t="s">
        <v>14</v>
      </c>
      <c r="B6" s="7" t="s">
        <v>642</v>
      </c>
      <c r="C6" s="9" t="s">
        <v>15</v>
      </c>
      <c r="F6" s="1"/>
      <c r="G6" s="2"/>
    </row>
    <row r="7" spans="1:26" x14ac:dyDescent="0.2">
      <c r="A7" s="10" t="s">
        <v>16</v>
      </c>
      <c r="B7" s="11"/>
      <c r="C7" s="11">
        <v>2021</v>
      </c>
      <c r="D7" s="11">
        <v>2022</v>
      </c>
      <c r="E7" s="11">
        <v>2023</v>
      </c>
      <c r="F7" s="11">
        <v>2024</v>
      </c>
      <c r="G7" s="11">
        <v>2025</v>
      </c>
    </row>
    <row r="8" spans="1:26" x14ac:dyDescent="0.2">
      <c r="A8" s="10" t="s">
        <v>17</v>
      </c>
      <c r="B8" s="12"/>
      <c r="C8" s="12">
        <v>170</v>
      </c>
      <c r="D8" s="12">
        <v>170</v>
      </c>
      <c r="E8" s="12">
        <v>264</v>
      </c>
      <c r="F8" s="12">
        <v>264</v>
      </c>
      <c r="G8" s="12">
        <v>264</v>
      </c>
    </row>
    <row r="9" spans="1:26" x14ac:dyDescent="0.2">
      <c r="A9" s="10" t="s">
        <v>18</v>
      </c>
      <c r="B9" s="12"/>
      <c r="C9" s="12"/>
      <c r="D9" s="12">
        <f>D8+0.05*C8</f>
        <v>178.5</v>
      </c>
      <c r="E9" s="12"/>
      <c r="F9" s="12"/>
      <c r="G9" s="12"/>
    </row>
    <row r="10" spans="1:26" x14ac:dyDescent="0.2">
      <c r="A10" s="10" t="s">
        <v>19</v>
      </c>
      <c r="B10" s="13"/>
      <c r="C10" s="14"/>
      <c r="D10" s="14" t="s">
        <v>758</v>
      </c>
      <c r="E10" s="14"/>
      <c r="F10" s="14"/>
      <c r="G10" s="14"/>
    </row>
    <row r="11" spans="1:26" x14ac:dyDescent="0.2">
      <c r="A11" s="10" t="s">
        <v>20</v>
      </c>
      <c r="B11" s="12"/>
      <c r="C11" s="12">
        <v>148.4</v>
      </c>
      <c r="D11" s="12">
        <v>177.5</v>
      </c>
      <c r="E11" s="12">
        <v>263.86921999999998</v>
      </c>
      <c r="F11" s="15">
        <v>262.95</v>
      </c>
      <c r="G11" s="15"/>
    </row>
    <row r="12" spans="1:26" x14ac:dyDescent="0.2">
      <c r="A12" s="10" t="s">
        <v>21</v>
      </c>
      <c r="B12" s="12"/>
      <c r="C12" s="12">
        <f>C8-C11</f>
        <v>21.599999999999994</v>
      </c>
      <c r="D12" s="12">
        <f>D9-D11</f>
        <v>1</v>
      </c>
      <c r="E12" s="12">
        <f>E8-E11</f>
        <v>0.13078000000001566</v>
      </c>
      <c r="F12" s="15">
        <f>F8-F11</f>
        <v>1.0500000000000114</v>
      </c>
      <c r="G12" s="15"/>
    </row>
    <row r="13" spans="1:26" x14ac:dyDescent="0.2">
      <c r="A13" s="16" t="s">
        <v>22</v>
      </c>
      <c r="B13" s="17"/>
      <c r="C13" s="17">
        <v>2022</v>
      </c>
      <c r="D13" s="17">
        <v>2023</v>
      </c>
      <c r="E13" s="17">
        <v>2024</v>
      </c>
      <c r="F13" s="17">
        <v>2025</v>
      </c>
      <c r="G13" s="17">
        <v>2026</v>
      </c>
    </row>
    <row r="14" spans="1:26" x14ac:dyDescent="0.2">
      <c r="A14" s="18" t="s">
        <v>23</v>
      </c>
      <c r="B14" s="19"/>
      <c r="C14" s="19"/>
      <c r="D14" s="19"/>
      <c r="E14" s="19"/>
      <c r="F14" s="20"/>
      <c r="G14" s="21"/>
    </row>
    <row r="15" spans="1:26" ht="31.9" customHeight="1" x14ac:dyDescent="0.2">
      <c r="A15" s="655" t="s">
        <v>759</v>
      </c>
      <c r="B15" s="656"/>
      <c r="C15" s="656"/>
      <c r="D15" s="656"/>
      <c r="E15" s="656"/>
      <c r="F15" s="23"/>
      <c r="G15" s="24"/>
    </row>
    <row r="16" spans="1:26" x14ac:dyDescent="0.2">
      <c r="A16" s="1"/>
      <c r="B16" s="2"/>
      <c r="C16" s="2"/>
      <c r="D16" s="2"/>
      <c r="E16" s="2"/>
      <c r="F16" s="1"/>
      <c r="G16" s="2"/>
    </row>
    <row r="17" spans="1:7" s="5" customFormat="1" x14ac:dyDescent="0.2"/>
    <row r="18" spans="1:7" x14ac:dyDescent="0.2">
      <c r="A18" s="6" t="s">
        <v>12</v>
      </c>
      <c r="B18" s="7" t="s">
        <v>983</v>
      </c>
      <c r="C18" s="8"/>
      <c r="F18" s="1"/>
      <c r="G18" s="2"/>
    </row>
    <row r="19" spans="1:7" x14ac:dyDescent="0.2">
      <c r="A19" s="6" t="s">
        <v>14</v>
      </c>
      <c r="B19" s="7" t="s">
        <v>642</v>
      </c>
      <c r="C19" s="9" t="s">
        <v>15</v>
      </c>
      <c r="F19" s="1"/>
      <c r="G19" s="2"/>
    </row>
    <row r="20" spans="1:7" x14ac:dyDescent="0.2">
      <c r="A20" s="10" t="s">
        <v>16</v>
      </c>
      <c r="B20" s="11"/>
      <c r="C20" s="11">
        <v>2023</v>
      </c>
      <c r="D20" s="11">
        <v>2024</v>
      </c>
      <c r="E20" s="631">
        <v>2025</v>
      </c>
      <c r="F20" s="2"/>
    </row>
    <row r="21" spans="1:7" x14ac:dyDescent="0.2">
      <c r="A21" s="10" t="s">
        <v>17</v>
      </c>
      <c r="B21" s="12"/>
      <c r="C21" s="12">
        <v>2023</v>
      </c>
      <c r="D21" s="12">
        <v>2023</v>
      </c>
      <c r="E21" s="632">
        <v>2023</v>
      </c>
      <c r="F21" s="2"/>
    </row>
    <row r="22" spans="1:7" x14ac:dyDescent="0.2">
      <c r="A22" s="10" t="s">
        <v>18</v>
      </c>
      <c r="B22" s="12"/>
      <c r="C22" s="12"/>
      <c r="D22" s="12">
        <f>D21+23</f>
        <v>2046</v>
      </c>
      <c r="E22" s="27">
        <v>2052.65</v>
      </c>
      <c r="F22" s="2"/>
    </row>
    <row r="23" spans="1:7" ht="25.5" x14ac:dyDescent="0.2">
      <c r="A23" s="10" t="s">
        <v>19</v>
      </c>
      <c r="B23" s="13"/>
      <c r="C23" s="14"/>
      <c r="D23" s="14" t="s">
        <v>984</v>
      </c>
      <c r="E23" s="28" t="s">
        <v>1144</v>
      </c>
      <c r="F23" s="2"/>
    </row>
    <row r="24" spans="1:7" x14ac:dyDescent="0.2">
      <c r="A24" s="10" t="s">
        <v>20</v>
      </c>
      <c r="B24" s="12"/>
      <c r="C24" s="12">
        <v>1999.9290000000001</v>
      </c>
      <c r="D24" s="15">
        <v>2011.35</v>
      </c>
      <c r="E24" s="632"/>
      <c r="F24" s="2"/>
    </row>
    <row r="25" spans="1:7" x14ac:dyDescent="0.2">
      <c r="A25" s="10" t="s">
        <v>21</v>
      </c>
      <c r="B25" s="12"/>
      <c r="C25" s="12">
        <f>C21-C24</f>
        <v>23.070999999999913</v>
      </c>
      <c r="D25" s="15">
        <f>D22-D24</f>
        <v>34.650000000000091</v>
      </c>
      <c r="E25" s="632"/>
      <c r="F25" s="2"/>
    </row>
    <row r="26" spans="1:7" x14ac:dyDescent="0.2">
      <c r="A26" s="16" t="s">
        <v>22</v>
      </c>
      <c r="B26" s="17"/>
      <c r="C26" s="17">
        <v>2024</v>
      </c>
      <c r="D26" s="17">
        <v>2025</v>
      </c>
      <c r="E26" s="633">
        <v>2026</v>
      </c>
      <c r="F26" s="2"/>
    </row>
    <row r="27" spans="1:7" x14ac:dyDescent="0.2">
      <c r="A27" s="29" t="s">
        <v>23</v>
      </c>
      <c r="B27" s="30"/>
      <c r="C27" s="30"/>
      <c r="D27" s="30"/>
      <c r="E27" s="31"/>
      <c r="F27" s="2"/>
    </row>
    <row r="28" spans="1:7" ht="31.9" customHeight="1" x14ac:dyDescent="0.2">
      <c r="A28" s="652" t="s">
        <v>985</v>
      </c>
      <c r="B28" s="652"/>
      <c r="C28" s="652"/>
      <c r="D28" s="652"/>
      <c r="E28" s="1"/>
      <c r="F28" s="2"/>
    </row>
    <row r="29" spans="1:7" s="34" customFormat="1" ht="31.9" customHeight="1" x14ac:dyDescent="0.2">
      <c r="A29" s="681" t="s">
        <v>1143</v>
      </c>
      <c r="B29" s="681"/>
      <c r="C29" s="681"/>
      <c r="D29" s="681"/>
      <c r="E29" s="23"/>
      <c r="F29" s="33"/>
    </row>
    <row r="30" spans="1:7" x14ac:dyDescent="0.2">
      <c r="A30" s="35"/>
      <c r="B30" s="35"/>
      <c r="C30" s="35"/>
      <c r="D30" s="35"/>
      <c r="E30" s="1"/>
      <c r="F30" s="2"/>
    </row>
    <row r="31" spans="1:7" x14ac:dyDescent="0.2">
      <c r="A31" s="1"/>
      <c r="B31" s="2"/>
      <c r="C31" s="2"/>
      <c r="D31" s="2"/>
      <c r="E31" s="2"/>
      <c r="F31" s="1"/>
      <c r="G31" s="2"/>
    </row>
    <row r="32" spans="1:7" x14ac:dyDescent="0.2">
      <c r="A32" s="6" t="s">
        <v>12</v>
      </c>
      <c r="B32" s="7" t="s">
        <v>202</v>
      </c>
      <c r="C32" s="8"/>
    </row>
    <row r="33" spans="1:9" x14ac:dyDescent="0.2">
      <c r="A33" s="6" t="s">
        <v>14</v>
      </c>
      <c r="B33" s="7" t="s">
        <v>624</v>
      </c>
      <c r="C33" s="9" t="s">
        <v>15</v>
      </c>
    </row>
    <row r="34" spans="1:9" x14ac:dyDescent="0.2">
      <c r="A34" s="10" t="s">
        <v>16</v>
      </c>
      <c r="B34" s="11"/>
      <c r="C34" s="11">
        <v>2019</v>
      </c>
      <c r="D34" s="11">
        <v>2020</v>
      </c>
      <c r="E34" s="11">
        <v>2021</v>
      </c>
      <c r="F34" s="11">
        <v>2022</v>
      </c>
      <c r="G34" s="11">
        <v>2023</v>
      </c>
      <c r="H34" s="11">
        <v>2024</v>
      </c>
      <c r="I34" s="631">
        <v>2025</v>
      </c>
    </row>
    <row r="35" spans="1:9" x14ac:dyDescent="0.2">
      <c r="A35" s="10" t="s">
        <v>17</v>
      </c>
      <c r="B35" s="12"/>
      <c r="C35" s="12">
        <v>215</v>
      </c>
      <c r="D35" s="12">
        <v>215</v>
      </c>
      <c r="E35" s="12">
        <v>242</v>
      </c>
      <c r="F35" s="12">
        <v>242</v>
      </c>
      <c r="G35" s="12">
        <v>242</v>
      </c>
      <c r="H35" s="12">
        <v>302</v>
      </c>
      <c r="I35" s="632">
        <v>302</v>
      </c>
    </row>
    <row r="36" spans="1:9" x14ac:dyDescent="0.2">
      <c r="A36" s="10" t="s">
        <v>18</v>
      </c>
      <c r="B36" s="12"/>
      <c r="C36" s="12">
        <v>265</v>
      </c>
      <c r="D36" s="12">
        <v>265</v>
      </c>
      <c r="E36" s="12">
        <f>E35+0.25*C35</f>
        <v>295.75</v>
      </c>
      <c r="F36" s="12">
        <f>F35+0.25*D35</f>
        <v>295.75</v>
      </c>
      <c r="G36" s="12">
        <f>G35+0.25*E35</f>
        <v>302.5</v>
      </c>
      <c r="H36" s="12">
        <f>H35+0.25*F35</f>
        <v>362.5</v>
      </c>
      <c r="I36" s="632">
        <f>I35+0.25*G35</f>
        <v>362.5</v>
      </c>
    </row>
    <row r="37" spans="1:9" x14ac:dyDescent="0.2">
      <c r="A37" s="10" t="s">
        <v>19</v>
      </c>
      <c r="B37" s="13"/>
      <c r="C37" s="14">
        <v>1</v>
      </c>
      <c r="D37" s="14">
        <v>2</v>
      </c>
      <c r="E37" s="14">
        <v>3</v>
      </c>
      <c r="F37" s="14">
        <v>4</v>
      </c>
      <c r="G37" s="14">
        <v>5</v>
      </c>
      <c r="H37" s="14">
        <v>6</v>
      </c>
      <c r="I37" s="634">
        <v>7</v>
      </c>
    </row>
    <row r="38" spans="1:9" x14ac:dyDescent="0.2">
      <c r="A38" s="10" t="s">
        <v>20</v>
      </c>
      <c r="B38" s="12"/>
      <c r="C38" s="12">
        <v>7.12</v>
      </c>
      <c r="D38" s="12">
        <v>10.18</v>
      </c>
      <c r="E38" s="12">
        <v>12.5</v>
      </c>
      <c r="F38" s="12">
        <v>11.74</v>
      </c>
      <c r="G38" s="12">
        <v>13.9</v>
      </c>
      <c r="H38" s="12">
        <v>4.1399999999999997</v>
      </c>
      <c r="I38" s="632"/>
    </row>
    <row r="39" spans="1:9" x14ac:dyDescent="0.2">
      <c r="A39" s="10" t="s">
        <v>21</v>
      </c>
      <c r="B39" s="12"/>
      <c r="C39" s="12">
        <f t="shared" ref="C39:H39" si="0">C36-C38</f>
        <v>257.88</v>
      </c>
      <c r="D39" s="12">
        <f t="shared" si="0"/>
        <v>254.82</v>
      </c>
      <c r="E39" s="12">
        <f t="shared" si="0"/>
        <v>283.25</v>
      </c>
      <c r="F39" s="12">
        <f t="shared" si="0"/>
        <v>284.01</v>
      </c>
      <c r="G39" s="12">
        <f t="shared" si="0"/>
        <v>288.60000000000002</v>
      </c>
      <c r="H39" s="12">
        <f t="shared" si="0"/>
        <v>358.36</v>
      </c>
      <c r="I39" s="632"/>
    </row>
    <row r="40" spans="1:9" x14ac:dyDescent="0.2">
      <c r="A40" s="16" t="s">
        <v>22</v>
      </c>
      <c r="B40" s="17"/>
      <c r="C40" s="17">
        <v>2021</v>
      </c>
      <c r="D40" s="17">
        <v>2022</v>
      </c>
      <c r="E40" s="17">
        <v>2023</v>
      </c>
      <c r="F40" s="17">
        <v>2024</v>
      </c>
      <c r="G40" s="17">
        <v>2025</v>
      </c>
      <c r="H40" s="17">
        <v>2026</v>
      </c>
      <c r="I40" s="633">
        <v>2027</v>
      </c>
    </row>
    <row r="41" spans="1:9" x14ac:dyDescent="0.2">
      <c r="A41" s="10" t="s">
        <v>23</v>
      </c>
      <c r="B41" s="36"/>
      <c r="C41" s="36"/>
      <c r="D41" s="36"/>
      <c r="E41" s="36"/>
      <c r="F41" s="36"/>
      <c r="G41" s="37"/>
      <c r="H41" s="38"/>
      <c r="I41" s="38"/>
    </row>
    <row r="42" spans="1:9" x14ac:dyDescent="0.2">
      <c r="A42" s="18" t="s">
        <v>987</v>
      </c>
      <c r="B42" s="19"/>
      <c r="C42" s="19"/>
      <c r="D42" s="19"/>
      <c r="E42" s="19"/>
      <c r="F42" s="19"/>
      <c r="G42" s="63"/>
      <c r="H42" s="635"/>
      <c r="I42" s="635"/>
    </row>
    <row r="43" spans="1:9" x14ac:dyDescent="0.2">
      <c r="A43" s="18">
        <v>1</v>
      </c>
      <c r="B43" s="19" t="s">
        <v>760</v>
      </c>
      <c r="C43" s="19"/>
      <c r="D43" s="19"/>
      <c r="E43" s="19"/>
      <c r="F43" s="19"/>
      <c r="G43" s="19"/>
      <c r="H43" s="636"/>
      <c r="I43" s="635"/>
    </row>
    <row r="44" spans="1:9" x14ac:dyDescent="0.2">
      <c r="A44" s="39">
        <v>2</v>
      </c>
      <c r="B44" s="3" t="s">
        <v>761</v>
      </c>
      <c r="H44" s="45"/>
      <c r="I44" s="40"/>
    </row>
    <row r="45" spans="1:9" x14ac:dyDescent="0.2">
      <c r="A45" s="39">
        <v>3</v>
      </c>
      <c r="B45" s="3" t="s">
        <v>762</v>
      </c>
      <c r="H45" s="45"/>
      <c r="I45" s="40"/>
    </row>
    <row r="46" spans="1:9" x14ac:dyDescent="0.2">
      <c r="A46" s="39">
        <v>4</v>
      </c>
      <c r="B46" s="3" t="s">
        <v>763</v>
      </c>
      <c r="H46" s="45"/>
      <c r="I46" s="40"/>
    </row>
    <row r="47" spans="1:9" x14ac:dyDescent="0.2">
      <c r="A47" s="39">
        <v>5</v>
      </c>
      <c r="B47" s="3" t="s">
        <v>764</v>
      </c>
      <c r="H47" s="45"/>
      <c r="I47" s="40"/>
    </row>
    <row r="48" spans="1:9" x14ac:dyDescent="0.2">
      <c r="A48" s="39">
        <v>6</v>
      </c>
      <c r="B48" s="3" t="s">
        <v>986</v>
      </c>
      <c r="H48" s="45"/>
      <c r="I48" s="40"/>
    </row>
    <row r="49" spans="1:15" s="45" customFormat="1" x14ac:dyDescent="0.2">
      <c r="A49" s="42">
        <v>7</v>
      </c>
      <c r="B49" s="43" t="s">
        <v>1121</v>
      </c>
      <c r="C49" s="43"/>
      <c r="D49" s="43"/>
      <c r="E49" s="43"/>
      <c r="F49" s="43"/>
      <c r="G49" s="43"/>
      <c r="H49" s="43"/>
      <c r="I49" s="44"/>
    </row>
    <row r="51" spans="1:15" x14ac:dyDescent="0.2">
      <c r="A51" s="6" t="s">
        <v>14</v>
      </c>
      <c r="B51" s="7" t="s">
        <v>623</v>
      </c>
      <c r="C51" s="9" t="s">
        <v>15</v>
      </c>
    </row>
    <row r="52" spans="1:15" x14ac:dyDescent="0.2">
      <c r="A52" s="10" t="s">
        <v>16</v>
      </c>
      <c r="B52" s="11">
        <v>2018</v>
      </c>
      <c r="C52" s="11">
        <v>2019</v>
      </c>
      <c r="D52" s="11">
        <v>2020</v>
      </c>
      <c r="E52" s="11">
        <v>2021</v>
      </c>
      <c r="F52" s="11">
        <v>2022</v>
      </c>
      <c r="G52" s="11">
        <v>2023</v>
      </c>
      <c r="H52" s="11">
        <v>2024</v>
      </c>
      <c r="I52" s="11">
        <v>2025</v>
      </c>
    </row>
    <row r="53" spans="1:15" x14ac:dyDescent="0.2">
      <c r="A53" s="10" t="s">
        <v>17</v>
      </c>
      <c r="B53" s="12">
        <v>45</v>
      </c>
      <c r="C53" s="12">
        <v>45</v>
      </c>
      <c r="D53" s="12">
        <v>45</v>
      </c>
      <c r="E53" s="12">
        <v>45</v>
      </c>
      <c r="F53" s="12">
        <v>45</v>
      </c>
      <c r="G53" s="12">
        <v>45</v>
      </c>
      <c r="H53" s="12">
        <v>45</v>
      </c>
      <c r="I53" s="12">
        <v>45</v>
      </c>
    </row>
    <row r="54" spans="1:15" x14ac:dyDescent="0.2">
      <c r="A54" s="10" t="s">
        <v>18</v>
      </c>
      <c r="B54" s="12">
        <v>63</v>
      </c>
      <c r="C54" s="12">
        <v>63</v>
      </c>
      <c r="D54" s="12">
        <v>63</v>
      </c>
      <c r="E54" s="12">
        <v>63</v>
      </c>
      <c r="F54" s="12">
        <v>63</v>
      </c>
      <c r="G54" s="12">
        <v>63</v>
      </c>
      <c r="H54" s="12">
        <v>63</v>
      </c>
      <c r="I54" s="12">
        <v>63</v>
      </c>
    </row>
    <row r="55" spans="1:15" x14ac:dyDescent="0.2">
      <c r="A55" s="10" t="s">
        <v>19</v>
      </c>
      <c r="B55" s="11" t="s">
        <v>300</v>
      </c>
      <c r="C55" s="11" t="s">
        <v>300</v>
      </c>
      <c r="D55" s="11" t="s">
        <v>300</v>
      </c>
      <c r="E55" s="11" t="s">
        <v>300</v>
      </c>
      <c r="F55" s="11" t="s">
        <v>300</v>
      </c>
      <c r="G55" s="11" t="s">
        <v>300</v>
      </c>
      <c r="H55" s="11" t="s">
        <v>300</v>
      </c>
      <c r="I55" s="11" t="s">
        <v>300</v>
      </c>
    </row>
    <row r="56" spans="1:15" x14ac:dyDescent="0.2">
      <c r="A56" s="10" t="s">
        <v>20</v>
      </c>
      <c r="B56" s="12">
        <v>18.100000000000001</v>
      </c>
      <c r="C56" s="12">
        <v>9.9499999999999993</v>
      </c>
      <c r="D56" s="12">
        <v>11.79</v>
      </c>
      <c r="E56" s="12">
        <v>13.29</v>
      </c>
      <c r="F56" s="12">
        <v>8.1999999999999993</v>
      </c>
      <c r="G56" s="12">
        <v>9.4700000000000006</v>
      </c>
      <c r="H56" s="12">
        <v>8.7100000000000009</v>
      </c>
      <c r="I56" s="12"/>
    </row>
    <row r="57" spans="1:15" x14ac:dyDescent="0.2">
      <c r="A57" s="10" t="s">
        <v>21</v>
      </c>
      <c r="B57" s="12">
        <f t="shared" ref="B57:H57" si="1">B54-B56</f>
        <v>44.9</v>
      </c>
      <c r="C57" s="12">
        <f t="shared" si="1"/>
        <v>53.05</v>
      </c>
      <c r="D57" s="12">
        <f t="shared" si="1"/>
        <v>51.21</v>
      </c>
      <c r="E57" s="12">
        <f t="shared" si="1"/>
        <v>49.71</v>
      </c>
      <c r="F57" s="12">
        <f t="shared" si="1"/>
        <v>54.8</v>
      </c>
      <c r="G57" s="12">
        <f t="shared" si="1"/>
        <v>53.53</v>
      </c>
      <c r="H57" s="12">
        <f t="shared" si="1"/>
        <v>54.29</v>
      </c>
      <c r="I57" s="12"/>
    </row>
    <row r="58" spans="1:15" x14ac:dyDescent="0.2">
      <c r="A58" s="16" t="s">
        <v>22</v>
      </c>
      <c r="B58" s="17">
        <v>2020</v>
      </c>
      <c r="C58" s="17">
        <v>2021</v>
      </c>
      <c r="D58" s="17">
        <v>2022</v>
      </c>
      <c r="E58" s="17">
        <v>2023</v>
      </c>
      <c r="F58" s="17">
        <v>2024</v>
      </c>
      <c r="G58" s="17">
        <v>2025</v>
      </c>
      <c r="H58" s="17">
        <v>2026</v>
      </c>
      <c r="I58" s="17">
        <v>2027</v>
      </c>
    </row>
    <row r="59" spans="1:15" x14ac:dyDescent="0.2">
      <c r="A59" s="18" t="s">
        <v>154</v>
      </c>
      <c r="B59" s="19"/>
      <c r="C59" s="19"/>
      <c r="D59" s="19"/>
      <c r="E59" s="19"/>
      <c r="F59" s="19"/>
      <c r="G59" s="19"/>
      <c r="H59" s="19"/>
      <c r="I59" s="63"/>
    </row>
    <row r="60" spans="1:15" x14ac:dyDescent="0.2">
      <c r="A60" s="41" t="s">
        <v>988</v>
      </c>
      <c r="B60" s="34"/>
      <c r="C60" s="34"/>
      <c r="D60" s="34"/>
      <c r="E60" s="34"/>
      <c r="F60" s="34"/>
      <c r="G60" s="34"/>
      <c r="H60" s="34"/>
      <c r="I60" s="48"/>
    </row>
    <row r="62" spans="1:15" s="50" customFormat="1" ht="15" x14ac:dyDescent="0.25">
      <c r="A62" s="9" t="s">
        <v>14</v>
      </c>
      <c r="B62" s="9" t="s">
        <v>74</v>
      </c>
      <c r="C62" s="9" t="s">
        <v>15</v>
      </c>
      <c r="D62" s="49"/>
      <c r="E62" s="49"/>
      <c r="F62" s="49"/>
      <c r="G62" s="49"/>
      <c r="H62" s="49"/>
      <c r="I62" s="49"/>
      <c r="J62" s="49"/>
      <c r="K62" s="49"/>
      <c r="L62" s="49"/>
      <c r="M62" s="3"/>
    </row>
    <row r="63" spans="1:15" s="50" customFormat="1" ht="15" x14ac:dyDescent="0.25">
      <c r="A63" s="11" t="s">
        <v>16</v>
      </c>
      <c r="B63" s="11">
        <v>2013</v>
      </c>
      <c r="C63" s="11">
        <v>2014</v>
      </c>
      <c r="D63" s="51">
        <v>2015</v>
      </c>
      <c r="E63" s="11">
        <v>2016</v>
      </c>
      <c r="F63" s="51">
        <v>2017</v>
      </c>
      <c r="G63" s="11">
        <v>2018</v>
      </c>
      <c r="H63" s="51">
        <v>2019</v>
      </c>
      <c r="I63" s="11">
        <v>2020</v>
      </c>
      <c r="J63" s="51">
        <v>2021</v>
      </c>
      <c r="K63" s="51">
        <v>2022</v>
      </c>
      <c r="L63" s="51">
        <v>2023</v>
      </c>
      <c r="M63" s="51">
        <v>2024</v>
      </c>
      <c r="N63" s="51">
        <v>2025</v>
      </c>
      <c r="O63" s="51">
        <v>2026</v>
      </c>
    </row>
    <row r="64" spans="1:15" s="50" customFormat="1" ht="15" x14ac:dyDescent="0.25">
      <c r="A64" s="11" t="s">
        <v>17</v>
      </c>
      <c r="B64" s="11">
        <v>10</v>
      </c>
      <c r="C64" s="11">
        <v>10</v>
      </c>
      <c r="D64" s="11">
        <v>10</v>
      </c>
      <c r="E64" s="11">
        <v>10</v>
      </c>
      <c r="F64" s="11">
        <v>10</v>
      </c>
      <c r="G64" s="11">
        <v>10</v>
      </c>
      <c r="H64" s="11">
        <v>10</v>
      </c>
      <c r="I64" s="11">
        <v>10</v>
      </c>
      <c r="J64" s="11">
        <v>10</v>
      </c>
      <c r="K64" s="11">
        <v>10</v>
      </c>
      <c r="L64" s="11">
        <v>10</v>
      </c>
      <c r="M64" s="11">
        <v>10</v>
      </c>
      <c r="N64" s="11">
        <v>10</v>
      </c>
      <c r="O64" s="11">
        <v>10</v>
      </c>
    </row>
    <row r="65" spans="1:15" s="50" customFormat="1" ht="15" x14ac:dyDescent="0.25">
      <c r="A65" s="11" t="s">
        <v>18</v>
      </c>
      <c r="B65" s="11"/>
      <c r="C65" s="11"/>
      <c r="D65" s="11">
        <f t="shared" ref="D65:J65" si="2">D64+B68</f>
        <v>8.98</v>
      </c>
      <c r="E65" s="12">
        <f t="shared" si="2"/>
        <v>8.41</v>
      </c>
      <c r="F65" s="12">
        <f t="shared" si="2"/>
        <v>-14.739999999999998</v>
      </c>
      <c r="G65" s="12">
        <f t="shared" si="2"/>
        <v>7.2100000000000009</v>
      </c>
      <c r="H65" s="12">
        <f t="shared" si="2"/>
        <v>-28.769999999999996</v>
      </c>
      <c r="I65" s="12">
        <f t="shared" si="2"/>
        <v>3.66</v>
      </c>
      <c r="J65" s="12">
        <f t="shared" si="2"/>
        <v>-32.25</v>
      </c>
      <c r="K65" s="12">
        <f>K64+(1.25*I68)</f>
        <v>-12.337500000000002</v>
      </c>
      <c r="L65" s="12">
        <f>L64+(1.25*J68)</f>
        <v>-45.600000000000009</v>
      </c>
      <c r="M65" s="12">
        <f>M64+(1.25*K68)</f>
        <v>-17.296875000000004</v>
      </c>
      <c r="N65" s="12">
        <f>N64+(1.25*L68)</f>
        <v>-58.275000000000006</v>
      </c>
      <c r="O65" s="12">
        <f>O64+(1.25*M68)</f>
        <v>-21.158593750000001</v>
      </c>
    </row>
    <row r="66" spans="1:15" s="50" customFormat="1" ht="15" x14ac:dyDescent="0.25">
      <c r="A66" s="11" t="s">
        <v>19</v>
      </c>
      <c r="B66" s="11"/>
      <c r="C66" s="11"/>
      <c r="D66" s="11">
        <v>1</v>
      </c>
      <c r="E66" s="11">
        <v>2</v>
      </c>
      <c r="F66" s="11">
        <v>3</v>
      </c>
      <c r="G66" s="11">
        <v>4</v>
      </c>
      <c r="H66" s="11">
        <v>5</v>
      </c>
      <c r="I66" s="11">
        <v>6</v>
      </c>
      <c r="J66" s="11">
        <v>7</v>
      </c>
      <c r="K66" s="11">
        <v>8</v>
      </c>
      <c r="L66" s="11">
        <v>9</v>
      </c>
      <c r="M66" s="11">
        <v>10</v>
      </c>
      <c r="N66" s="11">
        <v>11</v>
      </c>
      <c r="O66" s="11">
        <v>12</v>
      </c>
    </row>
    <row r="67" spans="1:15" s="50" customFormat="1" ht="15" x14ac:dyDescent="0.25">
      <c r="A67" s="11" t="s">
        <v>20</v>
      </c>
      <c r="B67" s="11">
        <v>11.02</v>
      </c>
      <c r="C67" s="11">
        <v>11.59</v>
      </c>
      <c r="D67" s="52">
        <v>33.72</v>
      </c>
      <c r="E67" s="52">
        <v>11.2</v>
      </c>
      <c r="F67" s="52">
        <v>24.03</v>
      </c>
      <c r="G67" s="52">
        <v>13.55</v>
      </c>
      <c r="H67" s="52">
        <v>13.48</v>
      </c>
      <c r="I67" s="52">
        <v>21.53</v>
      </c>
      <c r="J67" s="52">
        <v>12.23</v>
      </c>
      <c r="K67" s="52">
        <v>9.5</v>
      </c>
      <c r="L67" s="51">
        <v>9.02</v>
      </c>
      <c r="M67" s="51">
        <v>7.63</v>
      </c>
      <c r="N67" s="51"/>
      <c r="O67" s="51"/>
    </row>
    <row r="68" spans="1:15" s="50" customFormat="1" ht="15" x14ac:dyDescent="0.25">
      <c r="A68" s="11" t="s">
        <v>21</v>
      </c>
      <c r="B68" s="11">
        <f>B64-B67</f>
        <v>-1.0199999999999996</v>
      </c>
      <c r="C68" s="11">
        <f>C64-C67</f>
        <v>-1.5899999999999999</v>
      </c>
      <c r="D68" s="11">
        <f>D65-D67</f>
        <v>-24.74</v>
      </c>
      <c r="E68" s="12">
        <f>E65-E67</f>
        <v>-2.7899999999999991</v>
      </c>
      <c r="F68" s="12">
        <f t="shared" ref="F68:K68" si="3">F65-F67</f>
        <v>-38.769999999999996</v>
      </c>
      <c r="G68" s="12">
        <f t="shared" si="3"/>
        <v>-6.34</v>
      </c>
      <c r="H68" s="12">
        <f t="shared" si="3"/>
        <v>-42.25</v>
      </c>
      <c r="I68" s="12">
        <f t="shared" si="3"/>
        <v>-17.87</v>
      </c>
      <c r="J68" s="12">
        <f t="shared" si="3"/>
        <v>-44.480000000000004</v>
      </c>
      <c r="K68" s="12">
        <f t="shared" si="3"/>
        <v>-21.837500000000002</v>
      </c>
      <c r="L68" s="12">
        <f>L65-L67</f>
        <v>-54.620000000000005</v>
      </c>
      <c r="M68" s="12">
        <f>M65-M67</f>
        <v>-24.926875000000003</v>
      </c>
      <c r="N68" s="11"/>
      <c r="O68" s="11"/>
    </row>
    <row r="69" spans="1:15" s="50" customFormat="1" ht="15" x14ac:dyDescent="0.25">
      <c r="A69" s="17" t="s">
        <v>22</v>
      </c>
      <c r="B69" s="17">
        <v>2015</v>
      </c>
      <c r="C69" s="17">
        <v>2016</v>
      </c>
      <c r="D69" s="17">
        <v>2017</v>
      </c>
      <c r="E69" s="17">
        <v>2018</v>
      </c>
      <c r="F69" s="17">
        <v>2019</v>
      </c>
      <c r="G69" s="17">
        <v>2020</v>
      </c>
      <c r="H69" s="17">
        <v>2021</v>
      </c>
      <c r="I69" s="17">
        <v>2022</v>
      </c>
      <c r="J69" s="17">
        <v>2023</v>
      </c>
      <c r="K69" s="17">
        <v>2024</v>
      </c>
      <c r="L69" s="17">
        <v>2025</v>
      </c>
      <c r="M69" s="17">
        <v>2026</v>
      </c>
      <c r="N69" s="17">
        <v>2027</v>
      </c>
      <c r="O69" s="17">
        <v>2028</v>
      </c>
    </row>
    <row r="70" spans="1:15" s="50" customFormat="1" ht="15" x14ac:dyDescent="0.25">
      <c r="A70" s="18">
        <v>1</v>
      </c>
      <c r="B70" s="53" t="s">
        <v>912</v>
      </c>
      <c r="C70" s="19"/>
      <c r="D70" s="19"/>
      <c r="E70" s="19"/>
      <c r="F70" s="19"/>
      <c r="G70" s="19"/>
      <c r="H70" s="19"/>
      <c r="I70" s="19"/>
      <c r="J70" s="19"/>
      <c r="K70" s="19"/>
      <c r="L70" s="19"/>
      <c r="M70" s="19"/>
      <c r="N70" s="54"/>
      <c r="O70" s="55"/>
    </row>
    <row r="71" spans="1:15" s="50" customFormat="1" ht="15" x14ac:dyDescent="0.25">
      <c r="A71" s="56">
        <v>2</v>
      </c>
      <c r="B71" s="49" t="s">
        <v>913</v>
      </c>
      <c r="C71" s="3"/>
      <c r="D71" s="3"/>
      <c r="E71" s="3"/>
      <c r="F71" s="3"/>
      <c r="G71" s="3"/>
      <c r="H71" s="3"/>
      <c r="I71" s="3"/>
      <c r="J71" s="3"/>
      <c r="K71" s="3"/>
      <c r="L71" s="3"/>
      <c r="M71" s="3"/>
      <c r="O71" s="57"/>
    </row>
    <row r="72" spans="1:15" s="50" customFormat="1" ht="15" x14ac:dyDescent="0.25">
      <c r="A72" s="39">
        <v>3</v>
      </c>
      <c r="B72" s="49" t="s">
        <v>914</v>
      </c>
      <c r="C72" s="3"/>
      <c r="D72" s="3"/>
      <c r="E72" s="3"/>
      <c r="F72" s="3"/>
      <c r="G72" s="3"/>
      <c r="H72" s="3"/>
      <c r="I72" s="3"/>
      <c r="J72" s="3"/>
      <c r="K72" s="3"/>
      <c r="L72" s="3"/>
      <c r="M72" s="3"/>
      <c r="O72" s="57"/>
    </row>
    <row r="73" spans="1:15" s="50" customFormat="1" ht="15" x14ac:dyDescent="0.25">
      <c r="A73" s="56">
        <v>4</v>
      </c>
      <c r="B73" s="49" t="s">
        <v>915</v>
      </c>
      <c r="C73" s="3"/>
      <c r="D73" s="3"/>
      <c r="E73" s="3"/>
      <c r="F73" s="3"/>
      <c r="G73" s="3"/>
      <c r="H73" s="3"/>
      <c r="I73" s="3"/>
      <c r="J73" s="3"/>
      <c r="K73" s="3"/>
      <c r="L73" s="3"/>
      <c r="M73" s="3"/>
      <c r="O73" s="57"/>
    </row>
    <row r="74" spans="1:15" s="50" customFormat="1" ht="15" x14ac:dyDescent="0.25">
      <c r="A74" s="39">
        <v>5</v>
      </c>
      <c r="B74" s="49" t="s">
        <v>916</v>
      </c>
      <c r="C74" s="3"/>
      <c r="D74" s="3"/>
      <c r="E74" s="3"/>
      <c r="F74" s="3"/>
      <c r="G74" s="3"/>
      <c r="H74" s="3"/>
      <c r="I74" s="3"/>
      <c r="J74" s="3"/>
      <c r="K74" s="3"/>
      <c r="L74" s="3"/>
      <c r="M74" s="3"/>
      <c r="O74" s="57"/>
    </row>
    <row r="75" spans="1:15" s="50" customFormat="1" ht="15" x14ac:dyDescent="0.25">
      <c r="A75" s="56">
        <v>6</v>
      </c>
      <c r="B75" s="49" t="s">
        <v>917</v>
      </c>
      <c r="C75" s="3"/>
      <c r="D75" s="3"/>
      <c r="E75" s="3"/>
      <c r="F75" s="3"/>
      <c r="G75" s="3"/>
      <c r="H75" s="3"/>
      <c r="I75" s="3"/>
      <c r="J75" s="3"/>
      <c r="K75" s="3"/>
      <c r="L75" s="3"/>
      <c r="M75" s="3"/>
      <c r="O75" s="57"/>
    </row>
    <row r="76" spans="1:15" s="50" customFormat="1" ht="15" x14ac:dyDescent="0.25">
      <c r="A76" s="39">
        <v>7</v>
      </c>
      <c r="B76" s="49" t="s">
        <v>918</v>
      </c>
      <c r="C76" s="3"/>
      <c r="D76" s="3"/>
      <c r="E76" s="3"/>
      <c r="F76" s="3"/>
      <c r="G76" s="3"/>
      <c r="H76" s="3"/>
      <c r="I76" s="3"/>
      <c r="J76" s="3"/>
      <c r="K76" s="3"/>
      <c r="L76" s="3"/>
      <c r="M76" s="3"/>
      <c r="O76" s="57"/>
    </row>
    <row r="77" spans="1:15" s="50" customFormat="1" ht="15" x14ac:dyDescent="0.25">
      <c r="A77" s="56">
        <v>8</v>
      </c>
      <c r="B77" s="49" t="s">
        <v>919</v>
      </c>
      <c r="C77" s="3"/>
      <c r="D77" s="3"/>
      <c r="E77" s="3"/>
      <c r="F77" s="3"/>
      <c r="G77" s="3"/>
      <c r="H77" s="3"/>
      <c r="I77" s="3"/>
      <c r="J77" s="3"/>
      <c r="K77" s="3"/>
      <c r="L77" s="3"/>
      <c r="M77" s="3"/>
      <c r="O77" s="57"/>
    </row>
    <row r="78" spans="1:15" s="50" customFormat="1" ht="15" x14ac:dyDescent="0.25">
      <c r="A78" s="56">
        <v>9</v>
      </c>
      <c r="B78" s="49" t="s">
        <v>920</v>
      </c>
      <c r="C78" s="3"/>
      <c r="D78" s="3"/>
      <c r="E78" s="3"/>
      <c r="F78" s="3"/>
      <c r="G78" s="3"/>
      <c r="H78" s="3"/>
      <c r="I78" s="3"/>
      <c r="J78" s="3"/>
      <c r="K78" s="3"/>
      <c r="L78" s="3"/>
      <c r="M78" s="3"/>
      <c r="O78" s="57"/>
    </row>
    <row r="79" spans="1:15" s="50" customFormat="1" ht="15" x14ac:dyDescent="0.25">
      <c r="A79" s="39">
        <v>10</v>
      </c>
      <c r="B79" s="49" t="s">
        <v>989</v>
      </c>
      <c r="C79" s="3"/>
      <c r="D79" s="3"/>
      <c r="E79" s="3"/>
      <c r="F79" s="3"/>
      <c r="G79" s="3"/>
      <c r="H79" s="3"/>
      <c r="I79" s="3"/>
      <c r="J79" s="3"/>
      <c r="K79" s="3"/>
      <c r="L79" s="3"/>
      <c r="M79" s="3"/>
      <c r="O79" s="57"/>
    </row>
    <row r="80" spans="1:15" s="50" customFormat="1" ht="15" x14ac:dyDescent="0.25">
      <c r="A80" s="39">
        <v>11</v>
      </c>
      <c r="B80" s="49" t="s">
        <v>1137</v>
      </c>
      <c r="C80" s="3"/>
      <c r="D80" s="3"/>
      <c r="E80" s="3"/>
      <c r="F80" s="3"/>
      <c r="G80" s="3"/>
      <c r="H80" s="3"/>
      <c r="I80" s="3"/>
      <c r="J80" s="3"/>
      <c r="K80" s="3"/>
      <c r="L80" s="3"/>
      <c r="M80" s="3"/>
      <c r="O80" s="57"/>
    </row>
    <row r="81" spans="1:15" s="59" customFormat="1" ht="15" x14ac:dyDescent="0.25">
      <c r="A81" s="41">
        <v>12</v>
      </c>
      <c r="B81" s="58" t="s">
        <v>1155</v>
      </c>
      <c r="C81" s="34"/>
      <c r="D81" s="34"/>
      <c r="E81" s="34"/>
      <c r="F81" s="34"/>
      <c r="G81" s="34"/>
      <c r="H81" s="34"/>
      <c r="I81" s="34"/>
      <c r="J81" s="34"/>
      <c r="K81" s="34"/>
      <c r="L81" s="34"/>
      <c r="M81" s="34"/>
      <c r="O81" s="60"/>
    </row>
    <row r="83" spans="1:15" x14ac:dyDescent="0.2">
      <c r="A83" s="9" t="s">
        <v>14</v>
      </c>
      <c r="B83" s="9" t="s">
        <v>79</v>
      </c>
      <c r="C83" s="9" t="s">
        <v>15</v>
      </c>
    </row>
    <row r="84" spans="1:15" x14ac:dyDescent="0.2">
      <c r="A84" s="11" t="s">
        <v>16</v>
      </c>
      <c r="B84" s="11">
        <v>2013</v>
      </c>
      <c r="C84" s="11">
        <v>2014</v>
      </c>
      <c r="D84" s="11">
        <v>2015</v>
      </c>
      <c r="E84" s="11">
        <v>2016</v>
      </c>
      <c r="F84" s="11">
        <v>2017</v>
      </c>
      <c r="G84" s="11">
        <v>2018</v>
      </c>
      <c r="H84" s="11">
        <v>2019</v>
      </c>
      <c r="I84" s="11">
        <v>2020</v>
      </c>
      <c r="J84" s="11">
        <v>2021</v>
      </c>
      <c r="K84" s="11">
        <v>2022</v>
      </c>
      <c r="L84" s="11">
        <v>2023</v>
      </c>
      <c r="M84" s="11">
        <v>2024</v>
      </c>
      <c r="N84" s="11">
        <v>2025</v>
      </c>
    </row>
    <row r="85" spans="1:15" x14ac:dyDescent="0.2">
      <c r="A85" s="11" t="s">
        <v>17</v>
      </c>
      <c r="B85" s="11">
        <v>10</v>
      </c>
      <c r="C85" s="11">
        <v>10</v>
      </c>
      <c r="D85" s="11">
        <v>10</v>
      </c>
      <c r="E85" s="11">
        <v>10</v>
      </c>
      <c r="F85" s="11">
        <v>10</v>
      </c>
      <c r="G85" s="11">
        <v>10</v>
      </c>
      <c r="H85" s="11">
        <v>10</v>
      </c>
      <c r="I85" s="11">
        <v>10</v>
      </c>
      <c r="J85" s="11">
        <v>10</v>
      </c>
      <c r="K85" s="11">
        <v>10</v>
      </c>
      <c r="L85" s="11">
        <v>10</v>
      </c>
      <c r="M85" s="11">
        <v>10</v>
      </c>
      <c r="N85" s="11">
        <v>10</v>
      </c>
    </row>
    <row r="86" spans="1:15" x14ac:dyDescent="0.2">
      <c r="A86" s="11" t="s">
        <v>18</v>
      </c>
      <c r="B86" s="11"/>
      <c r="C86" s="11"/>
      <c r="D86" s="11">
        <f>D85+0.2*B85</f>
        <v>12</v>
      </c>
      <c r="E86" s="12">
        <f>E85+0.2*C85</f>
        <v>12</v>
      </c>
      <c r="F86" s="12">
        <f>F85+0.2*D85</f>
        <v>12</v>
      </c>
      <c r="G86" s="12">
        <f>G85+E89</f>
        <v>7.77</v>
      </c>
      <c r="H86" s="12">
        <f>H85+F89</f>
        <v>4.6000000000000014</v>
      </c>
      <c r="I86" s="12">
        <f>I85+G89</f>
        <v>0.26999999999999957</v>
      </c>
      <c r="J86" s="12">
        <f>J85+H89</f>
        <v>3.0400000000000009</v>
      </c>
      <c r="K86" s="12">
        <f>K85+(1.25*I89)</f>
        <v>-7.6125000000000007</v>
      </c>
      <c r="L86" s="12">
        <f>L85+(1.25*J89)</f>
        <v>1.3000000000000007</v>
      </c>
      <c r="M86" s="12">
        <f>M85+(1.25*K89)</f>
        <v>-11.640625</v>
      </c>
      <c r="N86" s="12">
        <f>N85+(1.25*L89)</f>
        <v>2.4000000000000012</v>
      </c>
    </row>
    <row r="87" spans="1:15" x14ac:dyDescent="0.2">
      <c r="A87" s="11" t="s">
        <v>19</v>
      </c>
      <c r="B87" s="11"/>
      <c r="C87" s="11"/>
      <c r="D87" s="11">
        <v>1</v>
      </c>
      <c r="E87" s="11">
        <v>2</v>
      </c>
      <c r="F87" s="11">
        <v>3</v>
      </c>
      <c r="G87" s="11">
        <v>4</v>
      </c>
      <c r="H87" s="11">
        <v>5</v>
      </c>
      <c r="I87" s="11">
        <v>6</v>
      </c>
      <c r="J87" s="11">
        <v>7</v>
      </c>
      <c r="K87" s="11">
        <v>8</v>
      </c>
      <c r="L87" s="11">
        <v>9</v>
      </c>
      <c r="M87" s="11">
        <v>10</v>
      </c>
      <c r="N87" s="11">
        <v>11</v>
      </c>
    </row>
    <row r="88" spans="1:15" x14ac:dyDescent="0.2">
      <c r="A88" s="11" t="s">
        <v>20</v>
      </c>
      <c r="B88" s="11">
        <v>5.51</v>
      </c>
      <c r="C88" s="11">
        <v>6.24</v>
      </c>
      <c r="D88" s="11">
        <v>9.6999999999999993</v>
      </c>
      <c r="E88" s="11">
        <v>14.23</v>
      </c>
      <c r="F88" s="11">
        <v>17.399999999999999</v>
      </c>
      <c r="G88" s="12">
        <v>17.5</v>
      </c>
      <c r="H88" s="12">
        <v>11.56</v>
      </c>
      <c r="I88" s="12">
        <v>14.36</v>
      </c>
      <c r="J88" s="12">
        <v>10</v>
      </c>
      <c r="K88" s="12">
        <v>9.6999999999999993</v>
      </c>
      <c r="L88" s="11">
        <v>7.38</v>
      </c>
      <c r="M88" s="11">
        <v>6.24</v>
      </c>
      <c r="N88" s="11"/>
    </row>
    <row r="89" spans="1:15" x14ac:dyDescent="0.2">
      <c r="A89" s="11" t="s">
        <v>21</v>
      </c>
      <c r="B89" s="11">
        <f>B85-B88</f>
        <v>4.49</v>
      </c>
      <c r="C89" s="11">
        <f>C85-C88</f>
        <v>3.76</v>
      </c>
      <c r="D89" s="11">
        <f>D86-D88</f>
        <v>2.3000000000000007</v>
      </c>
      <c r="E89" s="11">
        <f t="shared" ref="E89:J89" si="4">E86-E88</f>
        <v>-2.2300000000000004</v>
      </c>
      <c r="F89" s="11">
        <f t="shared" si="4"/>
        <v>-5.3999999999999986</v>
      </c>
      <c r="G89" s="11">
        <f t="shared" si="4"/>
        <v>-9.73</v>
      </c>
      <c r="H89" s="11">
        <f t="shared" si="4"/>
        <v>-6.9599999999999991</v>
      </c>
      <c r="I89" s="11">
        <f t="shared" si="4"/>
        <v>-14.09</v>
      </c>
      <c r="J89" s="11">
        <f t="shared" si="4"/>
        <v>-6.9599999999999991</v>
      </c>
      <c r="K89" s="12">
        <f>K86-K88</f>
        <v>-17.3125</v>
      </c>
      <c r="L89" s="12">
        <f>L86-L88</f>
        <v>-6.0799999999999992</v>
      </c>
      <c r="M89" s="12">
        <f>M86-M88</f>
        <v>-17.880625000000002</v>
      </c>
      <c r="N89" s="11"/>
    </row>
    <row r="90" spans="1:15" x14ac:dyDescent="0.2">
      <c r="A90" s="11" t="s">
        <v>22</v>
      </c>
      <c r="B90" s="11">
        <v>2015</v>
      </c>
      <c r="C90" s="11">
        <v>2016</v>
      </c>
      <c r="D90" s="11">
        <v>2017</v>
      </c>
      <c r="E90" s="11">
        <v>2018</v>
      </c>
      <c r="F90" s="11">
        <v>2019</v>
      </c>
      <c r="G90" s="11">
        <v>2020</v>
      </c>
      <c r="H90" s="11">
        <v>2021</v>
      </c>
      <c r="I90" s="11">
        <v>2022</v>
      </c>
      <c r="J90" s="11">
        <v>2023</v>
      </c>
      <c r="K90" s="11">
        <v>2024</v>
      </c>
      <c r="L90" s="11">
        <v>2025</v>
      </c>
      <c r="M90" s="11">
        <v>2026</v>
      </c>
      <c r="N90" s="11">
        <v>2027</v>
      </c>
    </row>
    <row r="91" spans="1:15" x14ac:dyDescent="0.2">
      <c r="A91" s="16">
        <v>1</v>
      </c>
      <c r="B91" s="61" t="s">
        <v>921</v>
      </c>
      <c r="C91" s="46"/>
      <c r="D91" s="46"/>
      <c r="E91" s="46"/>
      <c r="F91" s="46"/>
      <c r="G91" s="46"/>
      <c r="H91" s="46"/>
      <c r="I91" s="46"/>
      <c r="J91" s="46"/>
      <c r="K91" s="46"/>
      <c r="L91" s="47"/>
      <c r="M91" s="47"/>
      <c r="N91" s="62"/>
    </row>
    <row r="92" spans="1:15" x14ac:dyDescent="0.2">
      <c r="A92" s="18">
        <v>2</v>
      </c>
      <c r="B92" s="53" t="s">
        <v>922</v>
      </c>
      <c r="C92" s="19"/>
      <c r="D92" s="19"/>
      <c r="E92" s="19"/>
      <c r="F92" s="19"/>
      <c r="G92" s="19"/>
      <c r="H92" s="19"/>
      <c r="I92" s="19"/>
      <c r="J92" s="19"/>
      <c r="K92" s="19"/>
      <c r="L92" s="19"/>
      <c r="M92" s="19"/>
      <c r="N92" s="63"/>
    </row>
    <row r="93" spans="1:15" x14ac:dyDescent="0.2">
      <c r="A93" s="39">
        <v>3</v>
      </c>
      <c r="B93" s="49" t="s">
        <v>923</v>
      </c>
      <c r="N93" s="64"/>
    </row>
    <row r="94" spans="1:15" x14ac:dyDescent="0.2">
      <c r="A94" s="39">
        <v>4</v>
      </c>
      <c r="B94" s="49" t="s">
        <v>915</v>
      </c>
      <c r="N94" s="64"/>
    </row>
    <row r="95" spans="1:15" x14ac:dyDescent="0.2">
      <c r="A95" s="39">
        <v>5</v>
      </c>
      <c r="B95" s="49" t="s">
        <v>916</v>
      </c>
      <c r="N95" s="64"/>
    </row>
    <row r="96" spans="1:15" x14ac:dyDescent="0.2">
      <c r="A96" s="39">
        <v>6</v>
      </c>
      <c r="B96" s="49" t="s">
        <v>917</v>
      </c>
      <c r="N96" s="64"/>
    </row>
    <row r="97" spans="1:14" x14ac:dyDescent="0.2">
      <c r="A97" s="39">
        <v>7</v>
      </c>
      <c r="B97" s="49" t="s">
        <v>918</v>
      </c>
      <c r="N97" s="64"/>
    </row>
    <row r="98" spans="1:14" x14ac:dyDescent="0.2">
      <c r="A98" s="39">
        <v>8</v>
      </c>
      <c r="B98" s="49" t="s">
        <v>919</v>
      </c>
      <c r="N98" s="64"/>
    </row>
    <row r="99" spans="1:14" x14ac:dyDescent="0.2">
      <c r="A99" s="39">
        <v>9</v>
      </c>
      <c r="B99" s="49" t="s">
        <v>920</v>
      </c>
      <c r="N99" s="64"/>
    </row>
    <row r="100" spans="1:14" x14ac:dyDescent="0.2">
      <c r="A100" s="39">
        <v>10</v>
      </c>
      <c r="B100" s="49" t="s">
        <v>989</v>
      </c>
      <c r="N100" s="64"/>
    </row>
    <row r="101" spans="1:14" x14ac:dyDescent="0.2">
      <c r="A101" s="39">
        <v>11</v>
      </c>
      <c r="B101" s="49" t="s">
        <v>1137</v>
      </c>
      <c r="N101" s="64"/>
    </row>
    <row r="102" spans="1:14" s="34" customFormat="1" x14ac:dyDescent="0.2">
      <c r="A102" s="41">
        <v>12</v>
      </c>
      <c r="B102" s="58" t="s">
        <v>1155</v>
      </c>
      <c r="N102" s="48"/>
    </row>
    <row r="105" spans="1:14" x14ac:dyDescent="0.2">
      <c r="A105" s="65" t="s">
        <v>12</v>
      </c>
      <c r="B105" s="66" t="s">
        <v>166</v>
      </c>
      <c r="C105" s="8"/>
      <c r="D105" s="8"/>
      <c r="E105" s="8"/>
      <c r="F105" s="8"/>
    </row>
    <row r="106" spans="1:14" x14ac:dyDescent="0.2">
      <c r="A106" s="65" t="s">
        <v>14</v>
      </c>
      <c r="B106" s="66" t="s">
        <v>624</v>
      </c>
      <c r="C106" s="67" t="s">
        <v>15</v>
      </c>
      <c r="D106" s="8"/>
      <c r="E106" s="8"/>
      <c r="F106" s="8"/>
    </row>
    <row r="107" spans="1:14" x14ac:dyDescent="0.2">
      <c r="A107" s="68" t="s">
        <v>16</v>
      </c>
      <c r="B107" s="69"/>
      <c r="C107" s="70">
        <v>2017</v>
      </c>
      <c r="D107" s="67">
        <v>2018</v>
      </c>
      <c r="E107" s="67">
        <v>2019</v>
      </c>
      <c r="F107" s="67">
        <v>2020</v>
      </c>
      <c r="G107" s="67">
        <v>2021</v>
      </c>
      <c r="H107" s="67">
        <v>2022</v>
      </c>
      <c r="I107" s="67">
        <v>2023</v>
      </c>
      <c r="J107" s="67">
        <v>2024</v>
      </c>
      <c r="K107" s="67">
        <v>2025</v>
      </c>
    </row>
    <row r="108" spans="1:14" x14ac:dyDescent="0.2">
      <c r="A108" s="68" t="s">
        <v>17</v>
      </c>
      <c r="B108" s="69"/>
      <c r="C108" s="71">
        <v>200</v>
      </c>
      <c r="D108" s="72">
        <v>200</v>
      </c>
      <c r="E108" s="72">
        <v>215</v>
      </c>
      <c r="F108" s="72">
        <v>215</v>
      </c>
      <c r="G108" s="72">
        <v>242</v>
      </c>
      <c r="H108" s="72">
        <v>242</v>
      </c>
      <c r="I108" s="72">
        <v>242</v>
      </c>
      <c r="J108" s="72">
        <v>302</v>
      </c>
      <c r="K108" s="72">
        <v>302</v>
      </c>
    </row>
    <row r="109" spans="1:14" x14ac:dyDescent="0.2">
      <c r="A109" s="68" t="s">
        <v>18</v>
      </c>
      <c r="B109" s="69"/>
      <c r="C109" s="71">
        <v>450</v>
      </c>
      <c r="D109" s="72">
        <v>450</v>
      </c>
      <c r="E109" s="72">
        <f>E108+C112+200</f>
        <v>416.56</v>
      </c>
      <c r="F109" s="72">
        <v>465</v>
      </c>
      <c r="G109" s="72">
        <f>G108+0.25*E108+200</f>
        <v>495.75</v>
      </c>
      <c r="H109" s="72">
        <f>H108+0.25*F108+200</f>
        <v>495.75</v>
      </c>
      <c r="I109" s="72">
        <f>I108+0.25*G108+200</f>
        <v>502.5</v>
      </c>
      <c r="J109" s="72">
        <f>J108+0.25*H108+200</f>
        <v>562.5</v>
      </c>
      <c r="K109" s="72">
        <v>502.5</v>
      </c>
    </row>
    <row r="110" spans="1:14" x14ac:dyDescent="0.2">
      <c r="A110" s="68" t="s">
        <v>19</v>
      </c>
      <c r="B110" s="69"/>
      <c r="C110" s="71"/>
      <c r="D110" s="72"/>
      <c r="E110" s="669" t="s">
        <v>167</v>
      </c>
      <c r="F110" s="670"/>
      <c r="G110" s="670"/>
      <c r="H110" s="670"/>
      <c r="I110" s="670"/>
      <c r="J110" s="670"/>
      <c r="K110" s="671"/>
    </row>
    <row r="111" spans="1:14" x14ac:dyDescent="0.2">
      <c r="A111" s="68" t="s">
        <v>20</v>
      </c>
      <c r="B111" s="69"/>
      <c r="C111" s="72">
        <v>448.44</v>
      </c>
      <c r="D111" s="72">
        <v>385.14</v>
      </c>
      <c r="E111" s="72">
        <v>216.09</v>
      </c>
      <c r="F111" s="72">
        <v>326.05</v>
      </c>
      <c r="G111" s="72">
        <v>200.65</v>
      </c>
      <c r="H111" s="72">
        <v>214.33</v>
      </c>
      <c r="I111" s="72">
        <v>380.65</v>
      </c>
      <c r="J111" s="72">
        <v>324.64999999999998</v>
      </c>
      <c r="K111" s="72"/>
    </row>
    <row r="112" spans="1:14" x14ac:dyDescent="0.2">
      <c r="A112" s="68" t="s">
        <v>21</v>
      </c>
      <c r="B112" s="69"/>
      <c r="C112" s="72">
        <f t="shared" ref="C112:H112" si="5">C109-C111</f>
        <v>1.5600000000000023</v>
      </c>
      <c r="D112" s="72">
        <f t="shared" si="5"/>
        <v>64.860000000000014</v>
      </c>
      <c r="E112" s="72">
        <f t="shared" si="5"/>
        <v>200.47</v>
      </c>
      <c r="F112" s="72">
        <f t="shared" si="5"/>
        <v>138.94999999999999</v>
      </c>
      <c r="G112" s="72">
        <f t="shared" si="5"/>
        <v>295.10000000000002</v>
      </c>
      <c r="H112" s="72">
        <f t="shared" si="5"/>
        <v>281.41999999999996</v>
      </c>
      <c r="I112" s="72">
        <f>I109-I111</f>
        <v>121.85000000000002</v>
      </c>
      <c r="J112" s="72">
        <f>J109-J111</f>
        <v>237.85000000000002</v>
      </c>
      <c r="K112" s="72"/>
    </row>
    <row r="113" spans="1:12" x14ac:dyDescent="0.2">
      <c r="A113" s="73" t="s">
        <v>22</v>
      </c>
      <c r="B113" s="74"/>
      <c r="C113" s="75">
        <v>2019</v>
      </c>
      <c r="D113" s="74">
        <v>2020</v>
      </c>
      <c r="E113" s="74">
        <v>2021</v>
      </c>
      <c r="F113" s="74">
        <v>2022</v>
      </c>
      <c r="G113" s="74">
        <v>2023</v>
      </c>
      <c r="H113" s="74">
        <v>2024</v>
      </c>
      <c r="I113" s="74">
        <v>2025</v>
      </c>
      <c r="J113" s="74">
        <v>2026</v>
      </c>
      <c r="K113" s="74"/>
    </row>
    <row r="114" spans="1:12" x14ac:dyDescent="0.2">
      <c r="A114" s="667" t="s">
        <v>206</v>
      </c>
      <c r="B114" s="668"/>
      <c r="C114" s="668"/>
      <c r="D114" s="668"/>
      <c r="E114" s="668"/>
      <c r="F114" s="668"/>
      <c r="G114" s="46"/>
      <c r="H114" s="46"/>
      <c r="I114" s="47"/>
      <c r="J114" s="47"/>
      <c r="K114" s="47"/>
    </row>
    <row r="115" spans="1:12" x14ac:dyDescent="0.2">
      <c r="A115" s="675" t="s">
        <v>370</v>
      </c>
      <c r="B115" s="676"/>
      <c r="C115" s="676"/>
      <c r="D115" s="676"/>
      <c r="E115" s="676"/>
      <c r="F115" s="676"/>
      <c r="G115" s="19"/>
      <c r="H115" s="19"/>
      <c r="I115" s="19"/>
      <c r="J115" s="19"/>
      <c r="K115" s="63"/>
    </row>
    <row r="116" spans="1:12" x14ac:dyDescent="0.2">
      <c r="A116" s="78" t="s">
        <v>250</v>
      </c>
      <c r="B116" s="79"/>
      <c r="C116" s="79"/>
      <c r="D116" s="80"/>
      <c r="E116" s="80"/>
      <c r="F116" s="80"/>
      <c r="K116" s="64"/>
    </row>
    <row r="117" spans="1:12" x14ac:dyDescent="0.2">
      <c r="A117" s="78" t="s">
        <v>568</v>
      </c>
      <c r="B117" s="79"/>
      <c r="C117" s="79"/>
      <c r="D117" s="80"/>
      <c r="E117" s="80"/>
      <c r="F117" s="80"/>
      <c r="K117" s="64"/>
    </row>
    <row r="118" spans="1:12" x14ac:dyDescent="0.2">
      <c r="A118" s="78" t="s">
        <v>412</v>
      </c>
      <c r="B118" s="79"/>
      <c r="C118" s="79"/>
      <c r="D118" s="80"/>
      <c r="E118" s="80"/>
      <c r="F118" s="80"/>
      <c r="K118" s="64"/>
    </row>
    <row r="119" spans="1:12" x14ac:dyDescent="0.2">
      <c r="A119" s="81" t="s">
        <v>573</v>
      </c>
      <c r="B119" s="79"/>
      <c r="C119" s="79"/>
      <c r="D119" s="80"/>
      <c r="E119" s="80"/>
      <c r="F119" s="80"/>
      <c r="K119" s="64"/>
    </row>
    <row r="120" spans="1:12" x14ac:dyDescent="0.2">
      <c r="A120" s="82" t="s">
        <v>1156</v>
      </c>
      <c r="B120" s="79"/>
      <c r="C120" s="79"/>
      <c r="D120" s="80"/>
      <c r="E120" s="80"/>
      <c r="F120" s="80"/>
      <c r="K120" s="64"/>
    </row>
    <row r="121" spans="1:12" x14ac:dyDescent="0.2">
      <c r="A121" s="81" t="s">
        <v>671</v>
      </c>
      <c r="B121" s="83"/>
      <c r="C121" s="83"/>
      <c r="D121" s="83"/>
      <c r="E121" s="83"/>
      <c r="F121" s="83"/>
      <c r="K121" s="64"/>
    </row>
    <row r="122" spans="1:12" x14ac:dyDescent="0.2">
      <c r="A122" s="81" t="s">
        <v>765</v>
      </c>
      <c r="B122" s="83"/>
      <c r="C122" s="83"/>
      <c r="D122" s="83"/>
      <c r="E122" s="83"/>
      <c r="F122" s="83"/>
      <c r="K122" s="64"/>
    </row>
    <row r="123" spans="1:12" x14ac:dyDescent="0.2">
      <c r="A123" s="84" t="s">
        <v>990</v>
      </c>
      <c r="B123" s="85"/>
      <c r="C123" s="85"/>
      <c r="D123" s="85"/>
      <c r="E123" s="85"/>
      <c r="F123" s="85"/>
      <c r="G123" s="34"/>
      <c r="H123" s="34"/>
      <c r="I123" s="34"/>
      <c r="J123" s="34"/>
      <c r="K123" s="48"/>
    </row>
    <row r="124" spans="1:12" x14ac:dyDescent="0.2">
      <c r="A124" s="86"/>
      <c r="B124" s="8"/>
      <c r="C124" s="8"/>
      <c r="D124" s="8"/>
      <c r="E124" s="8"/>
      <c r="F124" s="8"/>
    </row>
    <row r="125" spans="1:12" s="34" customFormat="1" x14ac:dyDescent="0.2">
      <c r="A125" s="84"/>
      <c r="B125" s="85"/>
      <c r="C125" s="85"/>
      <c r="D125" s="85"/>
      <c r="E125" s="85"/>
      <c r="F125" s="85"/>
    </row>
    <row r="127" spans="1:12" x14ac:dyDescent="0.2">
      <c r="A127" s="65" t="s">
        <v>14</v>
      </c>
      <c r="B127" s="66" t="s">
        <v>638</v>
      </c>
      <c r="C127" s="67" t="s">
        <v>15</v>
      </c>
      <c r="D127" s="8"/>
      <c r="E127" s="8"/>
      <c r="F127" s="8"/>
    </row>
    <row r="128" spans="1:12" x14ac:dyDescent="0.2">
      <c r="A128" s="87" t="s">
        <v>16</v>
      </c>
      <c r="B128" s="69"/>
      <c r="C128" s="67">
        <v>2017</v>
      </c>
      <c r="D128" s="67">
        <v>2018</v>
      </c>
      <c r="E128" s="67">
        <v>2019</v>
      </c>
      <c r="F128" s="67">
        <v>2020</v>
      </c>
      <c r="G128" s="67">
        <v>2021</v>
      </c>
      <c r="H128" s="67">
        <v>2022</v>
      </c>
      <c r="I128" s="67">
        <v>2023</v>
      </c>
      <c r="J128" s="67">
        <v>2024</v>
      </c>
      <c r="K128" s="67">
        <v>2025</v>
      </c>
      <c r="L128" s="67">
        <v>2026</v>
      </c>
    </row>
    <row r="129" spans="1:12" x14ac:dyDescent="0.2">
      <c r="A129" s="87" t="s">
        <v>17</v>
      </c>
      <c r="B129" s="69"/>
      <c r="C129" s="72">
        <v>250</v>
      </c>
      <c r="D129" s="72">
        <v>250</v>
      </c>
      <c r="E129" s="72">
        <v>250</v>
      </c>
      <c r="F129" s="72">
        <v>250</v>
      </c>
      <c r="G129" s="72">
        <v>250</v>
      </c>
      <c r="H129" s="72">
        <v>250</v>
      </c>
      <c r="I129" s="72">
        <v>300</v>
      </c>
      <c r="J129" s="72">
        <v>300</v>
      </c>
      <c r="K129" s="72">
        <v>300</v>
      </c>
      <c r="L129" s="72">
        <v>300</v>
      </c>
    </row>
    <row r="130" spans="1:12" x14ac:dyDescent="0.2">
      <c r="A130" s="87" t="s">
        <v>18</v>
      </c>
      <c r="B130" s="69"/>
      <c r="C130" s="72">
        <v>312.5</v>
      </c>
      <c r="D130" s="72">
        <v>312.5</v>
      </c>
      <c r="E130" s="72">
        <v>312.5</v>
      </c>
      <c r="F130" s="72">
        <f>F129+D133</f>
        <v>251.98000000000002</v>
      </c>
      <c r="G130" s="72">
        <f>G129+0.25*E129</f>
        <v>312.5</v>
      </c>
      <c r="H130" s="72">
        <f>H129+0.25*F129</f>
        <v>312.5</v>
      </c>
      <c r="I130" s="72">
        <f>I129+0.25*G129</f>
        <v>362.5</v>
      </c>
      <c r="J130" s="72">
        <f>J129+3.72</f>
        <v>303.72000000000003</v>
      </c>
      <c r="K130" s="72">
        <f>K129+0.25*I129</f>
        <v>375</v>
      </c>
      <c r="L130" s="72">
        <f>L129+0.25*J129</f>
        <v>375</v>
      </c>
    </row>
    <row r="131" spans="1:12" ht="15" customHeight="1" x14ac:dyDescent="0.2">
      <c r="A131" s="87" t="s">
        <v>19</v>
      </c>
      <c r="B131" s="69"/>
      <c r="C131" s="672" t="s">
        <v>672</v>
      </c>
      <c r="D131" s="673"/>
      <c r="E131" s="673"/>
      <c r="F131" s="673"/>
      <c r="G131" s="673"/>
      <c r="H131" s="673"/>
      <c r="I131" s="673"/>
      <c r="J131" s="673"/>
      <c r="K131" s="674"/>
      <c r="L131" s="88"/>
    </row>
    <row r="132" spans="1:12" x14ac:dyDescent="0.2">
      <c r="A132" s="87" t="s">
        <v>20</v>
      </c>
      <c r="B132" s="69"/>
      <c r="C132" s="89">
        <v>219.03</v>
      </c>
      <c r="D132" s="89">
        <v>310.52</v>
      </c>
      <c r="E132" s="89">
        <v>158.13999999999999</v>
      </c>
      <c r="F132" s="89">
        <v>162.13</v>
      </c>
      <c r="G132" s="89">
        <v>30.84</v>
      </c>
      <c r="H132" s="89">
        <v>12.74</v>
      </c>
      <c r="I132" s="89">
        <v>0</v>
      </c>
      <c r="J132" s="89">
        <v>1</v>
      </c>
      <c r="K132" s="89"/>
      <c r="L132" s="90"/>
    </row>
    <row r="133" spans="1:12" x14ac:dyDescent="0.2">
      <c r="A133" s="87" t="s">
        <v>21</v>
      </c>
      <c r="B133" s="69"/>
      <c r="C133" s="72">
        <f t="shared" ref="C133:J133" si="6">C130-C132</f>
        <v>93.47</v>
      </c>
      <c r="D133" s="72">
        <f t="shared" si="6"/>
        <v>1.9800000000000182</v>
      </c>
      <c r="E133" s="72">
        <f t="shared" si="6"/>
        <v>154.36000000000001</v>
      </c>
      <c r="F133" s="72">
        <f t="shared" si="6"/>
        <v>89.850000000000023</v>
      </c>
      <c r="G133" s="72">
        <f t="shared" si="6"/>
        <v>281.66000000000003</v>
      </c>
      <c r="H133" s="72">
        <f t="shared" si="6"/>
        <v>299.76</v>
      </c>
      <c r="I133" s="72">
        <f>I130-I132</f>
        <v>362.5</v>
      </c>
      <c r="J133" s="72">
        <f t="shared" si="6"/>
        <v>302.72000000000003</v>
      </c>
      <c r="K133" s="72"/>
      <c r="L133" s="90"/>
    </row>
    <row r="134" spans="1:12" x14ac:dyDescent="0.2">
      <c r="A134" s="91" t="s">
        <v>22</v>
      </c>
      <c r="B134" s="74"/>
      <c r="C134" s="74">
        <v>2019</v>
      </c>
      <c r="D134" s="74">
        <v>2020</v>
      </c>
      <c r="E134" s="74">
        <v>2021</v>
      </c>
      <c r="F134" s="74">
        <v>2022</v>
      </c>
      <c r="G134" s="74">
        <v>2023</v>
      </c>
      <c r="H134" s="74">
        <v>2024</v>
      </c>
      <c r="I134" s="74">
        <v>2025</v>
      </c>
      <c r="J134" s="74">
        <v>2026</v>
      </c>
      <c r="K134" s="74">
        <v>2027</v>
      </c>
      <c r="L134" s="90">
        <v>2028</v>
      </c>
    </row>
    <row r="135" spans="1:12" x14ac:dyDescent="0.2">
      <c r="A135" s="92" t="s">
        <v>207</v>
      </c>
      <c r="B135" s="93"/>
      <c r="C135" s="93"/>
      <c r="D135" s="93"/>
      <c r="E135" s="93"/>
      <c r="F135" s="93"/>
      <c r="G135" s="19"/>
      <c r="H135" s="19"/>
      <c r="I135" s="19"/>
      <c r="J135" s="19"/>
      <c r="K135" s="19"/>
      <c r="L135" s="63"/>
    </row>
    <row r="136" spans="1:12" x14ac:dyDescent="0.2">
      <c r="A136" s="94" t="s">
        <v>252</v>
      </c>
      <c r="B136" s="8"/>
      <c r="C136" s="8"/>
      <c r="D136" s="8"/>
      <c r="E136" s="8"/>
      <c r="F136" s="8"/>
      <c r="L136" s="64"/>
    </row>
    <row r="137" spans="1:12" x14ac:dyDescent="0.2">
      <c r="A137" s="94" t="s">
        <v>413</v>
      </c>
      <c r="B137" s="8"/>
      <c r="C137" s="8"/>
      <c r="D137" s="8"/>
      <c r="E137" s="8"/>
      <c r="F137" s="8"/>
      <c r="L137" s="64"/>
    </row>
    <row r="138" spans="1:12" x14ac:dyDescent="0.2">
      <c r="A138" s="39" t="s">
        <v>574</v>
      </c>
      <c r="B138" s="8"/>
      <c r="C138" s="8"/>
      <c r="D138" s="8"/>
      <c r="E138" s="8"/>
      <c r="F138" s="8"/>
      <c r="L138" s="64"/>
    </row>
    <row r="139" spans="1:12" x14ac:dyDescent="0.2">
      <c r="A139" s="39" t="s">
        <v>766</v>
      </c>
      <c r="B139" s="8"/>
      <c r="C139" s="8"/>
      <c r="D139" s="8"/>
      <c r="E139" s="8"/>
      <c r="F139" s="8"/>
      <c r="L139" s="64"/>
    </row>
    <row r="140" spans="1:12" x14ac:dyDescent="0.2">
      <c r="A140" s="39" t="s">
        <v>924</v>
      </c>
      <c r="B140" s="8"/>
      <c r="C140" s="8"/>
      <c r="D140" s="8"/>
      <c r="E140" s="8"/>
      <c r="F140" s="8"/>
      <c r="L140" s="64"/>
    </row>
    <row r="141" spans="1:12" ht="12.75" customHeight="1" x14ac:dyDescent="0.2">
      <c r="A141" s="41" t="s">
        <v>991</v>
      </c>
      <c r="B141" s="85"/>
      <c r="C141" s="85"/>
      <c r="D141" s="85"/>
      <c r="E141" s="85"/>
      <c r="F141" s="85"/>
      <c r="G141" s="34"/>
      <c r="H141" s="34"/>
      <c r="I141" s="34"/>
      <c r="J141" s="34"/>
      <c r="K141" s="34"/>
      <c r="L141" s="48"/>
    </row>
    <row r="143" spans="1:12" x14ac:dyDescent="0.2">
      <c r="A143" s="65" t="s">
        <v>14</v>
      </c>
      <c r="B143" s="66" t="s">
        <v>623</v>
      </c>
      <c r="C143" s="67" t="s">
        <v>15</v>
      </c>
      <c r="D143" s="8"/>
      <c r="E143" s="8"/>
      <c r="F143" s="8"/>
    </row>
    <row r="144" spans="1:12" x14ac:dyDescent="0.2">
      <c r="A144" s="87" t="s">
        <v>16</v>
      </c>
      <c r="B144" s="69"/>
      <c r="C144" s="67">
        <v>2017</v>
      </c>
      <c r="D144" s="67">
        <v>2018</v>
      </c>
      <c r="E144" s="67">
        <v>2019</v>
      </c>
      <c r="F144" s="67">
        <v>2020</v>
      </c>
      <c r="G144" s="67">
        <v>2021</v>
      </c>
      <c r="H144" s="67">
        <v>2022</v>
      </c>
      <c r="I144" s="67">
        <v>2023</v>
      </c>
      <c r="J144" s="67">
        <v>2024</v>
      </c>
      <c r="K144" s="67">
        <v>2025</v>
      </c>
    </row>
    <row r="145" spans="1:11" x14ac:dyDescent="0.2">
      <c r="A145" s="87" t="s">
        <v>17</v>
      </c>
      <c r="B145" s="69"/>
      <c r="C145" s="72">
        <v>130</v>
      </c>
      <c r="D145" s="72">
        <v>130</v>
      </c>
      <c r="E145" s="72">
        <v>130</v>
      </c>
      <c r="F145" s="72">
        <v>130</v>
      </c>
      <c r="G145" s="72">
        <v>130</v>
      </c>
      <c r="H145" s="72">
        <v>130</v>
      </c>
      <c r="I145" s="72">
        <v>130</v>
      </c>
      <c r="J145" s="72">
        <v>130</v>
      </c>
      <c r="K145" s="72">
        <v>130</v>
      </c>
    </row>
    <row r="146" spans="1:11" x14ac:dyDescent="0.2">
      <c r="A146" s="87" t="s">
        <v>18</v>
      </c>
      <c r="B146" s="69"/>
      <c r="C146" s="72">
        <v>257</v>
      </c>
      <c r="D146" s="72">
        <v>257</v>
      </c>
      <c r="E146" s="72">
        <f>E145*1.4+75</f>
        <v>257</v>
      </c>
      <c r="F146" s="72">
        <f>F145*1.4+75</f>
        <v>257</v>
      </c>
      <c r="G146" s="72">
        <f>G145+0.4*E145+75</f>
        <v>257</v>
      </c>
      <c r="H146" s="72">
        <f>H145+0.4*F145+75</f>
        <v>257</v>
      </c>
      <c r="I146" s="72">
        <f>I145+0.4*G145+75</f>
        <v>257</v>
      </c>
      <c r="J146" s="72">
        <f>J145+0.4*H145+75</f>
        <v>257</v>
      </c>
      <c r="K146" s="72">
        <f>K145+0.4*I145+75</f>
        <v>257</v>
      </c>
    </row>
    <row r="147" spans="1:11" ht="14.45" customHeight="1" x14ac:dyDescent="0.2">
      <c r="A147" s="87" t="s">
        <v>19</v>
      </c>
      <c r="B147" s="69"/>
      <c r="C147" s="669" t="s">
        <v>167</v>
      </c>
      <c r="D147" s="670"/>
      <c r="E147" s="670"/>
      <c r="F147" s="670"/>
      <c r="G147" s="670"/>
      <c r="H147" s="670"/>
      <c r="I147" s="670"/>
      <c r="J147" s="670"/>
      <c r="K147" s="671"/>
    </row>
    <row r="148" spans="1:11" x14ac:dyDescent="0.2">
      <c r="A148" s="87" t="s">
        <v>20</v>
      </c>
      <c r="B148" s="69"/>
      <c r="C148" s="72">
        <v>59.08</v>
      </c>
      <c r="D148" s="72">
        <v>145.32</v>
      </c>
      <c r="E148" s="72">
        <v>116.8</v>
      </c>
      <c r="F148" s="72">
        <v>110.73</v>
      </c>
      <c r="G148" s="72">
        <v>94</v>
      </c>
      <c r="H148" s="72">
        <v>69.739999999999995</v>
      </c>
      <c r="I148" s="72">
        <v>76.75</v>
      </c>
      <c r="J148" s="72">
        <v>75.09</v>
      </c>
      <c r="K148" s="72"/>
    </row>
    <row r="149" spans="1:11" x14ac:dyDescent="0.2">
      <c r="A149" s="87" t="s">
        <v>21</v>
      </c>
      <c r="B149" s="69"/>
      <c r="C149" s="72">
        <f t="shared" ref="C149:J149" si="7">C146-C148</f>
        <v>197.92000000000002</v>
      </c>
      <c r="D149" s="72">
        <f t="shared" si="7"/>
        <v>111.68</v>
      </c>
      <c r="E149" s="72">
        <f t="shared" si="7"/>
        <v>140.19999999999999</v>
      </c>
      <c r="F149" s="72">
        <f t="shared" si="7"/>
        <v>146.26999999999998</v>
      </c>
      <c r="G149" s="72">
        <f t="shared" si="7"/>
        <v>163</v>
      </c>
      <c r="H149" s="72">
        <f t="shared" si="7"/>
        <v>187.26</v>
      </c>
      <c r="I149" s="72">
        <f t="shared" si="7"/>
        <v>180.25</v>
      </c>
      <c r="J149" s="72">
        <f t="shared" si="7"/>
        <v>181.91</v>
      </c>
      <c r="K149" s="72"/>
    </row>
    <row r="150" spans="1:11" x14ac:dyDescent="0.2">
      <c r="A150" s="91" t="s">
        <v>22</v>
      </c>
      <c r="B150" s="74"/>
      <c r="C150" s="74">
        <v>2019</v>
      </c>
      <c r="D150" s="74">
        <v>2020</v>
      </c>
      <c r="E150" s="74">
        <v>2021</v>
      </c>
      <c r="F150" s="74">
        <v>2022</v>
      </c>
      <c r="G150" s="74">
        <v>2023</v>
      </c>
      <c r="H150" s="74">
        <v>2024</v>
      </c>
      <c r="I150" s="74">
        <v>2025</v>
      </c>
      <c r="J150" s="74">
        <v>2026</v>
      </c>
      <c r="K150" s="74">
        <v>2027</v>
      </c>
    </row>
    <row r="151" spans="1:11" x14ac:dyDescent="0.2">
      <c r="A151" s="73" t="s">
        <v>253</v>
      </c>
      <c r="B151" s="75"/>
      <c r="C151" s="75"/>
      <c r="D151" s="75"/>
      <c r="E151" s="75"/>
      <c r="F151" s="75"/>
      <c r="G151" s="75"/>
      <c r="H151" s="46"/>
      <c r="I151" s="46"/>
      <c r="J151" s="46"/>
      <c r="K151" s="47"/>
    </row>
    <row r="152" spans="1:11" x14ac:dyDescent="0.2">
      <c r="A152" s="94" t="s">
        <v>208</v>
      </c>
      <c r="B152" s="8"/>
      <c r="C152" s="8"/>
      <c r="D152" s="8"/>
      <c r="E152" s="8"/>
      <c r="F152" s="8"/>
      <c r="G152" s="8"/>
      <c r="K152" s="64"/>
    </row>
    <row r="153" spans="1:11" x14ac:dyDescent="0.2">
      <c r="A153" s="94" t="s">
        <v>254</v>
      </c>
      <c r="B153" s="8"/>
      <c r="C153" s="8"/>
      <c r="D153" s="8"/>
      <c r="E153" s="8"/>
      <c r="F153" s="8"/>
      <c r="G153" s="8"/>
      <c r="K153" s="64"/>
    </row>
    <row r="154" spans="1:11" x14ac:dyDescent="0.2">
      <c r="A154" s="94" t="s">
        <v>414</v>
      </c>
      <c r="B154" s="8"/>
      <c r="C154" s="8"/>
      <c r="D154" s="8"/>
      <c r="E154" s="8"/>
      <c r="F154" s="8"/>
      <c r="G154" s="8"/>
      <c r="K154" s="64"/>
    </row>
    <row r="155" spans="1:11" x14ac:dyDescent="0.2">
      <c r="A155" s="94" t="s">
        <v>575</v>
      </c>
      <c r="B155" s="8"/>
      <c r="C155" s="8"/>
      <c r="D155" s="8"/>
      <c r="E155" s="8"/>
      <c r="F155" s="8"/>
      <c r="G155" s="8"/>
      <c r="K155" s="64"/>
    </row>
    <row r="156" spans="1:11" x14ac:dyDescent="0.2">
      <c r="A156" s="94" t="s">
        <v>767</v>
      </c>
      <c r="B156" s="8"/>
      <c r="C156" s="8"/>
      <c r="D156" s="8"/>
      <c r="E156" s="8"/>
      <c r="F156" s="8"/>
      <c r="G156" s="8"/>
      <c r="K156" s="64"/>
    </row>
    <row r="157" spans="1:11" x14ac:dyDescent="0.2">
      <c r="A157" s="94" t="s">
        <v>768</v>
      </c>
      <c r="B157" s="8"/>
      <c r="C157" s="8"/>
      <c r="D157" s="8"/>
      <c r="E157" s="8"/>
      <c r="F157" s="8"/>
      <c r="G157" s="8"/>
      <c r="K157" s="64"/>
    </row>
    <row r="158" spans="1:11" x14ac:dyDescent="0.2">
      <c r="A158" s="95" t="s">
        <v>992</v>
      </c>
      <c r="B158" s="85"/>
      <c r="C158" s="85"/>
      <c r="D158" s="85"/>
      <c r="E158" s="85"/>
      <c r="F158" s="85"/>
      <c r="G158" s="85"/>
      <c r="H158" s="34"/>
      <c r="I158" s="34"/>
      <c r="J158" s="34"/>
      <c r="K158" s="48"/>
    </row>
    <row r="160" spans="1:11" x14ac:dyDescent="0.2">
      <c r="A160" s="65" t="s">
        <v>14</v>
      </c>
      <c r="B160" s="66" t="s">
        <v>641</v>
      </c>
      <c r="C160" s="67" t="s">
        <v>15</v>
      </c>
      <c r="D160" s="8"/>
      <c r="E160" s="8"/>
      <c r="F160" s="8"/>
    </row>
    <row r="161" spans="1:11" x14ac:dyDescent="0.2">
      <c r="A161" s="69" t="s">
        <v>16</v>
      </c>
      <c r="B161" s="69"/>
      <c r="C161" s="67">
        <v>2017</v>
      </c>
      <c r="D161" s="67">
        <v>2018</v>
      </c>
      <c r="E161" s="67">
        <v>2019</v>
      </c>
      <c r="F161" s="67">
        <v>2020</v>
      </c>
      <c r="G161" s="67">
        <v>2021</v>
      </c>
      <c r="H161" s="67">
        <v>2022</v>
      </c>
      <c r="I161" s="67">
        <v>2023</v>
      </c>
      <c r="J161" s="67">
        <v>2024</v>
      </c>
      <c r="K161" s="67">
        <v>2025</v>
      </c>
    </row>
    <row r="162" spans="1:11" x14ac:dyDescent="0.2">
      <c r="A162" s="69" t="s">
        <v>17</v>
      </c>
      <c r="B162" s="69"/>
      <c r="C162" s="72">
        <v>125</v>
      </c>
      <c r="D162" s="72">
        <v>125</v>
      </c>
      <c r="E162" s="72">
        <v>125</v>
      </c>
      <c r="F162" s="72">
        <v>125</v>
      </c>
      <c r="G162" s="72">
        <v>125</v>
      </c>
      <c r="H162" s="72">
        <v>125</v>
      </c>
      <c r="I162" s="72">
        <v>125</v>
      </c>
      <c r="J162" s="72">
        <v>125</v>
      </c>
      <c r="K162" s="72">
        <v>125</v>
      </c>
    </row>
    <row r="163" spans="1:11" x14ac:dyDescent="0.2">
      <c r="A163" s="69" t="s">
        <v>18</v>
      </c>
      <c r="B163" s="69"/>
      <c r="C163" s="72">
        <v>275</v>
      </c>
      <c r="D163" s="72">
        <v>287.5</v>
      </c>
      <c r="E163" s="72">
        <f>E162*1.2+25+50+50</f>
        <v>275</v>
      </c>
      <c r="F163" s="72">
        <f>F162*1.2+25+50+50</f>
        <v>275</v>
      </c>
      <c r="G163" s="72">
        <f>G162+0.2*E162+25+50+50</f>
        <v>275</v>
      </c>
      <c r="H163" s="72">
        <f>H162+0.2*F162+24.94+50+50</f>
        <v>274.94</v>
      </c>
      <c r="I163" s="72">
        <f>I162+0.1*G162+25+50+50</f>
        <v>262.5</v>
      </c>
      <c r="J163" s="72">
        <f>J162+0.1*H162+25+50+50</f>
        <v>262.5</v>
      </c>
      <c r="K163" s="72">
        <f>K162+0.1*I162+25+50+50</f>
        <v>262.5</v>
      </c>
    </row>
    <row r="164" spans="1:11" ht="14.45" customHeight="1" x14ac:dyDescent="0.2">
      <c r="A164" s="69" t="s">
        <v>19</v>
      </c>
      <c r="B164" s="69"/>
      <c r="C164" s="96" t="s">
        <v>167</v>
      </c>
      <c r="D164" s="71"/>
      <c r="E164" s="71"/>
      <c r="F164" s="71"/>
      <c r="G164" s="71"/>
      <c r="H164" s="71"/>
      <c r="I164" s="71"/>
      <c r="J164" s="97"/>
      <c r="K164" s="97"/>
    </row>
    <row r="165" spans="1:11" x14ac:dyDescent="0.2">
      <c r="A165" s="69" t="s">
        <v>20</v>
      </c>
      <c r="B165" s="69"/>
      <c r="C165" s="72">
        <v>166.01</v>
      </c>
      <c r="D165" s="72">
        <v>115.22</v>
      </c>
      <c r="E165" s="72">
        <v>55.33</v>
      </c>
      <c r="F165" s="72">
        <v>2.12</v>
      </c>
      <c r="G165" s="72">
        <v>29.08</v>
      </c>
      <c r="H165" s="72">
        <v>0</v>
      </c>
      <c r="I165" s="72">
        <v>0</v>
      </c>
      <c r="J165" s="72">
        <v>12.23</v>
      </c>
      <c r="K165" s="72"/>
    </row>
    <row r="166" spans="1:11" x14ac:dyDescent="0.2">
      <c r="A166" s="69" t="s">
        <v>21</v>
      </c>
      <c r="B166" s="69"/>
      <c r="C166" s="72">
        <f t="shared" ref="C166:J166" si="8">C163-C165</f>
        <v>108.99000000000001</v>
      </c>
      <c r="D166" s="72">
        <f t="shared" si="8"/>
        <v>172.28</v>
      </c>
      <c r="E166" s="72">
        <f t="shared" si="8"/>
        <v>219.67000000000002</v>
      </c>
      <c r="F166" s="72">
        <f t="shared" si="8"/>
        <v>272.88</v>
      </c>
      <c r="G166" s="72">
        <f t="shared" si="8"/>
        <v>245.92000000000002</v>
      </c>
      <c r="H166" s="72">
        <f t="shared" si="8"/>
        <v>274.94</v>
      </c>
      <c r="I166" s="72">
        <f t="shared" si="8"/>
        <v>262.5</v>
      </c>
      <c r="J166" s="72">
        <f t="shared" si="8"/>
        <v>250.27</v>
      </c>
      <c r="K166" s="72"/>
    </row>
    <row r="167" spans="1:11" x14ac:dyDescent="0.2">
      <c r="A167" s="74" t="s">
        <v>22</v>
      </c>
      <c r="B167" s="74"/>
      <c r="C167" s="74">
        <v>2019</v>
      </c>
      <c r="D167" s="74">
        <v>2020</v>
      </c>
      <c r="E167" s="74">
        <v>2021</v>
      </c>
      <c r="F167" s="74">
        <v>2022</v>
      </c>
      <c r="G167" s="74">
        <v>2023</v>
      </c>
      <c r="H167" s="74">
        <v>2024</v>
      </c>
      <c r="I167" s="74">
        <v>2025</v>
      </c>
      <c r="J167" s="74">
        <v>2026</v>
      </c>
      <c r="K167" s="74">
        <v>2027</v>
      </c>
    </row>
    <row r="168" spans="1:11" x14ac:dyDescent="0.2">
      <c r="A168" s="92" t="s">
        <v>256</v>
      </c>
      <c r="B168" s="93"/>
      <c r="C168" s="93"/>
      <c r="D168" s="93"/>
      <c r="E168" s="93"/>
      <c r="F168" s="93"/>
      <c r="G168" s="19"/>
      <c r="H168" s="19"/>
      <c r="I168" s="19"/>
      <c r="J168" s="19"/>
      <c r="K168" s="63"/>
    </row>
    <row r="169" spans="1:11" x14ac:dyDescent="0.2">
      <c r="A169" s="94" t="s">
        <v>257</v>
      </c>
      <c r="B169" s="8"/>
      <c r="C169" s="8"/>
      <c r="D169" s="8"/>
      <c r="E169" s="8"/>
      <c r="F169" s="8"/>
      <c r="K169" s="64"/>
    </row>
    <row r="170" spans="1:11" x14ac:dyDescent="0.2">
      <c r="A170" s="94" t="s">
        <v>258</v>
      </c>
      <c r="B170" s="8"/>
      <c r="C170" s="8"/>
      <c r="D170" s="8"/>
      <c r="E170" s="8"/>
      <c r="F170" s="8"/>
      <c r="K170" s="64"/>
    </row>
    <row r="171" spans="1:11" x14ac:dyDescent="0.2">
      <c r="A171" s="94" t="s">
        <v>209</v>
      </c>
      <c r="B171" s="8"/>
      <c r="C171" s="8"/>
      <c r="D171" s="8"/>
      <c r="E171" s="8"/>
      <c r="F171" s="8"/>
      <c r="K171" s="64"/>
    </row>
    <row r="172" spans="1:11" x14ac:dyDescent="0.2">
      <c r="A172" s="94" t="s">
        <v>255</v>
      </c>
      <c r="B172" s="8"/>
      <c r="C172" s="8"/>
      <c r="D172" s="8"/>
      <c r="E172" s="8"/>
      <c r="F172" s="8"/>
      <c r="K172" s="64"/>
    </row>
    <row r="173" spans="1:11" x14ac:dyDescent="0.2">
      <c r="A173" s="94" t="s">
        <v>415</v>
      </c>
      <c r="B173" s="8"/>
      <c r="C173" s="8"/>
      <c r="D173" s="8"/>
      <c r="E173" s="8"/>
      <c r="F173" s="8"/>
      <c r="K173" s="64"/>
    </row>
    <row r="174" spans="1:11" x14ac:dyDescent="0.2">
      <c r="A174" s="39" t="s">
        <v>576</v>
      </c>
      <c r="B174" s="8"/>
      <c r="C174" s="8"/>
      <c r="D174" s="8"/>
      <c r="E174" s="8"/>
      <c r="F174" s="8"/>
      <c r="K174" s="64"/>
    </row>
    <row r="175" spans="1:11" x14ac:dyDescent="0.2">
      <c r="A175" s="39" t="s">
        <v>994</v>
      </c>
      <c r="B175" s="8"/>
      <c r="C175" s="8"/>
      <c r="D175" s="8"/>
      <c r="E175" s="8"/>
      <c r="F175" s="8"/>
      <c r="K175" s="64"/>
    </row>
    <row r="176" spans="1:11" x14ac:dyDescent="0.2">
      <c r="A176" s="39" t="s">
        <v>993</v>
      </c>
      <c r="B176" s="8"/>
      <c r="C176" s="8"/>
      <c r="D176" s="8"/>
      <c r="E176" s="8"/>
      <c r="F176" s="8"/>
      <c r="K176" s="64"/>
    </row>
    <row r="177" spans="1:13" x14ac:dyDescent="0.2">
      <c r="A177" s="41" t="s">
        <v>995</v>
      </c>
      <c r="B177" s="34"/>
      <c r="C177" s="34"/>
      <c r="D177" s="34"/>
      <c r="E177" s="34"/>
      <c r="F177" s="34"/>
      <c r="G177" s="34"/>
      <c r="H177" s="34"/>
      <c r="I177" s="34"/>
      <c r="J177" s="34"/>
      <c r="K177" s="48"/>
    </row>
    <row r="180" spans="1:13" x14ac:dyDescent="0.2">
      <c r="A180" s="98" t="s">
        <v>12</v>
      </c>
      <c r="B180" s="66" t="s">
        <v>165</v>
      </c>
      <c r="C180" s="8"/>
      <c r="D180" s="8"/>
      <c r="E180" s="8"/>
      <c r="F180" s="8"/>
      <c r="G180" s="8"/>
    </row>
    <row r="181" spans="1:13" x14ac:dyDescent="0.2">
      <c r="A181" s="98" t="s">
        <v>14</v>
      </c>
      <c r="B181" s="66" t="s">
        <v>624</v>
      </c>
      <c r="C181" s="67" t="s">
        <v>15</v>
      </c>
      <c r="D181" s="8"/>
      <c r="E181" s="8"/>
      <c r="F181" s="8"/>
      <c r="G181" s="8"/>
    </row>
    <row r="182" spans="1:13" x14ac:dyDescent="0.2">
      <c r="A182" s="68" t="s">
        <v>16</v>
      </c>
      <c r="B182" s="67">
        <v>2014</v>
      </c>
      <c r="C182" s="67">
        <v>2015</v>
      </c>
      <c r="D182" s="70">
        <v>2016</v>
      </c>
      <c r="E182" s="67">
        <v>2017</v>
      </c>
      <c r="F182" s="66">
        <v>2018</v>
      </c>
      <c r="G182" s="66">
        <v>2019</v>
      </c>
      <c r="H182" s="66">
        <v>2020</v>
      </c>
      <c r="I182" s="66">
        <v>2021</v>
      </c>
      <c r="J182" s="66">
        <v>2022</v>
      </c>
      <c r="K182" s="66">
        <v>2023</v>
      </c>
      <c r="L182" s="66">
        <v>2024</v>
      </c>
      <c r="M182" s="66">
        <v>2025</v>
      </c>
    </row>
    <row r="183" spans="1:13" x14ac:dyDescent="0.2">
      <c r="A183" s="68" t="s">
        <v>17</v>
      </c>
      <c r="B183" s="99">
        <v>200</v>
      </c>
      <c r="C183" s="99">
        <v>200</v>
      </c>
      <c r="D183" s="99">
        <v>200</v>
      </c>
      <c r="E183" s="99">
        <v>200</v>
      </c>
      <c r="F183" s="100">
        <v>200</v>
      </c>
      <c r="G183" s="100">
        <v>215</v>
      </c>
      <c r="H183" s="100">
        <v>215</v>
      </c>
      <c r="I183" s="100">
        <v>242</v>
      </c>
      <c r="J183" s="100">
        <v>242</v>
      </c>
      <c r="K183" s="100">
        <v>242</v>
      </c>
      <c r="L183" s="100">
        <v>302</v>
      </c>
      <c r="M183" s="100">
        <v>302</v>
      </c>
    </row>
    <row r="184" spans="1:13" x14ac:dyDescent="0.2">
      <c r="A184" s="68" t="s">
        <v>18</v>
      </c>
      <c r="B184" s="99">
        <v>250</v>
      </c>
      <c r="C184" s="99">
        <v>250</v>
      </c>
      <c r="D184" s="99">
        <v>250</v>
      </c>
      <c r="E184" s="99">
        <v>250</v>
      </c>
      <c r="F184" s="100">
        <v>250</v>
      </c>
      <c r="G184" s="100">
        <f>E183*0.25+G183</f>
        <v>265</v>
      </c>
      <c r="H184" s="100">
        <f t="shared" ref="H184:L184" si="9">H183+0.25*G183</f>
        <v>268.75</v>
      </c>
      <c r="I184" s="100">
        <f t="shared" si="9"/>
        <v>295.75</v>
      </c>
      <c r="J184" s="100">
        <f t="shared" si="9"/>
        <v>302.5</v>
      </c>
      <c r="K184" s="100">
        <f t="shared" si="9"/>
        <v>302.5</v>
      </c>
      <c r="L184" s="100">
        <f t="shared" si="9"/>
        <v>362.5</v>
      </c>
      <c r="M184" s="100">
        <f>M183+0.25*L183</f>
        <v>377.5</v>
      </c>
    </row>
    <row r="185" spans="1:13" x14ac:dyDescent="0.2">
      <c r="A185" s="68" t="s">
        <v>19</v>
      </c>
      <c r="B185" s="101" t="s">
        <v>316</v>
      </c>
      <c r="C185" s="101" t="s">
        <v>316</v>
      </c>
      <c r="D185" s="101" t="s">
        <v>316</v>
      </c>
      <c r="E185" s="101" t="s">
        <v>316</v>
      </c>
      <c r="F185" s="101" t="s">
        <v>316</v>
      </c>
      <c r="G185" s="101" t="s">
        <v>371</v>
      </c>
      <c r="H185" s="101" t="s">
        <v>426</v>
      </c>
      <c r="I185" s="101" t="s">
        <v>652</v>
      </c>
      <c r="J185" s="101" t="s">
        <v>653</v>
      </c>
      <c r="K185" s="101" t="s">
        <v>653</v>
      </c>
      <c r="L185" s="101" t="s">
        <v>1037</v>
      </c>
      <c r="M185" s="101" t="s">
        <v>1037</v>
      </c>
    </row>
    <row r="186" spans="1:13" x14ac:dyDescent="0.2">
      <c r="A186" s="68" t="s">
        <v>20</v>
      </c>
      <c r="B186" s="99">
        <v>0</v>
      </c>
      <c r="C186" s="99">
        <v>0</v>
      </c>
      <c r="D186" s="99">
        <v>0</v>
      </c>
      <c r="E186" s="99">
        <v>0</v>
      </c>
      <c r="F186" s="100">
        <v>0</v>
      </c>
      <c r="G186" s="100">
        <v>0</v>
      </c>
      <c r="H186" s="100">
        <v>0</v>
      </c>
      <c r="I186" s="100">
        <v>0</v>
      </c>
      <c r="J186" s="100">
        <v>0</v>
      </c>
      <c r="K186" s="100">
        <v>41</v>
      </c>
      <c r="L186" s="100">
        <v>18.62</v>
      </c>
      <c r="M186" s="100"/>
    </row>
    <row r="187" spans="1:13" x14ac:dyDescent="0.2">
      <c r="A187" s="68" t="s">
        <v>21</v>
      </c>
      <c r="B187" s="99">
        <v>250</v>
      </c>
      <c r="C187" s="99">
        <v>250</v>
      </c>
      <c r="D187" s="99">
        <v>250</v>
      </c>
      <c r="E187" s="99">
        <v>250</v>
      </c>
      <c r="F187" s="100">
        <v>250</v>
      </c>
      <c r="G187" s="100">
        <f>G184</f>
        <v>265</v>
      </c>
      <c r="H187" s="100">
        <f>H184</f>
        <v>268.75</v>
      </c>
      <c r="I187" s="100">
        <f>I184</f>
        <v>295.75</v>
      </c>
      <c r="J187" s="100">
        <f>J184-J186</f>
        <v>302.5</v>
      </c>
      <c r="K187" s="100">
        <f>K184-K186</f>
        <v>261.5</v>
      </c>
      <c r="L187" s="100">
        <f>L184-L186</f>
        <v>343.88</v>
      </c>
      <c r="M187" s="100"/>
    </row>
    <row r="188" spans="1:13" x14ac:dyDescent="0.2">
      <c r="A188" s="73" t="s">
        <v>22</v>
      </c>
      <c r="B188" s="102">
        <v>2015</v>
      </c>
      <c r="C188" s="102">
        <v>2016</v>
      </c>
      <c r="D188" s="102">
        <v>2017</v>
      </c>
      <c r="E188" s="102">
        <v>2018</v>
      </c>
      <c r="F188" s="102">
        <v>2019</v>
      </c>
      <c r="G188" s="102">
        <v>2020</v>
      </c>
      <c r="H188" s="102">
        <v>2021</v>
      </c>
      <c r="I188" s="102">
        <v>2022</v>
      </c>
      <c r="J188" s="102">
        <v>2023</v>
      </c>
      <c r="K188" s="102">
        <v>2024</v>
      </c>
      <c r="L188" s="102">
        <v>2025</v>
      </c>
      <c r="M188" s="102">
        <v>2026</v>
      </c>
    </row>
    <row r="189" spans="1:13" x14ac:dyDescent="0.2">
      <c r="A189" s="92" t="s">
        <v>1111</v>
      </c>
      <c r="B189" s="93"/>
      <c r="C189" s="93"/>
      <c r="D189" s="93"/>
      <c r="E189" s="93"/>
      <c r="F189" s="93"/>
      <c r="G189" s="93"/>
      <c r="H189" s="93"/>
      <c r="I189" s="93"/>
      <c r="J189" s="19"/>
      <c r="K189" s="19"/>
      <c r="L189" s="19"/>
      <c r="M189" s="63"/>
    </row>
    <row r="190" spans="1:13" x14ac:dyDescent="0.2">
      <c r="A190" s="84" t="s">
        <v>1112</v>
      </c>
      <c r="B190" s="34"/>
      <c r="C190" s="34"/>
      <c r="D190" s="34"/>
      <c r="E190" s="34"/>
      <c r="F190" s="34"/>
      <c r="G190" s="34"/>
      <c r="H190" s="34"/>
      <c r="I190" s="34"/>
      <c r="J190" s="34"/>
      <c r="K190" s="34"/>
      <c r="L190" s="34"/>
      <c r="M190" s="48"/>
    </row>
    <row r="191" spans="1:13" x14ac:dyDescent="0.2">
      <c r="A191" s="84"/>
      <c r="B191" s="34"/>
      <c r="C191" s="34"/>
    </row>
    <row r="192" spans="1:13" x14ac:dyDescent="0.2">
      <c r="A192" s="103" t="s">
        <v>14</v>
      </c>
      <c r="B192" s="104" t="s">
        <v>638</v>
      </c>
      <c r="C192" s="105" t="s">
        <v>15</v>
      </c>
      <c r="D192" s="8"/>
      <c r="E192" s="8"/>
      <c r="F192" s="8"/>
      <c r="G192" s="8"/>
    </row>
    <row r="193" spans="1:14" x14ac:dyDescent="0.2">
      <c r="A193" s="68" t="s">
        <v>16</v>
      </c>
      <c r="B193" s="67">
        <v>2014</v>
      </c>
      <c r="C193" s="67">
        <v>2015</v>
      </c>
      <c r="D193" s="70">
        <v>2016</v>
      </c>
      <c r="E193" s="67">
        <v>2017</v>
      </c>
      <c r="F193" s="66">
        <v>2018</v>
      </c>
      <c r="G193" s="66">
        <v>2019</v>
      </c>
      <c r="H193" s="66">
        <v>2020</v>
      </c>
      <c r="I193" s="66">
        <v>2021</v>
      </c>
      <c r="J193" s="66">
        <v>2022</v>
      </c>
      <c r="K193" s="66">
        <v>2023</v>
      </c>
      <c r="L193" s="66">
        <v>2024</v>
      </c>
      <c r="M193" s="66">
        <v>2025</v>
      </c>
      <c r="N193" s="66">
        <v>2026</v>
      </c>
    </row>
    <row r="194" spans="1:14" x14ac:dyDescent="0.2">
      <c r="A194" s="68" t="s">
        <v>17</v>
      </c>
      <c r="B194" s="106">
        <v>2160</v>
      </c>
      <c r="C194" s="106">
        <v>2160</v>
      </c>
      <c r="D194" s="106">
        <v>2160</v>
      </c>
      <c r="E194" s="106">
        <v>2160</v>
      </c>
      <c r="F194" s="107">
        <v>2160</v>
      </c>
      <c r="G194" s="107">
        <v>2160</v>
      </c>
      <c r="H194" s="107">
        <v>2160</v>
      </c>
      <c r="I194" s="107">
        <v>2160</v>
      </c>
      <c r="J194" s="107">
        <v>2160</v>
      </c>
      <c r="K194" s="107">
        <v>2600</v>
      </c>
      <c r="L194" s="107">
        <v>2600</v>
      </c>
      <c r="M194" s="107">
        <v>2600</v>
      </c>
      <c r="N194" s="107">
        <v>2600</v>
      </c>
    </row>
    <row r="195" spans="1:14" x14ac:dyDescent="0.2">
      <c r="A195" s="68" t="s">
        <v>18</v>
      </c>
      <c r="B195" s="106">
        <v>2700</v>
      </c>
      <c r="C195" s="106">
        <v>2700</v>
      </c>
      <c r="D195" s="106">
        <v>2700</v>
      </c>
      <c r="E195" s="106">
        <v>2600</v>
      </c>
      <c r="F195" s="106">
        <v>2600</v>
      </c>
      <c r="G195" s="106">
        <v>2600</v>
      </c>
      <c r="H195" s="106">
        <f>H194+0.25*G194-200</f>
        <v>2500</v>
      </c>
      <c r="I195" s="106">
        <f>I194+0.25*H194</f>
        <v>2700</v>
      </c>
      <c r="J195" s="106">
        <f>J194*(1+0.25)-259.96</f>
        <v>2440.04</v>
      </c>
      <c r="K195" s="106">
        <f>K194+0.25*I194-100</f>
        <v>3040</v>
      </c>
      <c r="L195" s="106">
        <f>L194-100</f>
        <v>2500</v>
      </c>
      <c r="M195" s="106">
        <f>M194+0.25*K194-100</f>
        <v>3150</v>
      </c>
      <c r="N195" s="106">
        <f>N194+0.25*L194-100</f>
        <v>3150</v>
      </c>
    </row>
    <row r="196" spans="1:14" ht="27.6" customHeight="1" x14ac:dyDescent="0.2">
      <c r="A196" s="68" t="s">
        <v>19</v>
      </c>
      <c r="B196" s="108" t="s">
        <v>317</v>
      </c>
      <c r="C196" s="108" t="s">
        <v>317</v>
      </c>
      <c r="D196" s="108" t="s">
        <v>317</v>
      </c>
      <c r="E196" s="108" t="s">
        <v>318</v>
      </c>
      <c r="F196" s="108" t="s">
        <v>318</v>
      </c>
      <c r="G196" s="108" t="s">
        <v>318</v>
      </c>
      <c r="H196" s="108" t="s">
        <v>428</v>
      </c>
      <c r="I196" s="108" t="s">
        <v>317</v>
      </c>
      <c r="J196" s="108" t="s">
        <v>911</v>
      </c>
      <c r="K196" s="108" t="s">
        <v>822</v>
      </c>
      <c r="L196" s="108" t="s">
        <v>1033</v>
      </c>
      <c r="M196" s="108" t="s">
        <v>1034</v>
      </c>
      <c r="N196" s="108" t="s">
        <v>822</v>
      </c>
    </row>
    <row r="197" spans="1:14" x14ac:dyDescent="0.2">
      <c r="A197" s="68" t="s">
        <v>20</v>
      </c>
      <c r="B197" s="106">
        <v>462.36</v>
      </c>
      <c r="C197" s="106">
        <v>490.22</v>
      </c>
      <c r="D197" s="106">
        <v>657.59</v>
      </c>
      <c r="E197" s="106">
        <v>496.85</v>
      </c>
      <c r="F197" s="107">
        <v>396</v>
      </c>
      <c r="G197" s="107">
        <v>1002.664409132517</v>
      </c>
      <c r="H197" s="107">
        <v>617</v>
      </c>
      <c r="I197" s="107">
        <v>516</v>
      </c>
      <c r="J197" s="107">
        <v>543</v>
      </c>
      <c r="K197" s="107">
        <v>524</v>
      </c>
      <c r="L197" s="107">
        <v>605.1</v>
      </c>
      <c r="M197" s="107"/>
      <c r="N197" s="107"/>
    </row>
    <row r="198" spans="1:14" x14ac:dyDescent="0.2">
      <c r="A198" s="68" t="s">
        <v>21</v>
      </c>
      <c r="B198" s="106">
        <f t="shared" ref="B198:G198" si="10">B195-B197</f>
        <v>2237.64</v>
      </c>
      <c r="C198" s="106">
        <f t="shared" si="10"/>
        <v>2209.7799999999997</v>
      </c>
      <c r="D198" s="106">
        <f t="shared" si="10"/>
        <v>2042.4099999999999</v>
      </c>
      <c r="E198" s="106">
        <f t="shared" si="10"/>
        <v>2103.15</v>
      </c>
      <c r="F198" s="106">
        <f t="shared" si="10"/>
        <v>2204</v>
      </c>
      <c r="G198" s="106">
        <f t="shared" si="10"/>
        <v>1597.335590867483</v>
      </c>
      <c r="H198" s="106">
        <f>H195-H197</f>
        <v>1883</v>
      </c>
      <c r="I198" s="106">
        <f>I195-I197</f>
        <v>2184</v>
      </c>
      <c r="J198" s="106">
        <f>J195-J197</f>
        <v>1897.04</v>
      </c>
      <c r="K198" s="106">
        <f>K195-K197</f>
        <v>2516</v>
      </c>
      <c r="L198" s="106">
        <f>L195-L197</f>
        <v>1894.9</v>
      </c>
      <c r="M198" s="106"/>
      <c r="N198" s="106"/>
    </row>
    <row r="199" spans="1:14" x14ac:dyDescent="0.2">
      <c r="A199" s="73" t="s">
        <v>22</v>
      </c>
      <c r="B199" s="102">
        <v>2016</v>
      </c>
      <c r="C199" s="102">
        <v>2017</v>
      </c>
      <c r="D199" s="102">
        <v>2018</v>
      </c>
      <c r="E199" s="102">
        <v>2019</v>
      </c>
      <c r="F199" s="102">
        <v>2020</v>
      </c>
      <c r="G199" s="102">
        <v>2021</v>
      </c>
      <c r="H199" s="102">
        <v>2022</v>
      </c>
      <c r="I199" s="102">
        <v>2023</v>
      </c>
      <c r="J199" s="102">
        <v>2024</v>
      </c>
      <c r="K199" s="102">
        <v>2025</v>
      </c>
      <c r="L199" s="102">
        <v>2026</v>
      </c>
      <c r="M199" s="102">
        <v>2027</v>
      </c>
      <c r="N199" s="102">
        <v>2028</v>
      </c>
    </row>
    <row r="200" spans="1:14" x14ac:dyDescent="0.2">
      <c r="A200" s="667" t="s">
        <v>792</v>
      </c>
      <c r="B200" s="668"/>
      <c r="C200" s="668"/>
      <c r="D200" s="668"/>
      <c r="E200" s="668"/>
      <c r="F200" s="668"/>
      <c r="G200" s="668"/>
      <c r="H200" s="46"/>
      <c r="I200" s="46"/>
      <c r="J200" s="46"/>
      <c r="K200" s="47"/>
      <c r="L200" s="47"/>
      <c r="M200" s="47"/>
      <c r="N200" s="47"/>
    </row>
    <row r="201" spans="1:14" x14ac:dyDescent="0.2">
      <c r="A201" s="76" t="s">
        <v>319</v>
      </c>
      <c r="B201" s="77"/>
      <c r="C201" s="77"/>
      <c r="D201" s="77"/>
      <c r="E201" s="77"/>
      <c r="F201" s="77"/>
      <c r="G201" s="77"/>
      <c r="H201" s="46"/>
      <c r="I201" s="46"/>
      <c r="J201" s="46"/>
      <c r="K201" s="46"/>
      <c r="L201" s="46"/>
      <c r="M201" s="46"/>
      <c r="N201" s="47"/>
    </row>
    <row r="202" spans="1:14" x14ac:dyDescent="0.2">
      <c r="A202" s="109" t="s">
        <v>1030</v>
      </c>
      <c r="B202" s="80"/>
      <c r="C202" s="80"/>
      <c r="D202" s="80"/>
      <c r="E202" s="80"/>
      <c r="F202" s="80"/>
      <c r="G202" s="80"/>
      <c r="N202" s="64"/>
    </row>
    <row r="203" spans="1:14" x14ac:dyDescent="0.2">
      <c r="A203" s="109" t="s">
        <v>427</v>
      </c>
      <c r="B203" s="80"/>
      <c r="C203" s="80"/>
      <c r="D203" s="80"/>
      <c r="E203" s="80"/>
      <c r="F203" s="80"/>
      <c r="G203" s="80"/>
      <c r="N203" s="64"/>
    </row>
    <row r="204" spans="1:14" x14ac:dyDescent="0.2">
      <c r="A204" s="109" t="s">
        <v>910</v>
      </c>
      <c r="B204" s="80"/>
      <c r="C204" s="80"/>
      <c r="D204" s="80"/>
      <c r="E204" s="80"/>
      <c r="F204" s="80"/>
      <c r="G204" s="80"/>
      <c r="N204" s="64"/>
    </row>
    <row r="205" spans="1:14" x14ac:dyDescent="0.2">
      <c r="A205" s="109" t="s">
        <v>821</v>
      </c>
      <c r="B205" s="80"/>
      <c r="C205" s="80"/>
      <c r="D205" s="80"/>
      <c r="E205" s="80"/>
      <c r="F205" s="80"/>
      <c r="G205" s="80"/>
      <c r="N205" s="64"/>
    </row>
    <row r="206" spans="1:14" x14ac:dyDescent="0.2">
      <c r="A206" s="109" t="s">
        <v>1032</v>
      </c>
      <c r="B206" s="80"/>
      <c r="C206" s="80"/>
      <c r="D206" s="80"/>
      <c r="E206" s="80"/>
      <c r="F206" s="80"/>
      <c r="G206" s="80"/>
      <c r="N206" s="64"/>
    </row>
    <row r="207" spans="1:14" x14ac:dyDescent="0.2">
      <c r="A207" s="110" t="s">
        <v>1105</v>
      </c>
      <c r="B207" s="111"/>
      <c r="C207" s="111"/>
      <c r="D207" s="111"/>
      <c r="E207" s="111"/>
      <c r="F207" s="111"/>
      <c r="G207" s="111"/>
      <c r="H207" s="34"/>
      <c r="I207" s="34"/>
      <c r="J207" s="34"/>
      <c r="K207" s="34"/>
      <c r="L207" s="34"/>
      <c r="M207" s="34"/>
      <c r="N207" s="48"/>
    </row>
    <row r="209" spans="1:14" x14ac:dyDescent="0.2">
      <c r="A209" s="98" t="s">
        <v>14</v>
      </c>
      <c r="B209" s="66" t="s">
        <v>623</v>
      </c>
      <c r="C209" s="67" t="s">
        <v>15</v>
      </c>
      <c r="D209" s="8"/>
      <c r="E209" s="8"/>
      <c r="F209" s="8"/>
    </row>
    <row r="210" spans="1:14" x14ac:dyDescent="0.2">
      <c r="A210" s="68" t="s">
        <v>16</v>
      </c>
      <c r="B210" s="67">
        <v>2014</v>
      </c>
      <c r="C210" s="67">
        <v>2015</v>
      </c>
      <c r="D210" s="70">
        <v>2016</v>
      </c>
      <c r="E210" s="67">
        <v>2017</v>
      </c>
      <c r="F210" s="66">
        <v>2018</v>
      </c>
      <c r="G210" s="66">
        <v>2019</v>
      </c>
      <c r="H210" s="66">
        <v>2020</v>
      </c>
      <c r="I210" s="66">
        <v>2021</v>
      </c>
      <c r="J210" s="66">
        <v>2022</v>
      </c>
      <c r="K210" s="66">
        <v>2023</v>
      </c>
      <c r="L210" s="66">
        <v>2024</v>
      </c>
      <c r="M210" s="112">
        <v>2025</v>
      </c>
      <c r="N210" s="112">
        <v>2026</v>
      </c>
    </row>
    <row r="211" spans="1:14" x14ac:dyDescent="0.2">
      <c r="A211" s="68" t="s">
        <v>17</v>
      </c>
      <c r="B211" s="99">
        <v>50</v>
      </c>
      <c r="C211" s="99">
        <v>50</v>
      </c>
      <c r="D211" s="99">
        <v>50</v>
      </c>
      <c r="E211" s="99">
        <v>50</v>
      </c>
      <c r="F211" s="99">
        <v>50</v>
      </c>
      <c r="G211" s="99">
        <v>50</v>
      </c>
      <c r="H211" s="99">
        <v>50</v>
      </c>
      <c r="I211" s="99">
        <v>50</v>
      </c>
      <c r="J211" s="99">
        <v>50</v>
      </c>
      <c r="K211" s="99">
        <v>50</v>
      </c>
      <c r="L211" s="99">
        <v>50</v>
      </c>
      <c r="M211" s="113">
        <v>50</v>
      </c>
      <c r="N211" s="113">
        <v>50</v>
      </c>
    </row>
    <row r="212" spans="1:14" x14ac:dyDescent="0.2">
      <c r="A212" s="68" t="s">
        <v>18</v>
      </c>
      <c r="B212" s="99">
        <v>75</v>
      </c>
      <c r="C212" s="99">
        <v>50</v>
      </c>
      <c r="D212" s="99">
        <v>50</v>
      </c>
      <c r="E212" s="99">
        <f>E211*1.5-25</f>
        <v>50</v>
      </c>
      <c r="F212" s="99">
        <f>F211*1.4-25</f>
        <v>45</v>
      </c>
      <c r="G212" s="99">
        <f>G211*1.4-25</f>
        <v>45</v>
      </c>
      <c r="H212" s="99">
        <f>H211*1.4-25</f>
        <v>45</v>
      </c>
      <c r="I212" s="99">
        <f>I211*1.4-25</f>
        <v>45</v>
      </c>
      <c r="J212" s="99">
        <f>J211*1.4-25</f>
        <v>45</v>
      </c>
      <c r="K212" s="99">
        <f>50+0.4*50-25</f>
        <v>45</v>
      </c>
      <c r="L212" s="99">
        <f>50+0.4*50-25</f>
        <v>45</v>
      </c>
      <c r="M212" s="113">
        <f>(M211)+(0.4*50)</f>
        <v>70</v>
      </c>
      <c r="N212" s="113">
        <f>(N211)+(0.4*50)</f>
        <v>70</v>
      </c>
    </row>
    <row r="213" spans="1:14" x14ac:dyDescent="0.2">
      <c r="A213" s="68" t="s">
        <v>19</v>
      </c>
      <c r="B213" s="99" t="s">
        <v>320</v>
      </c>
      <c r="C213" s="99" t="s">
        <v>321</v>
      </c>
      <c r="D213" s="99" t="s">
        <v>321</v>
      </c>
      <c r="E213" s="99" t="s">
        <v>321</v>
      </c>
      <c r="F213" s="99" t="s">
        <v>322</v>
      </c>
      <c r="G213" s="99" t="s">
        <v>322</v>
      </c>
      <c r="H213" s="99" t="s">
        <v>322</v>
      </c>
      <c r="I213" s="99" t="s">
        <v>322</v>
      </c>
      <c r="J213" s="99" t="s">
        <v>322</v>
      </c>
      <c r="K213" s="99" t="s">
        <v>1116</v>
      </c>
      <c r="L213" s="99" t="s">
        <v>1116</v>
      </c>
      <c r="M213" s="114" t="s">
        <v>1157</v>
      </c>
      <c r="N213" s="114" t="s">
        <v>1157</v>
      </c>
    </row>
    <row r="214" spans="1:14" x14ac:dyDescent="0.2">
      <c r="A214" s="68" t="s">
        <v>20</v>
      </c>
      <c r="B214" s="99">
        <v>0</v>
      </c>
      <c r="C214" s="99">
        <v>0</v>
      </c>
      <c r="D214" s="99">
        <v>0</v>
      </c>
      <c r="E214" s="99">
        <v>0</v>
      </c>
      <c r="F214" s="99">
        <v>0</v>
      </c>
      <c r="G214" s="99">
        <v>0</v>
      </c>
      <c r="H214" s="99">
        <v>0</v>
      </c>
      <c r="I214" s="99">
        <v>0</v>
      </c>
      <c r="J214" s="99">
        <v>0</v>
      </c>
      <c r="K214" s="99">
        <v>0</v>
      </c>
      <c r="L214" s="99">
        <v>0</v>
      </c>
      <c r="M214" s="115"/>
      <c r="N214" s="113"/>
    </row>
    <row r="215" spans="1:14" x14ac:dyDescent="0.2">
      <c r="A215" s="68" t="s">
        <v>21</v>
      </c>
      <c r="B215" s="99">
        <f t="shared" ref="B215:I215" si="11">B212</f>
        <v>75</v>
      </c>
      <c r="C215" s="99">
        <f t="shared" si="11"/>
        <v>50</v>
      </c>
      <c r="D215" s="99">
        <f t="shared" si="11"/>
        <v>50</v>
      </c>
      <c r="E215" s="99">
        <f t="shared" si="11"/>
        <v>50</v>
      </c>
      <c r="F215" s="99">
        <f t="shared" si="11"/>
        <v>45</v>
      </c>
      <c r="G215" s="99">
        <f t="shared" si="11"/>
        <v>45</v>
      </c>
      <c r="H215" s="99">
        <f t="shared" si="11"/>
        <v>45</v>
      </c>
      <c r="I215" s="99">
        <f t="shared" si="11"/>
        <v>45</v>
      </c>
      <c r="J215" s="99">
        <f>J212-J214</f>
        <v>45</v>
      </c>
      <c r="K215" s="99">
        <f>K212-K214</f>
        <v>45</v>
      </c>
      <c r="L215" s="99">
        <f>L212-L214</f>
        <v>45</v>
      </c>
      <c r="M215" s="115"/>
      <c r="N215" s="113"/>
    </row>
    <row r="216" spans="1:14" x14ac:dyDescent="0.2">
      <c r="A216" s="92" t="s">
        <v>22</v>
      </c>
      <c r="B216" s="637">
        <v>2016</v>
      </c>
      <c r="C216" s="637">
        <v>2017</v>
      </c>
      <c r="D216" s="637">
        <v>2018</v>
      </c>
      <c r="E216" s="637">
        <v>2019</v>
      </c>
      <c r="F216" s="637">
        <v>2020</v>
      </c>
      <c r="G216" s="637">
        <v>2021</v>
      </c>
      <c r="H216" s="637">
        <v>2022</v>
      </c>
      <c r="I216" s="637">
        <v>2023</v>
      </c>
      <c r="J216" s="637">
        <v>2024</v>
      </c>
      <c r="K216" s="637">
        <v>2025</v>
      </c>
      <c r="L216" s="637">
        <v>2026</v>
      </c>
      <c r="M216" s="638"/>
      <c r="N216" s="638"/>
    </row>
    <row r="217" spans="1:14" x14ac:dyDescent="0.2">
      <c r="A217" s="677" t="s">
        <v>793</v>
      </c>
      <c r="B217" s="678"/>
      <c r="C217" s="678"/>
      <c r="D217" s="678"/>
      <c r="E217" s="678"/>
      <c r="F217" s="678"/>
      <c r="G217" s="678"/>
      <c r="H217" s="19"/>
      <c r="I217" s="19"/>
      <c r="J217" s="19"/>
      <c r="K217" s="19"/>
      <c r="L217" s="19"/>
      <c r="M217" s="19"/>
      <c r="N217" s="63"/>
    </row>
    <row r="218" spans="1:14" x14ac:dyDescent="0.2">
      <c r="A218" s="109" t="s">
        <v>1113</v>
      </c>
      <c r="B218" s="80"/>
      <c r="C218" s="80"/>
      <c r="D218" s="80"/>
      <c r="E218" s="80"/>
      <c r="F218" s="80"/>
      <c r="G218" s="80"/>
      <c r="N218" s="64"/>
    </row>
    <row r="219" spans="1:14" x14ac:dyDescent="0.2">
      <c r="A219" s="679" t="s">
        <v>1114</v>
      </c>
      <c r="B219" s="680"/>
      <c r="C219" s="680"/>
      <c r="D219" s="680"/>
      <c r="E219" s="680"/>
      <c r="F219" s="680"/>
      <c r="G219" s="680"/>
      <c r="N219" s="64"/>
    </row>
    <row r="220" spans="1:14" x14ac:dyDescent="0.2">
      <c r="A220" s="84" t="s">
        <v>1115</v>
      </c>
      <c r="B220" s="116"/>
      <c r="C220" s="116"/>
      <c r="D220" s="116"/>
      <c r="E220" s="116"/>
      <c r="F220" s="116"/>
      <c r="G220" s="116"/>
      <c r="H220" s="34"/>
      <c r="I220" s="34"/>
      <c r="J220" s="34"/>
      <c r="K220" s="34"/>
      <c r="L220" s="34"/>
      <c r="M220" s="34"/>
      <c r="N220" s="48"/>
    </row>
    <row r="221" spans="1:14" x14ac:dyDescent="0.2">
      <c r="A221" s="80"/>
      <c r="B221" s="80"/>
      <c r="C221" s="80"/>
      <c r="D221" s="80"/>
      <c r="E221" s="80"/>
      <c r="F221" s="80"/>
      <c r="G221" s="80"/>
    </row>
    <row r="223" spans="1:14" x14ac:dyDescent="0.2">
      <c r="A223" s="98" t="s">
        <v>14</v>
      </c>
      <c r="B223" s="66" t="s">
        <v>641</v>
      </c>
      <c r="C223" s="67" t="s">
        <v>15</v>
      </c>
      <c r="D223" s="8"/>
      <c r="E223" s="8"/>
      <c r="F223" s="8"/>
      <c r="G223" s="8"/>
    </row>
    <row r="224" spans="1:14" x14ac:dyDescent="0.2">
      <c r="A224" s="68" t="s">
        <v>16</v>
      </c>
      <c r="B224" s="67">
        <v>2014</v>
      </c>
      <c r="C224" s="67">
        <v>2015</v>
      </c>
      <c r="D224" s="70">
        <v>2016</v>
      </c>
      <c r="E224" s="67">
        <v>2017</v>
      </c>
      <c r="F224" s="66">
        <v>2018</v>
      </c>
      <c r="G224" s="66">
        <v>2019</v>
      </c>
      <c r="H224" s="66">
        <v>2020</v>
      </c>
      <c r="I224" s="66">
        <v>2021</v>
      </c>
      <c r="J224" s="66">
        <v>2022</v>
      </c>
      <c r="K224" s="66">
        <v>2023</v>
      </c>
      <c r="L224" s="66">
        <v>2024</v>
      </c>
      <c r="M224" s="66">
        <v>2025</v>
      </c>
      <c r="N224" s="66">
        <v>2026</v>
      </c>
    </row>
    <row r="225" spans="1:14" x14ac:dyDescent="0.2">
      <c r="A225" s="68" t="s">
        <v>17</v>
      </c>
      <c r="B225" s="106">
        <v>3940</v>
      </c>
      <c r="C225" s="106">
        <v>3940</v>
      </c>
      <c r="D225" s="106">
        <v>3940</v>
      </c>
      <c r="E225" s="106">
        <v>3940</v>
      </c>
      <c r="F225" s="106">
        <v>3940</v>
      </c>
      <c r="G225" s="106">
        <v>3940</v>
      </c>
      <c r="H225" s="106">
        <v>3940</v>
      </c>
      <c r="I225" s="106">
        <v>3940</v>
      </c>
      <c r="J225" s="106">
        <v>3940</v>
      </c>
      <c r="K225" s="106">
        <v>3940</v>
      </c>
      <c r="L225" s="106">
        <v>3940</v>
      </c>
      <c r="M225" s="106">
        <v>3940</v>
      </c>
      <c r="N225" s="106">
        <v>3940</v>
      </c>
    </row>
    <row r="226" spans="1:14" x14ac:dyDescent="0.2">
      <c r="A226" s="68" t="s">
        <v>18</v>
      </c>
      <c r="B226" s="106">
        <f>B225*1.3-50</f>
        <v>5072</v>
      </c>
      <c r="C226" s="106">
        <f>C225*1.3-50</f>
        <v>5072</v>
      </c>
      <c r="D226" s="106">
        <f>D225*1.3-50</f>
        <v>5072</v>
      </c>
      <c r="E226" s="106">
        <f>E225*1.3-50</f>
        <v>5072</v>
      </c>
      <c r="F226" s="106">
        <f>F225*1.2-50</f>
        <v>4678</v>
      </c>
      <c r="G226" s="106">
        <f>G225*1.2-50</f>
        <v>4678</v>
      </c>
      <c r="H226" s="106">
        <f>H225*1.2-50</f>
        <v>4678</v>
      </c>
      <c r="I226" s="106">
        <f>I225*1.2-50</f>
        <v>4678</v>
      </c>
      <c r="J226" s="106">
        <f>J225*1.2-50</f>
        <v>4678</v>
      </c>
      <c r="K226" s="106">
        <f>K225*1.1-50</f>
        <v>4284</v>
      </c>
      <c r="L226" s="106">
        <f>L225*1.1-50</f>
        <v>4284</v>
      </c>
      <c r="M226" s="106">
        <f>M225*1.1-50</f>
        <v>4284</v>
      </c>
      <c r="N226" s="106">
        <f>N225*1.1-50</f>
        <v>4284</v>
      </c>
    </row>
    <row r="227" spans="1:14" x14ac:dyDescent="0.2">
      <c r="A227" s="68" t="s">
        <v>19</v>
      </c>
      <c r="B227" s="106" t="s">
        <v>324</v>
      </c>
      <c r="C227" s="106" t="s">
        <v>324</v>
      </c>
      <c r="D227" s="106" t="s">
        <v>324</v>
      </c>
      <c r="E227" s="106" t="s">
        <v>324</v>
      </c>
      <c r="F227" s="106" t="s">
        <v>325</v>
      </c>
      <c r="G227" s="106" t="s">
        <v>325</v>
      </c>
      <c r="H227" s="106" t="s">
        <v>325</v>
      </c>
      <c r="I227" s="106" t="s">
        <v>325</v>
      </c>
      <c r="J227" s="106" t="s">
        <v>325</v>
      </c>
      <c r="K227" s="106" t="s">
        <v>1117</v>
      </c>
      <c r="L227" s="106" t="s">
        <v>1117</v>
      </c>
      <c r="M227" s="106" t="s">
        <v>1118</v>
      </c>
      <c r="N227" s="106" t="s">
        <v>1119</v>
      </c>
    </row>
    <row r="228" spans="1:14" x14ac:dyDescent="0.2">
      <c r="A228" s="68" t="s">
        <v>20</v>
      </c>
      <c r="B228" s="106">
        <v>2892.02</v>
      </c>
      <c r="C228" s="106">
        <v>2599.0703200000003</v>
      </c>
      <c r="D228" s="106">
        <v>2934.78017</v>
      </c>
      <c r="E228" s="106">
        <v>2406.0276984999996</v>
      </c>
      <c r="F228" s="106">
        <v>2798</v>
      </c>
      <c r="G228" s="106">
        <v>2858.8298242939013</v>
      </c>
      <c r="H228" s="106">
        <v>2105</v>
      </c>
      <c r="I228" s="106">
        <v>2823</v>
      </c>
      <c r="J228" s="106">
        <v>2197</v>
      </c>
      <c r="K228" s="106">
        <v>1984</v>
      </c>
      <c r="L228" s="106">
        <v>2377.3000000000002</v>
      </c>
      <c r="M228" s="106"/>
      <c r="N228" s="106"/>
    </row>
    <row r="229" spans="1:14" x14ac:dyDescent="0.2">
      <c r="A229" s="68" t="s">
        <v>21</v>
      </c>
      <c r="B229" s="106">
        <f t="shared" ref="B229:L229" si="12">B226-B228</f>
        <v>2179.98</v>
      </c>
      <c r="C229" s="106">
        <f t="shared" si="12"/>
        <v>2472.9296799999997</v>
      </c>
      <c r="D229" s="106">
        <f t="shared" si="12"/>
        <v>2137.21983</v>
      </c>
      <c r="E229" s="106">
        <f t="shared" si="12"/>
        <v>2665.9723015000004</v>
      </c>
      <c r="F229" s="106">
        <f t="shared" si="12"/>
        <v>1880</v>
      </c>
      <c r="G229" s="106">
        <f t="shared" si="12"/>
        <v>1819.1701757060987</v>
      </c>
      <c r="H229" s="106">
        <f t="shared" si="12"/>
        <v>2573</v>
      </c>
      <c r="I229" s="106">
        <f t="shared" si="12"/>
        <v>1855</v>
      </c>
      <c r="J229" s="106">
        <f t="shared" si="12"/>
        <v>2481</v>
      </c>
      <c r="K229" s="106">
        <f t="shared" si="12"/>
        <v>2300</v>
      </c>
      <c r="L229" s="106">
        <f t="shared" si="12"/>
        <v>1906.6999999999998</v>
      </c>
      <c r="M229" s="106"/>
      <c r="N229" s="106"/>
    </row>
    <row r="230" spans="1:14" x14ac:dyDescent="0.2">
      <c r="A230" s="73" t="s">
        <v>22</v>
      </c>
      <c r="B230" s="74">
        <v>2015</v>
      </c>
      <c r="C230" s="74">
        <v>2016</v>
      </c>
      <c r="D230" s="75">
        <v>2017</v>
      </c>
      <c r="E230" s="74">
        <v>2018</v>
      </c>
      <c r="F230" s="117">
        <v>2019</v>
      </c>
      <c r="G230" s="117">
        <v>2020</v>
      </c>
      <c r="H230" s="117">
        <v>2021</v>
      </c>
      <c r="I230" s="117">
        <v>2022</v>
      </c>
      <c r="J230" s="117">
        <v>2023</v>
      </c>
      <c r="K230" s="117">
        <v>2024</v>
      </c>
      <c r="L230" s="117">
        <v>2025</v>
      </c>
      <c r="M230" s="117">
        <v>2026</v>
      </c>
      <c r="N230" s="117">
        <v>2027</v>
      </c>
    </row>
    <row r="231" spans="1:14" x14ac:dyDescent="0.2">
      <c r="A231" s="667" t="s">
        <v>1035</v>
      </c>
      <c r="B231" s="668"/>
      <c r="C231" s="668"/>
      <c r="D231" s="668"/>
      <c r="E231" s="668"/>
      <c r="F231" s="668"/>
      <c r="G231" s="668"/>
      <c r="H231" s="46"/>
      <c r="I231" s="46"/>
      <c r="J231" s="46"/>
      <c r="K231" s="46"/>
      <c r="L231" s="46"/>
      <c r="M231" s="46"/>
      <c r="N231" s="47"/>
    </row>
    <row r="232" spans="1:14" x14ac:dyDescent="0.2">
      <c r="A232" s="110" t="s">
        <v>1036</v>
      </c>
      <c r="B232" s="111"/>
      <c r="C232" s="111"/>
      <c r="D232" s="111"/>
      <c r="E232" s="111"/>
      <c r="F232" s="111"/>
      <c r="G232" s="111"/>
      <c r="H232" s="34"/>
      <c r="I232" s="34"/>
      <c r="J232" s="34"/>
      <c r="K232" s="34"/>
      <c r="L232" s="34"/>
      <c r="M232" s="34"/>
      <c r="N232" s="48"/>
    </row>
    <row r="234" spans="1:14" x14ac:dyDescent="0.2">
      <c r="A234" s="98" t="s">
        <v>14</v>
      </c>
      <c r="B234" s="66" t="s">
        <v>66</v>
      </c>
      <c r="C234" s="67" t="s">
        <v>15</v>
      </c>
      <c r="D234" s="8"/>
      <c r="E234" s="8"/>
      <c r="F234" s="8"/>
    </row>
    <row r="235" spans="1:14" x14ac:dyDescent="0.2">
      <c r="A235" s="68" t="s">
        <v>16</v>
      </c>
      <c r="B235" s="69"/>
      <c r="C235" s="9">
        <v>2020</v>
      </c>
      <c r="D235" s="9">
        <v>2021</v>
      </c>
      <c r="E235" s="9">
        <v>2022</v>
      </c>
      <c r="F235" s="9">
        <v>2023</v>
      </c>
      <c r="G235" s="9">
        <v>2024</v>
      </c>
      <c r="H235" s="9">
        <v>2025</v>
      </c>
      <c r="I235" s="9">
        <v>2026</v>
      </c>
      <c r="J235" s="9">
        <v>2027</v>
      </c>
      <c r="K235" s="9">
        <v>2028</v>
      </c>
      <c r="L235" s="9"/>
    </row>
    <row r="236" spans="1:14" x14ac:dyDescent="0.2">
      <c r="A236" s="68" t="s">
        <v>17</v>
      </c>
      <c r="B236" s="72"/>
      <c r="C236" s="12">
        <v>6043</v>
      </c>
      <c r="D236" s="12">
        <v>5946.3120000000008</v>
      </c>
      <c r="E236" s="12">
        <v>5994.6559999999999</v>
      </c>
      <c r="F236" s="12">
        <v>5994.6559999999999</v>
      </c>
      <c r="G236" s="12">
        <v>5994.6559999999999</v>
      </c>
      <c r="H236" s="12">
        <v>5994.6559999999999</v>
      </c>
      <c r="I236" s="12">
        <v>5994.6559999999999</v>
      </c>
      <c r="J236" s="12">
        <v>5994.6559999999999</v>
      </c>
      <c r="K236" s="12">
        <v>5994.6559999999999</v>
      </c>
      <c r="L236" s="12"/>
    </row>
    <row r="237" spans="1:14" x14ac:dyDescent="0.2">
      <c r="A237" s="68" t="s">
        <v>18</v>
      </c>
      <c r="B237" s="72"/>
      <c r="C237" s="12"/>
      <c r="D237" s="12"/>
      <c r="E237" s="12">
        <f>E236+C240</f>
        <v>5753.6559999999999</v>
      </c>
      <c r="F237" s="12">
        <f>F236+D240</f>
        <v>5441.9680000000008</v>
      </c>
      <c r="G237" s="12">
        <f>G236-355.34</f>
        <v>5639.3159999999998</v>
      </c>
      <c r="H237" s="12">
        <f>H236-308+F240</f>
        <v>4764.6240000000007</v>
      </c>
      <c r="I237" s="12">
        <f>I236-308-G240</f>
        <v>3694.8900000000003</v>
      </c>
      <c r="J237" s="12">
        <f>J236-308+H240</f>
        <v>5686.6559999999999</v>
      </c>
      <c r="K237" s="12">
        <f>K236-308+I240</f>
        <v>5686.6559999999999</v>
      </c>
      <c r="L237" s="12"/>
    </row>
    <row r="238" spans="1:14" x14ac:dyDescent="0.2">
      <c r="A238" s="68" t="s">
        <v>19</v>
      </c>
      <c r="B238" s="72"/>
      <c r="C238" s="12"/>
      <c r="D238" s="12"/>
      <c r="E238" s="12" t="s">
        <v>715</v>
      </c>
      <c r="F238" s="12" t="s">
        <v>716</v>
      </c>
      <c r="G238" s="12" t="s">
        <v>938</v>
      </c>
      <c r="H238" s="12" t="s">
        <v>1038</v>
      </c>
      <c r="I238" s="12" t="s">
        <v>1158</v>
      </c>
      <c r="J238" s="12" t="s">
        <v>939</v>
      </c>
      <c r="K238" s="12" t="s">
        <v>940</v>
      </c>
      <c r="L238" s="12"/>
    </row>
    <row r="239" spans="1:14" x14ac:dyDescent="0.2">
      <c r="A239" s="68" t="s">
        <v>20</v>
      </c>
      <c r="B239" s="72"/>
      <c r="C239" s="12">
        <v>6284</v>
      </c>
      <c r="D239" s="12">
        <v>6499</v>
      </c>
      <c r="E239" s="12">
        <v>7341</v>
      </c>
      <c r="F239" s="12">
        <v>6364</v>
      </c>
      <c r="G239" s="12">
        <v>3647.55</v>
      </c>
      <c r="H239" s="12"/>
      <c r="I239" s="12"/>
      <c r="J239" s="12"/>
      <c r="K239" s="12"/>
      <c r="L239" s="12"/>
    </row>
    <row r="240" spans="1:14" x14ac:dyDescent="0.2">
      <c r="A240" s="68" t="s">
        <v>21</v>
      </c>
      <c r="B240" s="101"/>
      <c r="C240" s="12">
        <f>C236-C239</f>
        <v>-241</v>
      </c>
      <c r="D240" s="12">
        <f>D236-D239</f>
        <v>-552.68799999999919</v>
      </c>
      <c r="E240" s="12">
        <f>E237-E239</f>
        <v>-1587.3440000000001</v>
      </c>
      <c r="F240" s="12">
        <f>F237-F239</f>
        <v>-922.03199999999924</v>
      </c>
      <c r="G240" s="12">
        <f>G237-G239</f>
        <v>1991.7659999999996</v>
      </c>
      <c r="H240" s="12"/>
      <c r="I240" s="12"/>
      <c r="J240" s="12"/>
      <c r="K240" s="12"/>
      <c r="L240" s="12"/>
    </row>
    <row r="241" spans="1:12" x14ac:dyDescent="0.2">
      <c r="A241" s="73" t="s">
        <v>22</v>
      </c>
      <c r="B241" s="102"/>
      <c r="C241" s="17">
        <v>2022</v>
      </c>
      <c r="D241" s="17">
        <v>2023</v>
      </c>
      <c r="E241" s="17">
        <v>2024</v>
      </c>
      <c r="F241" s="17">
        <v>2025</v>
      </c>
      <c r="G241" s="17">
        <v>2026</v>
      </c>
      <c r="H241" s="17">
        <v>2027</v>
      </c>
      <c r="I241" s="17">
        <v>2028</v>
      </c>
      <c r="J241" s="17">
        <v>2029</v>
      </c>
      <c r="K241" s="17">
        <v>2030</v>
      </c>
      <c r="L241" s="17"/>
    </row>
    <row r="242" spans="1:12" ht="12.75" customHeight="1" x14ac:dyDescent="0.2">
      <c r="A242" s="639" t="s">
        <v>23</v>
      </c>
      <c r="B242" s="640"/>
      <c r="C242" s="640"/>
      <c r="D242" s="640"/>
      <c r="E242" s="640"/>
      <c r="F242" s="640"/>
      <c r="G242" s="640"/>
      <c r="H242" s="640"/>
      <c r="I242" s="640"/>
      <c r="J242" s="640"/>
      <c r="K242" s="641"/>
      <c r="L242" s="641"/>
    </row>
    <row r="243" spans="1:12" ht="12.75" customHeight="1" x14ac:dyDescent="0.2">
      <c r="A243" s="643" t="s">
        <v>654</v>
      </c>
      <c r="B243" s="640"/>
      <c r="C243" s="640"/>
      <c r="D243" s="640"/>
      <c r="E243" s="640"/>
      <c r="F243" s="640"/>
      <c r="G243" s="259"/>
      <c r="H243" s="259"/>
      <c r="I243" s="19"/>
      <c r="J243" s="19"/>
      <c r="K243" s="19"/>
      <c r="L243" s="63"/>
    </row>
    <row r="244" spans="1:12" ht="12.75" customHeight="1" x14ac:dyDescent="0.2">
      <c r="A244" s="118" t="s">
        <v>937</v>
      </c>
      <c r="B244" s="642"/>
      <c r="C244" s="642"/>
      <c r="D244" s="642"/>
      <c r="E244" s="642"/>
      <c r="F244" s="642"/>
      <c r="G244" s="119"/>
      <c r="H244" s="119"/>
      <c r="L244" s="64"/>
    </row>
    <row r="245" spans="1:12" ht="12.75" customHeight="1" x14ac:dyDescent="0.2">
      <c r="A245" s="118"/>
      <c r="B245" s="642"/>
      <c r="C245" s="642"/>
      <c r="D245" s="642"/>
      <c r="E245" s="642"/>
      <c r="F245" s="642"/>
      <c r="G245" s="119"/>
      <c r="H245" s="119"/>
      <c r="L245" s="64"/>
    </row>
    <row r="246" spans="1:12" ht="12.75" customHeight="1" x14ac:dyDescent="0.2">
      <c r="A246" s="118"/>
      <c r="B246" s="642"/>
      <c r="C246" s="642"/>
      <c r="D246" s="642"/>
      <c r="E246" s="642"/>
      <c r="F246" s="642"/>
      <c r="G246" s="119"/>
      <c r="H246" s="119"/>
      <c r="L246" s="64"/>
    </row>
    <row r="247" spans="1:12" ht="12.75" customHeight="1" x14ac:dyDescent="0.2">
      <c r="A247" s="120"/>
      <c r="B247" s="121"/>
      <c r="C247" s="121"/>
      <c r="D247" s="121"/>
      <c r="E247" s="121"/>
      <c r="F247" s="122"/>
      <c r="G247" s="122"/>
      <c r="H247" s="122"/>
      <c r="I247" s="34"/>
      <c r="J247" s="34"/>
      <c r="K247" s="34"/>
      <c r="L247" s="48"/>
    </row>
    <row r="248" spans="1:12" x14ac:dyDescent="0.2">
      <c r="C248" s="123"/>
    </row>
    <row r="249" spans="1:12" x14ac:dyDescent="0.2">
      <c r="A249" s="98" t="s">
        <v>14</v>
      </c>
      <c r="B249" s="66" t="s">
        <v>74</v>
      </c>
      <c r="C249" s="67" t="s">
        <v>15</v>
      </c>
      <c r="D249" s="8"/>
      <c r="E249" s="8"/>
      <c r="F249" s="8"/>
    </row>
    <row r="250" spans="1:12" x14ac:dyDescent="0.2">
      <c r="A250" s="92" t="s">
        <v>16</v>
      </c>
      <c r="B250" s="124">
        <v>2014</v>
      </c>
      <c r="C250" s="124">
        <v>2015</v>
      </c>
      <c r="D250" s="125">
        <v>2016</v>
      </c>
      <c r="E250" s="124">
        <v>2017</v>
      </c>
      <c r="F250" s="126">
        <v>2018</v>
      </c>
      <c r="G250" s="127">
        <v>2019</v>
      </c>
      <c r="H250" s="127">
        <v>2020</v>
      </c>
      <c r="I250" s="127">
        <v>2021</v>
      </c>
      <c r="J250" s="127">
        <v>2022</v>
      </c>
      <c r="K250" s="128">
        <v>2023</v>
      </c>
      <c r="L250" s="128">
        <v>2024</v>
      </c>
    </row>
    <row r="251" spans="1:12" x14ac:dyDescent="0.2">
      <c r="A251" s="129" t="s">
        <v>17</v>
      </c>
      <c r="B251" s="130">
        <v>190</v>
      </c>
      <c r="C251" s="130">
        <v>190</v>
      </c>
      <c r="D251" s="130">
        <v>190</v>
      </c>
      <c r="E251" s="130">
        <v>190</v>
      </c>
      <c r="F251" s="130">
        <v>190</v>
      </c>
      <c r="G251" s="131">
        <v>190</v>
      </c>
      <c r="H251" s="131">
        <v>159.80000000000001</v>
      </c>
      <c r="I251" s="131">
        <v>159.80000000000001</v>
      </c>
      <c r="J251" s="131">
        <v>159.80000000000001</v>
      </c>
      <c r="K251" s="90">
        <v>159.80000000000001</v>
      </c>
      <c r="L251" s="90">
        <v>159.80000000000001</v>
      </c>
    </row>
    <row r="252" spans="1:12" x14ac:dyDescent="0.2">
      <c r="A252" s="129" t="s">
        <v>18</v>
      </c>
      <c r="B252" s="130"/>
      <c r="C252" s="130"/>
      <c r="D252" s="130"/>
      <c r="E252" s="130"/>
      <c r="F252" s="130"/>
      <c r="G252" s="131"/>
      <c r="H252" s="131"/>
      <c r="I252" s="131"/>
      <c r="J252" s="131">
        <v>159.80000000000001</v>
      </c>
      <c r="K252" s="90">
        <v>159.80000000000001</v>
      </c>
      <c r="L252" s="90">
        <v>159.80000000000001</v>
      </c>
    </row>
    <row r="253" spans="1:12" x14ac:dyDescent="0.2">
      <c r="A253" s="129" t="s">
        <v>19</v>
      </c>
      <c r="B253" s="130"/>
      <c r="C253" s="130"/>
      <c r="D253" s="130"/>
      <c r="E253" s="130"/>
      <c r="F253" s="130"/>
      <c r="G253" s="131"/>
      <c r="H253" s="131"/>
      <c r="I253" s="131"/>
      <c r="J253" s="131"/>
      <c r="K253" s="90"/>
      <c r="L253" s="90"/>
    </row>
    <row r="254" spans="1:12" x14ac:dyDescent="0.2">
      <c r="A254" s="129" t="s">
        <v>20</v>
      </c>
      <c r="B254" s="130">
        <v>104.95522</v>
      </c>
      <c r="C254" s="130">
        <v>89.182190000000006</v>
      </c>
      <c r="D254" s="130">
        <v>79.192750000000004</v>
      </c>
      <c r="E254" s="132">
        <v>64.003107999999997</v>
      </c>
      <c r="F254" s="130">
        <v>37</v>
      </c>
      <c r="G254" s="131">
        <v>19.91</v>
      </c>
      <c r="H254" s="131">
        <v>13</v>
      </c>
      <c r="I254" s="131">
        <v>2</v>
      </c>
      <c r="J254" s="131">
        <v>3</v>
      </c>
      <c r="K254" s="90">
        <v>5</v>
      </c>
      <c r="L254" s="90">
        <v>30.04</v>
      </c>
    </row>
    <row r="255" spans="1:12" x14ac:dyDescent="0.2">
      <c r="A255" s="129" t="s">
        <v>21</v>
      </c>
      <c r="B255" s="133"/>
      <c r="C255" s="133"/>
      <c r="D255" s="133"/>
      <c r="E255" s="133"/>
      <c r="F255" s="133"/>
      <c r="G255" s="90"/>
      <c r="H255" s="90"/>
      <c r="I255" s="90"/>
      <c r="J255" s="131">
        <f>J252-J254</f>
        <v>156.80000000000001</v>
      </c>
      <c r="K255" s="131">
        <f t="shared" ref="K255:L255" si="13">K252-K254</f>
        <v>154.80000000000001</v>
      </c>
      <c r="L255" s="131">
        <f t="shared" si="13"/>
        <v>129.76000000000002</v>
      </c>
    </row>
    <row r="256" spans="1:12" x14ac:dyDescent="0.2">
      <c r="A256" s="129" t="s">
        <v>22</v>
      </c>
      <c r="B256" s="134"/>
      <c r="C256" s="134"/>
      <c r="D256" s="134"/>
      <c r="E256" s="134"/>
      <c r="F256" s="134"/>
      <c r="G256" s="90"/>
      <c r="H256" s="90"/>
      <c r="I256" s="90"/>
      <c r="J256" s="90"/>
      <c r="K256" s="90"/>
      <c r="L256" s="90"/>
    </row>
    <row r="257" spans="1:12" ht="36" customHeight="1" x14ac:dyDescent="0.2">
      <c r="A257" s="682" t="s">
        <v>323</v>
      </c>
      <c r="B257" s="683"/>
      <c r="C257" s="683"/>
      <c r="D257" s="683"/>
      <c r="E257" s="683"/>
      <c r="F257" s="683"/>
      <c r="G257" s="683"/>
      <c r="H257" s="683"/>
      <c r="I257" s="683"/>
      <c r="J257" s="683"/>
      <c r="K257" s="683"/>
      <c r="L257" s="684"/>
    </row>
    <row r="258" spans="1:12" x14ac:dyDescent="0.2">
      <c r="C258" s="123"/>
    </row>
    <row r="259" spans="1:12" x14ac:dyDescent="0.2">
      <c r="A259" s="98" t="s">
        <v>14</v>
      </c>
      <c r="B259" s="66" t="s">
        <v>79</v>
      </c>
      <c r="C259" s="67" t="s">
        <v>15</v>
      </c>
      <c r="D259" s="8"/>
      <c r="E259" s="8"/>
      <c r="F259" s="8"/>
    </row>
    <row r="260" spans="1:12" x14ac:dyDescent="0.2">
      <c r="A260" s="68" t="s">
        <v>16</v>
      </c>
      <c r="B260" s="67">
        <v>2014</v>
      </c>
      <c r="C260" s="67">
        <v>2015</v>
      </c>
      <c r="D260" s="70">
        <v>2016</v>
      </c>
      <c r="E260" s="67">
        <v>2017</v>
      </c>
      <c r="F260" s="66">
        <v>2018</v>
      </c>
      <c r="G260" s="9">
        <v>2019</v>
      </c>
      <c r="H260" s="9">
        <v>2020</v>
      </c>
      <c r="I260" s="9">
        <v>2021</v>
      </c>
      <c r="J260" s="9">
        <v>2022</v>
      </c>
      <c r="K260" s="128">
        <v>2023</v>
      </c>
      <c r="L260" s="128">
        <v>2024</v>
      </c>
    </row>
    <row r="261" spans="1:12" x14ac:dyDescent="0.2">
      <c r="A261" s="68" t="s">
        <v>17</v>
      </c>
      <c r="B261" s="101">
        <v>50</v>
      </c>
      <c r="C261" s="101">
        <v>50</v>
      </c>
      <c r="D261" s="101">
        <v>50</v>
      </c>
      <c r="E261" s="101">
        <v>50</v>
      </c>
      <c r="F261" s="135">
        <v>50</v>
      </c>
      <c r="G261" s="12">
        <v>50</v>
      </c>
      <c r="H261" s="12">
        <v>50</v>
      </c>
      <c r="I261" s="12">
        <v>50</v>
      </c>
      <c r="J261" s="12">
        <v>50</v>
      </c>
      <c r="K261" s="90">
        <v>50</v>
      </c>
      <c r="L261" s="90">
        <v>50</v>
      </c>
    </row>
    <row r="262" spans="1:12" x14ac:dyDescent="0.2">
      <c r="A262" s="68" t="s">
        <v>18</v>
      </c>
      <c r="B262" s="101"/>
      <c r="C262" s="101"/>
      <c r="D262" s="101"/>
      <c r="E262" s="101"/>
      <c r="F262" s="135"/>
      <c r="G262" s="11"/>
      <c r="H262" s="12"/>
      <c r="I262" s="12"/>
      <c r="J262" s="12"/>
      <c r="K262" s="90"/>
      <c r="L262" s="90"/>
    </row>
    <row r="263" spans="1:12" x14ac:dyDescent="0.2">
      <c r="A263" s="68" t="s">
        <v>19</v>
      </c>
      <c r="B263" s="101"/>
      <c r="C263" s="101"/>
      <c r="D263" s="101"/>
      <c r="E263" s="101"/>
      <c r="F263" s="135"/>
      <c r="G263" s="11"/>
      <c r="H263" s="12"/>
      <c r="I263" s="12"/>
      <c r="J263" s="12"/>
      <c r="K263" s="90"/>
      <c r="L263" s="90"/>
    </row>
    <row r="264" spans="1:12" x14ac:dyDescent="0.2">
      <c r="A264" s="68" t="s">
        <v>20</v>
      </c>
      <c r="B264" s="101">
        <v>102.32362999999999</v>
      </c>
      <c r="C264" s="101">
        <v>121.20529999999999</v>
      </c>
      <c r="D264" s="101">
        <v>66.934179999999998</v>
      </c>
      <c r="E264" s="101">
        <v>46.581100000000006</v>
      </c>
      <c r="F264" s="101">
        <v>62</v>
      </c>
      <c r="G264" s="11">
        <v>76.31</v>
      </c>
      <c r="H264" s="12">
        <v>46</v>
      </c>
      <c r="I264" s="12">
        <v>0</v>
      </c>
      <c r="J264" s="12">
        <v>0</v>
      </c>
      <c r="K264" s="90">
        <v>17</v>
      </c>
      <c r="L264" s="90">
        <v>13.57</v>
      </c>
    </row>
    <row r="265" spans="1:12" x14ac:dyDescent="0.2">
      <c r="A265" s="68" t="s">
        <v>21</v>
      </c>
      <c r="B265" s="101"/>
      <c r="C265" s="101"/>
      <c r="D265" s="101"/>
      <c r="E265" s="101"/>
      <c r="F265" s="135"/>
      <c r="G265" s="11"/>
      <c r="H265" s="12"/>
      <c r="I265" s="12"/>
      <c r="J265" s="12"/>
      <c r="K265" s="90">
        <v>33</v>
      </c>
      <c r="L265" s="90">
        <v>36.43</v>
      </c>
    </row>
    <row r="266" spans="1:12" x14ac:dyDescent="0.2">
      <c r="A266" s="68" t="s">
        <v>22</v>
      </c>
      <c r="B266" s="69"/>
      <c r="C266" s="69"/>
      <c r="D266" s="136"/>
      <c r="E266" s="69"/>
      <c r="F266" s="137"/>
      <c r="G266" s="11"/>
      <c r="H266" s="12"/>
      <c r="I266" s="12"/>
      <c r="J266" s="12"/>
      <c r="K266" s="90"/>
      <c r="L266" s="90"/>
    </row>
    <row r="267" spans="1:12" x14ac:dyDescent="0.2">
      <c r="A267" s="666" t="s">
        <v>23</v>
      </c>
      <c r="B267" s="666"/>
      <c r="C267" s="666"/>
      <c r="D267" s="666"/>
      <c r="E267" s="666"/>
      <c r="F267" s="666"/>
      <c r="G267" s="11"/>
      <c r="H267" s="12"/>
      <c r="I267" s="12"/>
      <c r="J267" s="12"/>
      <c r="K267" s="90"/>
      <c r="L267" s="90"/>
    </row>
    <row r="268" spans="1:12" ht="38.25" customHeight="1" x14ac:dyDescent="0.2">
      <c r="A268" s="682" t="s">
        <v>323</v>
      </c>
      <c r="B268" s="683"/>
      <c r="C268" s="683"/>
      <c r="D268" s="683"/>
      <c r="E268" s="683"/>
      <c r="F268" s="683"/>
      <c r="G268" s="683"/>
      <c r="H268" s="683"/>
      <c r="I268" s="683"/>
      <c r="J268" s="683"/>
      <c r="K268" s="683"/>
      <c r="L268" s="684"/>
    </row>
    <row r="269" spans="1:12" ht="16.149999999999999" customHeight="1" x14ac:dyDescent="0.2">
      <c r="A269" s="138"/>
      <c r="B269" s="138"/>
      <c r="C269" s="138"/>
      <c r="D269" s="138"/>
      <c r="E269" s="138"/>
      <c r="F269" s="138"/>
      <c r="G269" s="138"/>
      <c r="H269" s="138"/>
      <c r="I269" s="138"/>
      <c r="J269" s="138"/>
      <c r="K269" s="138"/>
      <c r="L269" s="138"/>
    </row>
    <row r="270" spans="1:12" ht="16.149999999999999" customHeight="1" x14ac:dyDescent="0.2">
      <c r="A270" s="98" t="s">
        <v>14</v>
      </c>
      <c r="B270" s="66" t="s">
        <v>1159</v>
      </c>
      <c r="C270" s="67" t="s">
        <v>15</v>
      </c>
      <c r="D270" s="8"/>
      <c r="E270" s="8"/>
      <c r="F270" s="8"/>
      <c r="G270" s="138"/>
      <c r="H270" s="138"/>
      <c r="I270" s="138"/>
      <c r="J270" s="138"/>
      <c r="K270" s="138"/>
      <c r="L270" s="138"/>
    </row>
    <row r="271" spans="1:12" ht="16.149999999999999" customHeight="1" x14ac:dyDescent="0.2">
      <c r="A271" s="68" t="s">
        <v>16</v>
      </c>
      <c r="B271" s="67">
        <v>2023</v>
      </c>
      <c r="C271" s="67">
        <v>2024</v>
      </c>
      <c r="D271" s="644">
        <v>2025</v>
      </c>
      <c r="E271" s="138"/>
      <c r="F271" s="138"/>
      <c r="G271" s="138"/>
      <c r="H271" s="138"/>
      <c r="I271" s="138"/>
      <c r="J271" s="138"/>
    </row>
    <row r="272" spans="1:12" ht="16.149999999999999" customHeight="1" x14ac:dyDescent="0.2">
      <c r="A272" s="68" t="s">
        <v>17</v>
      </c>
      <c r="B272" s="101">
        <v>208</v>
      </c>
      <c r="C272" s="101">
        <v>208</v>
      </c>
      <c r="D272" s="101">
        <v>208</v>
      </c>
      <c r="E272" s="138"/>
      <c r="F272" s="138"/>
      <c r="G272" s="138"/>
      <c r="H272" s="138"/>
      <c r="I272" s="138"/>
      <c r="J272" s="138"/>
    </row>
    <row r="273" spans="1:12" ht="16.149999999999999" customHeight="1" x14ac:dyDescent="0.2">
      <c r="A273" s="68" t="s">
        <v>18</v>
      </c>
      <c r="B273" s="101"/>
      <c r="C273" s="101">
        <v>208</v>
      </c>
      <c r="D273" s="101"/>
      <c r="E273" s="138"/>
      <c r="F273" s="138"/>
      <c r="G273" s="138"/>
      <c r="H273" s="138"/>
      <c r="I273" s="138"/>
      <c r="J273" s="138"/>
    </row>
    <row r="274" spans="1:12" ht="16.149999999999999" customHeight="1" x14ac:dyDescent="0.2">
      <c r="A274" s="68" t="s">
        <v>19</v>
      </c>
      <c r="B274" s="101"/>
      <c r="C274" s="101"/>
      <c r="D274" s="101"/>
      <c r="E274" s="138"/>
      <c r="F274" s="138"/>
      <c r="G274" s="138"/>
      <c r="H274" s="138"/>
      <c r="I274" s="138"/>
      <c r="J274" s="138"/>
    </row>
    <row r="275" spans="1:12" ht="16.149999999999999" customHeight="1" x14ac:dyDescent="0.2">
      <c r="A275" s="68" t="s">
        <v>20</v>
      </c>
      <c r="B275" s="101">
        <v>121</v>
      </c>
      <c r="C275" s="101">
        <v>305</v>
      </c>
      <c r="D275" s="101"/>
      <c r="E275" s="138"/>
      <c r="F275" s="138"/>
      <c r="G275" s="138"/>
      <c r="H275" s="138"/>
      <c r="I275" s="138"/>
      <c r="J275" s="138"/>
    </row>
    <row r="276" spans="1:12" ht="16.149999999999999" customHeight="1" x14ac:dyDescent="0.2">
      <c r="A276" s="68" t="s">
        <v>21</v>
      </c>
      <c r="B276" s="101">
        <v>87</v>
      </c>
      <c r="C276" s="139">
        <f>C273-C275</f>
        <v>-97</v>
      </c>
      <c r="D276" s="101"/>
      <c r="E276" s="138"/>
      <c r="F276" s="138"/>
      <c r="G276" s="138"/>
      <c r="H276" s="138"/>
      <c r="I276" s="138"/>
      <c r="J276" s="138"/>
    </row>
    <row r="277" spans="1:12" ht="16.149999999999999" customHeight="1" x14ac:dyDescent="0.2">
      <c r="A277" s="92" t="s">
        <v>22</v>
      </c>
      <c r="B277" s="275">
        <v>2025</v>
      </c>
      <c r="C277" s="275">
        <v>2026</v>
      </c>
      <c r="D277" s="275">
        <v>2027</v>
      </c>
      <c r="E277" s="138"/>
      <c r="F277" s="138"/>
      <c r="G277" s="138"/>
      <c r="H277" s="138"/>
      <c r="I277" s="138"/>
      <c r="J277" s="138"/>
    </row>
    <row r="278" spans="1:12" x14ac:dyDescent="0.2">
      <c r="A278" s="645" t="s">
        <v>23</v>
      </c>
      <c r="B278" s="507"/>
      <c r="C278" s="507"/>
      <c r="D278" s="646"/>
      <c r="E278" s="8"/>
      <c r="F278" s="8"/>
    </row>
    <row r="279" spans="1:12" x14ac:dyDescent="0.2">
      <c r="A279" s="8"/>
      <c r="B279" s="8"/>
      <c r="C279" s="8"/>
      <c r="D279" s="8"/>
      <c r="E279" s="8"/>
      <c r="F279" s="8"/>
    </row>
    <row r="280" spans="1:12" x14ac:dyDescent="0.2">
      <c r="A280" s="10" t="s">
        <v>12</v>
      </c>
      <c r="B280" s="7" t="s">
        <v>171</v>
      </c>
    </row>
    <row r="281" spans="1:12" x14ac:dyDescent="0.2">
      <c r="A281" s="41" t="s">
        <v>14</v>
      </c>
      <c r="B281" s="24" t="s">
        <v>623</v>
      </c>
      <c r="C281" s="9" t="s">
        <v>15</v>
      </c>
    </row>
    <row r="282" spans="1:12" x14ac:dyDescent="0.2">
      <c r="A282" s="9" t="s">
        <v>16</v>
      </c>
      <c r="B282" s="9"/>
      <c r="C282" s="9">
        <v>2016</v>
      </c>
      <c r="D282" s="9">
        <v>2017</v>
      </c>
      <c r="E282" s="9">
        <v>2018</v>
      </c>
      <c r="F282" s="9">
        <v>2019</v>
      </c>
      <c r="G282" s="9">
        <v>2020</v>
      </c>
      <c r="H282" s="9">
        <v>2021</v>
      </c>
      <c r="I282" s="9">
        <v>2022</v>
      </c>
      <c r="J282" s="9">
        <v>2023</v>
      </c>
      <c r="K282" s="9">
        <v>2024</v>
      </c>
      <c r="L282" s="9">
        <v>2025</v>
      </c>
    </row>
    <row r="283" spans="1:12" x14ac:dyDescent="0.2">
      <c r="A283" s="11" t="s">
        <v>17</v>
      </c>
      <c r="B283" s="11"/>
      <c r="C283" s="12">
        <v>1348</v>
      </c>
      <c r="D283" s="12">
        <v>1348</v>
      </c>
      <c r="E283" s="12">
        <v>1348</v>
      </c>
      <c r="F283" s="12">
        <v>1348</v>
      </c>
      <c r="G283" s="12">
        <v>1348</v>
      </c>
      <c r="H283" s="12">
        <v>1348</v>
      </c>
      <c r="I283" s="12">
        <v>1348</v>
      </c>
      <c r="J283" s="12">
        <v>1348</v>
      </c>
      <c r="K283" s="12">
        <v>1348</v>
      </c>
      <c r="L283" s="90">
        <v>558.65</v>
      </c>
    </row>
    <row r="284" spans="1:12" x14ac:dyDescent="0.2">
      <c r="A284" s="11" t="s">
        <v>18</v>
      </c>
      <c r="B284" s="11"/>
      <c r="C284" s="12">
        <v>2040.2</v>
      </c>
      <c r="D284" s="12">
        <v>2070.1999999999998</v>
      </c>
      <c r="E284" s="12">
        <v>2070.1999999999998</v>
      </c>
      <c r="F284" s="12">
        <v>2045.1999999999998</v>
      </c>
      <c r="G284" s="12">
        <f>G283*1.15+125+35+35+100</f>
        <v>1845.1999999999998</v>
      </c>
      <c r="H284" s="12">
        <f>H283+0.15*F283+150+35+35+200</f>
        <v>1970.2</v>
      </c>
      <c r="I284" s="12">
        <f>I283+150+35+35+250+202.2</f>
        <v>2020.2</v>
      </c>
      <c r="J284" s="12">
        <f>J283+125+35+35+327+202.2</f>
        <v>2072.1999999999998</v>
      </c>
      <c r="K284" s="12">
        <f>K283+125+35+35+280+202.2</f>
        <v>2025.2</v>
      </c>
      <c r="L284" s="90">
        <v>608.46400499999982</v>
      </c>
    </row>
    <row r="285" spans="1:12" x14ac:dyDescent="0.2">
      <c r="A285" s="11" t="s">
        <v>19</v>
      </c>
      <c r="B285" s="11"/>
      <c r="C285" s="12"/>
      <c r="D285" s="12"/>
      <c r="E285" s="12"/>
      <c r="F285" s="12"/>
      <c r="G285" s="12"/>
      <c r="H285" s="12"/>
      <c r="I285" s="12"/>
      <c r="J285" s="12"/>
      <c r="K285" s="12"/>
      <c r="L285" s="90"/>
    </row>
    <row r="286" spans="1:12" x14ac:dyDescent="0.2">
      <c r="A286" s="11" t="s">
        <v>20</v>
      </c>
      <c r="B286" s="11"/>
      <c r="C286" s="12">
        <v>1558.88</v>
      </c>
      <c r="D286" s="12">
        <v>1209.21</v>
      </c>
      <c r="E286" s="12">
        <v>786.81</v>
      </c>
      <c r="F286" s="12">
        <v>997.23400000000004</v>
      </c>
      <c r="G286" s="12">
        <v>1335.83</v>
      </c>
      <c r="H286" s="12">
        <v>1380.2959000000001</v>
      </c>
      <c r="I286" s="12">
        <v>1343.9679999999998</v>
      </c>
      <c r="J286" s="12">
        <v>1925.9659999999999</v>
      </c>
      <c r="K286" s="12">
        <v>1687.3495874040746</v>
      </c>
      <c r="L286" s="90"/>
    </row>
    <row r="287" spans="1:12" x14ac:dyDescent="0.2">
      <c r="A287" s="11" t="s">
        <v>21</v>
      </c>
      <c r="B287" s="11"/>
      <c r="C287" s="12">
        <v>481.32</v>
      </c>
      <c r="D287" s="12">
        <v>860.99</v>
      </c>
      <c r="E287" s="12">
        <v>1283.3900000000001</v>
      </c>
      <c r="F287" s="12">
        <v>1047.9659999999999</v>
      </c>
      <c r="G287" s="12">
        <f>G284-G286</f>
        <v>509.36999999999989</v>
      </c>
      <c r="H287" s="12">
        <f>H284-H286</f>
        <v>589.90409999999997</v>
      </c>
      <c r="I287" s="12">
        <f>I284-I286</f>
        <v>676.2320000000002</v>
      </c>
      <c r="J287" s="12">
        <f>J284-J286</f>
        <v>146.23399999999992</v>
      </c>
      <c r="K287" s="12">
        <f>K284-K286</f>
        <v>337.85041259592549</v>
      </c>
      <c r="L287" s="90"/>
    </row>
    <row r="288" spans="1:12" x14ac:dyDescent="0.2">
      <c r="A288" s="17" t="s">
        <v>22</v>
      </c>
      <c r="B288" s="17"/>
      <c r="C288" s="17">
        <v>2018</v>
      </c>
      <c r="D288" s="17">
        <v>2019</v>
      </c>
      <c r="E288" s="17">
        <v>2020</v>
      </c>
      <c r="F288" s="17">
        <v>2021</v>
      </c>
      <c r="G288" s="17">
        <v>2022</v>
      </c>
      <c r="H288" s="17">
        <v>2023</v>
      </c>
      <c r="I288" s="17">
        <v>2024</v>
      </c>
      <c r="J288" s="17">
        <v>2025</v>
      </c>
      <c r="K288" s="17">
        <v>2026</v>
      </c>
      <c r="L288" s="90">
        <v>2027</v>
      </c>
    </row>
    <row r="289" spans="1:14" x14ac:dyDescent="0.2">
      <c r="A289" s="140" t="s">
        <v>168</v>
      </c>
      <c r="B289" s="61"/>
      <c r="C289" s="61"/>
      <c r="D289" s="61"/>
      <c r="E289" s="61"/>
      <c r="F289" s="61"/>
      <c r="G289" s="61"/>
      <c r="H289" s="61"/>
      <c r="I289" s="61"/>
      <c r="J289" s="61"/>
      <c r="K289" s="53"/>
      <c r="L289" s="141"/>
      <c r="M289" s="49"/>
      <c r="N289" s="49"/>
    </row>
    <row r="290" spans="1:14" x14ac:dyDescent="0.2">
      <c r="A290" s="56" t="s">
        <v>169</v>
      </c>
      <c r="B290" s="49"/>
      <c r="C290" s="49"/>
      <c r="D290" s="49"/>
      <c r="E290" s="49"/>
      <c r="F290" s="49"/>
      <c r="G290" s="49"/>
      <c r="H290" s="49"/>
      <c r="I290" s="49"/>
      <c r="J290" s="49"/>
      <c r="K290" s="49"/>
      <c r="L290" s="141"/>
      <c r="M290" s="49"/>
      <c r="N290" s="49"/>
    </row>
    <row r="291" spans="1:14" x14ac:dyDescent="0.2">
      <c r="A291" s="56" t="s">
        <v>170</v>
      </c>
      <c r="B291" s="49"/>
      <c r="C291" s="49"/>
      <c r="D291" s="49"/>
      <c r="E291" s="49"/>
      <c r="F291" s="49"/>
      <c r="G291" s="49"/>
      <c r="H291" s="49"/>
      <c r="I291" s="49"/>
      <c r="J291" s="49"/>
      <c r="K291" s="49"/>
      <c r="L291" s="141"/>
      <c r="M291" s="49"/>
      <c r="N291" s="49"/>
    </row>
    <row r="292" spans="1:14" x14ac:dyDescent="0.2">
      <c r="A292" s="56" t="s">
        <v>390</v>
      </c>
      <c r="L292" s="64"/>
    </row>
    <row r="293" spans="1:14" x14ac:dyDescent="0.2">
      <c r="A293" s="56" t="s">
        <v>511</v>
      </c>
      <c r="L293" s="64"/>
    </row>
    <row r="294" spans="1:14" x14ac:dyDescent="0.2">
      <c r="A294" s="56" t="s">
        <v>512</v>
      </c>
      <c r="L294" s="64"/>
    </row>
    <row r="295" spans="1:14" x14ac:dyDescent="0.2">
      <c r="A295" s="56" t="s">
        <v>606</v>
      </c>
      <c r="L295" s="64"/>
    </row>
    <row r="296" spans="1:14" x14ac:dyDescent="0.2">
      <c r="A296" s="56" t="s">
        <v>769</v>
      </c>
      <c r="L296" s="64"/>
    </row>
    <row r="297" spans="1:14" x14ac:dyDescent="0.2">
      <c r="A297" s="49" t="s">
        <v>981</v>
      </c>
      <c r="L297" s="64"/>
    </row>
    <row r="298" spans="1:14" s="34" customFormat="1" x14ac:dyDescent="0.2">
      <c r="A298" s="142"/>
      <c r="L298" s="48"/>
    </row>
    <row r="300" spans="1:14" x14ac:dyDescent="0.2">
      <c r="A300" s="6" t="s">
        <v>14</v>
      </c>
      <c r="B300" s="143" t="s">
        <v>645</v>
      </c>
      <c r="C300" s="9" t="s">
        <v>15</v>
      </c>
      <c r="E300" s="144"/>
    </row>
    <row r="301" spans="1:14" x14ac:dyDescent="0.2">
      <c r="A301" s="10" t="s">
        <v>16</v>
      </c>
      <c r="B301" s="10"/>
      <c r="C301" s="145">
        <v>2015</v>
      </c>
      <c r="D301" s="145">
        <v>2016</v>
      </c>
      <c r="E301" s="145">
        <v>2017</v>
      </c>
      <c r="F301" s="145">
        <v>2018</v>
      </c>
      <c r="G301" s="145">
        <v>2019</v>
      </c>
      <c r="H301" s="145">
        <v>2020</v>
      </c>
      <c r="I301" s="145">
        <v>2021</v>
      </c>
      <c r="J301" s="145">
        <v>2022</v>
      </c>
      <c r="K301" s="145">
        <v>2023</v>
      </c>
      <c r="L301" s="145">
        <v>2024</v>
      </c>
      <c r="M301" s="90">
        <v>2025</v>
      </c>
    </row>
    <row r="302" spans="1:14" x14ac:dyDescent="0.2">
      <c r="A302" s="10" t="s">
        <v>17</v>
      </c>
      <c r="B302" s="10"/>
      <c r="C302" s="146">
        <v>452.47</v>
      </c>
      <c r="D302" s="146">
        <v>452.47</v>
      </c>
      <c r="E302" s="146">
        <v>452.47</v>
      </c>
      <c r="F302" s="146">
        <v>530.59</v>
      </c>
      <c r="G302" s="146">
        <v>530.59</v>
      </c>
      <c r="H302" s="146">
        <v>530.59</v>
      </c>
      <c r="I302" s="146">
        <v>530.59</v>
      </c>
      <c r="J302" s="146">
        <v>558.65</v>
      </c>
      <c r="K302" s="146">
        <v>558.65</v>
      </c>
      <c r="L302" s="146">
        <v>558.65</v>
      </c>
      <c r="M302" s="90">
        <v>558.65</v>
      </c>
    </row>
    <row r="303" spans="1:14" x14ac:dyDescent="0.2">
      <c r="A303" s="10" t="s">
        <v>18</v>
      </c>
      <c r="B303" s="10"/>
      <c r="C303" s="146">
        <f>C302+24.4+86.5</f>
        <v>563.37</v>
      </c>
      <c r="D303" s="146">
        <f>D302+C306+51.98</f>
        <v>534.48</v>
      </c>
      <c r="E303" s="146">
        <f>E302+0.1*D302+55.98</f>
        <v>553.697</v>
      </c>
      <c r="F303" s="146">
        <f>F302+0.1*E302+73.98</f>
        <v>649.81700000000001</v>
      </c>
      <c r="G303" s="146">
        <f>G302+0.1*F302+9.62+60.44</f>
        <v>653.70900000000006</v>
      </c>
      <c r="H303" s="146">
        <f>H302+G306+79.44+4.78</f>
        <v>635.64900000000011</v>
      </c>
      <c r="I303" s="146">
        <f>I302+H306+100.44+4.78</f>
        <v>679.85600000000022</v>
      </c>
      <c r="J303" s="146">
        <f>J302+I306+60+4.78</f>
        <v>674.7560000000002</v>
      </c>
      <c r="K303" s="146">
        <f>K302+J306+5.18+60</f>
        <v>663.41600000000017</v>
      </c>
      <c r="L303" s="146">
        <f>L302+60+K306</f>
        <v>671.75200000000018</v>
      </c>
      <c r="M303" s="131">
        <f>M302+L306</f>
        <v>608.5050050000001</v>
      </c>
    </row>
    <row r="304" spans="1:14" x14ac:dyDescent="0.2">
      <c r="A304" s="10" t="s">
        <v>19</v>
      </c>
      <c r="B304" s="10"/>
      <c r="C304" s="147"/>
      <c r="D304" s="147"/>
      <c r="E304" s="147"/>
      <c r="F304" s="12"/>
      <c r="G304" s="12"/>
      <c r="H304" s="12"/>
      <c r="I304" s="12"/>
      <c r="J304" s="12"/>
      <c r="K304" s="12"/>
      <c r="L304" s="12"/>
      <c r="M304" s="90"/>
    </row>
    <row r="305" spans="1:13" x14ac:dyDescent="0.2">
      <c r="A305" s="10" t="s">
        <v>20</v>
      </c>
      <c r="B305" s="10"/>
      <c r="C305" s="146">
        <v>533.34</v>
      </c>
      <c r="D305" s="146">
        <v>473.69</v>
      </c>
      <c r="E305" s="147">
        <v>473.03</v>
      </c>
      <c r="F305" s="12">
        <v>553.98</v>
      </c>
      <c r="G305" s="12">
        <v>632.86999999999989</v>
      </c>
      <c r="H305" s="12">
        <v>591.60299999999995</v>
      </c>
      <c r="I305" s="12">
        <v>628.53</v>
      </c>
      <c r="J305" s="12">
        <v>635.16999999999996</v>
      </c>
      <c r="K305" s="12">
        <v>610.31399999999996</v>
      </c>
      <c r="L305" s="12">
        <v>621.89699500000006</v>
      </c>
      <c r="M305" s="90"/>
    </row>
    <row r="306" spans="1:13" x14ac:dyDescent="0.2">
      <c r="A306" s="10" t="s">
        <v>21</v>
      </c>
      <c r="B306" s="10"/>
      <c r="C306" s="12">
        <f>C303-C305</f>
        <v>30.029999999999973</v>
      </c>
      <c r="D306" s="12">
        <f t="shared" ref="D306:K306" si="14">D303-D305</f>
        <v>60.79000000000002</v>
      </c>
      <c r="E306" s="12">
        <f t="shared" si="14"/>
        <v>80.66700000000003</v>
      </c>
      <c r="F306" s="12">
        <f t="shared" si="14"/>
        <v>95.836999999999989</v>
      </c>
      <c r="G306" s="12">
        <f t="shared" si="14"/>
        <v>20.839000000000169</v>
      </c>
      <c r="H306" s="12">
        <f t="shared" si="14"/>
        <v>44.046000000000163</v>
      </c>
      <c r="I306" s="12">
        <f t="shared" si="14"/>
        <v>51.326000000000249</v>
      </c>
      <c r="J306" s="12">
        <f t="shared" si="14"/>
        <v>39.58600000000024</v>
      </c>
      <c r="K306" s="12">
        <f t="shared" si="14"/>
        <v>53.102000000000203</v>
      </c>
      <c r="L306" s="12">
        <f>L303-L305</f>
        <v>49.855005000000119</v>
      </c>
      <c r="M306" s="90"/>
    </row>
    <row r="307" spans="1:13" x14ac:dyDescent="0.2">
      <c r="A307" s="16" t="s">
        <v>22</v>
      </c>
      <c r="B307" s="16"/>
      <c r="C307" s="148">
        <v>2016</v>
      </c>
      <c r="D307" s="148">
        <v>2017</v>
      </c>
      <c r="E307" s="149">
        <v>2018</v>
      </c>
      <c r="F307" s="17">
        <v>2019</v>
      </c>
      <c r="G307" s="17">
        <v>2020</v>
      </c>
      <c r="H307" s="17">
        <v>2021</v>
      </c>
      <c r="I307" s="17">
        <v>2022</v>
      </c>
      <c r="J307" s="17">
        <v>2023</v>
      </c>
      <c r="K307" s="17">
        <v>2024</v>
      </c>
      <c r="L307" s="17">
        <v>2025</v>
      </c>
      <c r="M307" s="90">
        <v>2026</v>
      </c>
    </row>
    <row r="308" spans="1:13" x14ac:dyDescent="0.2">
      <c r="A308" s="16" t="s">
        <v>966</v>
      </c>
      <c r="B308" s="46"/>
      <c r="C308" s="150"/>
      <c r="D308" s="150"/>
      <c r="E308" s="61"/>
      <c r="F308" s="46"/>
      <c r="G308" s="46"/>
      <c r="H308" s="46"/>
      <c r="I308" s="46"/>
      <c r="J308" s="46"/>
      <c r="K308" s="46"/>
      <c r="L308" s="19"/>
      <c r="M308" s="64"/>
    </row>
    <row r="309" spans="1:13" x14ac:dyDescent="0.2">
      <c r="A309" s="56" t="s">
        <v>967</v>
      </c>
      <c r="B309" s="49"/>
      <c r="C309" s="49"/>
      <c r="D309" s="49"/>
      <c r="E309" s="49"/>
      <c r="F309" s="49"/>
      <c r="G309" s="49"/>
      <c r="M309" s="64"/>
    </row>
    <row r="310" spans="1:13" x14ac:dyDescent="0.2">
      <c r="A310" s="56" t="s">
        <v>968</v>
      </c>
      <c r="B310" s="49"/>
      <c r="C310" s="49"/>
      <c r="D310" s="49"/>
      <c r="E310" s="49"/>
      <c r="F310" s="49"/>
      <c r="G310" s="49"/>
      <c r="M310" s="64"/>
    </row>
    <row r="311" spans="1:13" x14ac:dyDescent="0.2">
      <c r="A311" s="56" t="s">
        <v>729</v>
      </c>
      <c r="B311" s="49"/>
      <c r="C311" s="49"/>
      <c r="D311" s="49"/>
      <c r="E311" s="49"/>
      <c r="F311" s="49"/>
      <c r="G311" s="49"/>
      <c r="M311" s="64"/>
    </row>
    <row r="312" spans="1:13" x14ac:dyDescent="0.2">
      <c r="A312" s="39" t="s">
        <v>730</v>
      </c>
      <c r="M312" s="64"/>
    </row>
    <row r="313" spans="1:13" x14ac:dyDescent="0.2">
      <c r="A313" s="39" t="s">
        <v>731</v>
      </c>
      <c r="M313" s="64"/>
    </row>
    <row r="314" spans="1:13" x14ac:dyDescent="0.2">
      <c r="A314" s="39" t="s">
        <v>732</v>
      </c>
      <c r="M314" s="64"/>
    </row>
    <row r="315" spans="1:13" x14ac:dyDescent="0.2">
      <c r="A315" s="39" t="s">
        <v>770</v>
      </c>
      <c r="M315" s="64"/>
    </row>
    <row r="316" spans="1:13" x14ac:dyDescent="0.2">
      <c r="A316" s="39" t="s">
        <v>887</v>
      </c>
      <c r="M316" s="64"/>
    </row>
    <row r="317" spans="1:13" x14ac:dyDescent="0.2">
      <c r="A317" s="39" t="s">
        <v>980</v>
      </c>
      <c r="M317" s="64"/>
    </row>
    <row r="318" spans="1:13" x14ac:dyDescent="0.2">
      <c r="A318" s="151" t="s">
        <v>1160</v>
      </c>
      <c r="M318" s="64"/>
    </row>
    <row r="319" spans="1:13" x14ac:dyDescent="0.2">
      <c r="A319" s="41" t="s">
        <v>607</v>
      </c>
      <c r="B319" s="34"/>
      <c r="C319" s="34"/>
      <c r="D319" s="34"/>
      <c r="E319" s="34"/>
      <c r="F319" s="34"/>
      <c r="G319" s="34"/>
      <c r="H319" s="34"/>
      <c r="I319" s="34"/>
      <c r="J319" s="34"/>
      <c r="K319" s="34"/>
      <c r="L319" s="34"/>
      <c r="M319" s="48"/>
    </row>
    <row r="322" spans="1:17" x14ac:dyDescent="0.2">
      <c r="A322" s="6" t="s">
        <v>12</v>
      </c>
      <c r="B322" s="7" t="s">
        <v>153</v>
      </c>
    </row>
    <row r="323" spans="1:17" x14ac:dyDescent="0.2">
      <c r="A323" s="152" t="s">
        <v>14</v>
      </c>
      <c r="B323" s="7" t="s">
        <v>624</v>
      </c>
      <c r="C323" s="9" t="s">
        <v>15</v>
      </c>
    </row>
    <row r="324" spans="1:17" x14ac:dyDescent="0.2">
      <c r="A324" s="153" t="s">
        <v>16</v>
      </c>
      <c r="B324" s="154">
        <v>2010</v>
      </c>
      <c r="C324" s="154">
        <v>2011</v>
      </c>
      <c r="D324" s="154">
        <v>2012</v>
      </c>
      <c r="E324" s="154">
        <v>2013</v>
      </c>
      <c r="F324" s="154">
        <v>2014</v>
      </c>
      <c r="G324" s="154">
        <v>2015</v>
      </c>
      <c r="H324" s="154">
        <v>2016</v>
      </c>
      <c r="I324" s="154">
        <v>2017</v>
      </c>
      <c r="J324" s="154">
        <v>2018</v>
      </c>
      <c r="K324" s="154">
        <v>2019</v>
      </c>
      <c r="L324" s="155">
        <v>2020</v>
      </c>
      <c r="M324" s="155">
        <v>2021</v>
      </c>
      <c r="N324" s="155">
        <v>2022</v>
      </c>
      <c r="O324" s="155">
        <v>2023</v>
      </c>
      <c r="P324" s="155">
        <v>2024</v>
      </c>
      <c r="Q324" s="155">
        <v>2025</v>
      </c>
    </row>
    <row r="325" spans="1:17" x14ac:dyDescent="0.2">
      <c r="A325" s="153" t="s">
        <v>17</v>
      </c>
      <c r="B325" s="156">
        <v>200</v>
      </c>
      <c r="C325" s="156">
        <v>200</v>
      </c>
      <c r="D325" s="156">
        <v>200</v>
      </c>
      <c r="E325" s="156">
        <v>200</v>
      </c>
      <c r="F325" s="156">
        <v>200</v>
      </c>
      <c r="G325" s="156">
        <v>200</v>
      </c>
      <c r="H325" s="157">
        <v>200</v>
      </c>
      <c r="I325" s="156">
        <v>200</v>
      </c>
      <c r="J325" s="156">
        <v>200</v>
      </c>
      <c r="K325" s="156">
        <v>215</v>
      </c>
      <c r="L325" s="12">
        <v>215</v>
      </c>
      <c r="M325" s="12">
        <v>242</v>
      </c>
      <c r="N325" s="12">
        <v>242</v>
      </c>
      <c r="O325" s="12">
        <v>242</v>
      </c>
      <c r="P325" s="12">
        <v>302</v>
      </c>
      <c r="Q325" s="12">
        <v>302</v>
      </c>
    </row>
    <row r="326" spans="1:17" x14ac:dyDescent="0.2">
      <c r="A326" s="153" t="s">
        <v>18</v>
      </c>
      <c r="B326" s="156">
        <v>250</v>
      </c>
      <c r="C326" s="156">
        <v>250</v>
      </c>
      <c r="D326" s="156">
        <v>250</v>
      </c>
      <c r="E326" s="156">
        <v>250</v>
      </c>
      <c r="F326" s="156">
        <v>200</v>
      </c>
      <c r="G326" s="156">
        <v>250</v>
      </c>
      <c r="H326" s="157">
        <v>250</v>
      </c>
      <c r="I326" s="156">
        <v>250</v>
      </c>
      <c r="J326" s="156">
        <v>250</v>
      </c>
      <c r="K326" s="156">
        <v>265</v>
      </c>
      <c r="L326" s="156">
        <v>265</v>
      </c>
      <c r="M326" s="156">
        <f>M325+0.25*K325</f>
        <v>295.75</v>
      </c>
      <c r="N326" s="156">
        <f>N325+0.25*L325</f>
        <v>295.75</v>
      </c>
      <c r="O326" s="156">
        <f>O325+M329</f>
        <v>246.43</v>
      </c>
      <c r="P326" s="156">
        <f>P325+N329</f>
        <v>357.88</v>
      </c>
      <c r="Q326" s="156">
        <f>Q325+O329</f>
        <v>357.93</v>
      </c>
    </row>
    <row r="327" spans="1:17" x14ac:dyDescent="0.2">
      <c r="A327" s="153" t="s">
        <v>19</v>
      </c>
      <c r="B327" s="156"/>
      <c r="C327" s="156"/>
      <c r="D327" s="156"/>
      <c r="E327" s="156"/>
      <c r="F327" s="156"/>
      <c r="G327" s="156"/>
      <c r="H327" s="157"/>
      <c r="I327" s="157"/>
      <c r="J327" s="157"/>
      <c r="K327" s="157"/>
      <c r="L327" s="157"/>
      <c r="M327" s="12"/>
      <c r="N327" s="12"/>
      <c r="O327" s="12"/>
      <c r="P327" s="12"/>
      <c r="Q327" s="12"/>
    </row>
    <row r="328" spans="1:17" x14ac:dyDescent="0.2">
      <c r="A328" s="153" t="s">
        <v>20</v>
      </c>
      <c r="B328" s="156">
        <v>150</v>
      </c>
      <c r="C328" s="156">
        <v>101</v>
      </c>
      <c r="D328" s="156">
        <v>21</v>
      </c>
      <c r="E328" s="156">
        <v>81.085999999999999</v>
      </c>
      <c r="F328" s="156">
        <v>34.866999999999997</v>
      </c>
      <c r="G328" s="156">
        <v>20.963999999999999</v>
      </c>
      <c r="H328" s="157">
        <v>103.196</v>
      </c>
      <c r="I328" s="157">
        <v>123.654</v>
      </c>
      <c r="J328" s="157">
        <v>123.839</v>
      </c>
      <c r="K328" s="157">
        <v>129.16</v>
      </c>
      <c r="L328" s="157">
        <v>207.66</v>
      </c>
      <c r="M328" s="12">
        <v>291.32</v>
      </c>
      <c r="N328" s="12">
        <v>239.87</v>
      </c>
      <c r="O328" s="12">
        <v>190.5</v>
      </c>
      <c r="P328" s="131">
        <v>279.01</v>
      </c>
      <c r="Q328" s="12"/>
    </row>
    <row r="329" spans="1:17" x14ac:dyDescent="0.2">
      <c r="A329" s="153" t="s">
        <v>21</v>
      </c>
      <c r="B329" s="156">
        <v>100</v>
      </c>
      <c r="C329" s="156">
        <v>149</v>
      </c>
      <c r="D329" s="156">
        <v>229</v>
      </c>
      <c r="E329" s="156">
        <v>168.91399999999999</v>
      </c>
      <c r="F329" s="156">
        <v>165.13300000000001</v>
      </c>
      <c r="G329" s="156">
        <v>229.036</v>
      </c>
      <c r="H329" s="157">
        <v>146.804</v>
      </c>
      <c r="I329" s="157">
        <v>126.364</v>
      </c>
      <c r="J329" s="157">
        <v>126.161</v>
      </c>
      <c r="K329" s="157">
        <v>135.84</v>
      </c>
      <c r="L329" s="157">
        <f>L326-L328</f>
        <v>57.34</v>
      </c>
      <c r="M329" s="157">
        <f>M326-M328</f>
        <v>4.4300000000000068</v>
      </c>
      <c r="N329" s="157">
        <f>N326-N328</f>
        <v>55.879999999999995</v>
      </c>
      <c r="O329" s="157">
        <f>O326-O328</f>
        <v>55.930000000000007</v>
      </c>
      <c r="P329" s="157">
        <f>P326-P328</f>
        <v>78.87</v>
      </c>
      <c r="Q329" s="12">
        <v>357.93</v>
      </c>
    </row>
    <row r="330" spans="1:17" x14ac:dyDescent="0.2">
      <c r="A330" s="158" t="s">
        <v>22</v>
      </c>
      <c r="B330" s="159">
        <v>2012</v>
      </c>
      <c r="C330" s="159">
        <v>2013</v>
      </c>
      <c r="D330" s="159">
        <v>2014</v>
      </c>
      <c r="E330" s="159">
        <v>2015</v>
      </c>
      <c r="F330" s="159">
        <v>2016</v>
      </c>
      <c r="G330" s="159">
        <v>2017</v>
      </c>
      <c r="H330" s="160">
        <v>2018</v>
      </c>
      <c r="I330" s="160">
        <v>2019</v>
      </c>
      <c r="J330" s="160">
        <v>2020</v>
      </c>
      <c r="K330" s="160">
        <v>2021</v>
      </c>
      <c r="L330" s="160">
        <v>2022</v>
      </c>
      <c r="M330" s="160">
        <v>2023</v>
      </c>
      <c r="N330" s="160">
        <v>2024</v>
      </c>
      <c r="O330" s="160">
        <v>2025</v>
      </c>
      <c r="P330" s="160">
        <v>2026</v>
      </c>
      <c r="Q330" s="160">
        <v>2027</v>
      </c>
    </row>
    <row r="331" spans="1:17" x14ac:dyDescent="0.2">
      <c r="A331" s="687" t="s">
        <v>154</v>
      </c>
      <c r="B331" s="688"/>
      <c r="C331" s="688"/>
      <c r="D331" s="688"/>
      <c r="E331" s="688"/>
      <c r="F331" s="688"/>
      <c r="G331" s="688"/>
      <c r="H331" s="688"/>
      <c r="I331" s="688"/>
      <c r="J331" s="688"/>
      <c r="K331" s="688"/>
      <c r="L331" s="688"/>
      <c r="M331" s="688"/>
      <c r="N331" s="688"/>
      <c r="O331" s="688"/>
      <c r="P331" s="88"/>
      <c r="Q331" s="88"/>
    </row>
    <row r="332" spans="1:17" x14ac:dyDescent="0.2">
      <c r="A332" s="161" t="s">
        <v>328</v>
      </c>
      <c r="B332" s="19"/>
      <c r="C332" s="19"/>
      <c r="D332" s="19"/>
      <c r="E332" s="19"/>
      <c r="F332" s="19"/>
      <c r="G332" s="19"/>
      <c r="H332" s="19"/>
      <c r="I332" s="19"/>
      <c r="J332" s="19"/>
      <c r="K332" s="19"/>
      <c r="L332" s="19"/>
      <c r="M332" s="19"/>
      <c r="N332" s="19"/>
      <c r="O332" s="19"/>
      <c r="P332" s="19"/>
      <c r="Q332" s="63"/>
    </row>
    <row r="333" spans="1:17" x14ac:dyDescent="0.2">
      <c r="A333" s="162" t="s">
        <v>372</v>
      </c>
      <c r="Q333" s="64"/>
    </row>
    <row r="334" spans="1:17" x14ac:dyDescent="0.2">
      <c r="A334" s="162" t="s">
        <v>373</v>
      </c>
      <c r="Q334" s="64"/>
    </row>
    <row r="335" spans="1:17" x14ac:dyDescent="0.2">
      <c r="A335" s="162" t="s">
        <v>431</v>
      </c>
      <c r="Q335" s="64"/>
    </row>
    <row r="336" spans="1:17" x14ac:dyDescent="0.2">
      <c r="A336" s="162" t="s">
        <v>608</v>
      </c>
      <c r="Q336" s="64"/>
    </row>
    <row r="337" spans="1:18" x14ac:dyDescent="0.2">
      <c r="A337" s="162" t="s">
        <v>771</v>
      </c>
      <c r="Q337" s="64"/>
    </row>
    <row r="338" spans="1:18" x14ac:dyDescent="0.2">
      <c r="A338" s="162" t="s">
        <v>997</v>
      </c>
      <c r="Q338" s="64"/>
    </row>
    <row r="339" spans="1:18" s="34" customFormat="1" x14ac:dyDescent="0.2">
      <c r="A339" s="163" t="s">
        <v>1126</v>
      </c>
      <c r="Q339" s="48"/>
    </row>
    <row r="341" spans="1:18" x14ac:dyDescent="0.2">
      <c r="A341" s="9" t="s">
        <v>14</v>
      </c>
      <c r="B341" s="9" t="s">
        <v>638</v>
      </c>
      <c r="C341" s="9" t="s">
        <v>15</v>
      </c>
    </row>
    <row r="342" spans="1:18" x14ac:dyDescent="0.2">
      <c r="A342" s="153" t="s">
        <v>16</v>
      </c>
      <c r="B342" s="154">
        <v>2010</v>
      </c>
      <c r="C342" s="154">
        <v>2011</v>
      </c>
      <c r="D342" s="154">
        <v>2012</v>
      </c>
      <c r="E342" s="154">
        <v>2013</v>
      </c>
      <c r="F342" s="154">
        <v>2014</v>
      </c>
      <c r="G342" s="154">
        <v>2015</v>
      </c>
      <c r="H342" s="154">
        <v>2016</v>
      </c>
      <c r="I342" s="154">
        <v>2017</v>
      </c>
      <c r="J342" s="154">
        <v>2018</v>
      </c>
      <c r="K342" s="154">
        <v>2019</v>
      </c>
      <c r="L342" s="154">
        <v>2020</v>
      </c>
      <c r="M342" s="155">
        <v>2021</v>
      </c>
      <c r="N342" s="155">
        <v>2022</v>
      </c>
      <c r="O342" s="155">
        <v>2023</v>
      </c>
      <c r="P342" s="155">
        <v>2024</v>
      </c>
      <c r="Q342" s="155">
        <v>2025</v>
      </c>
      <c r="R342" s="155">
        <v>2026</v>
      </c>
    </row>
    <row r="343" spans="1:18" x14ac:dyDescent="0.2">
      <c r="A343" s="153" t="s">
        <v>17</v>
      </c>
      <c r="B343" s="156">
        <v>100</v>
      </c>
      <c r="C343" s="156">
        <v>100</v>
      </c>
      <c r="D343" s="156">
        <v>100</v>
      </c>
      <c r="E343" s="156">
        <v>100</v>
      </c>
      <c r="F343" s="156">
        <v>100</v>
      </c>
      <c r="G343" s="156">
        <v>100</v>
      </c>
      <c r="H343" s="157">
        <v>100</v>
      </c>
      <c r="I343" s="156">
        <v>200</v>
      </c>
      <c r="J343" s="157">
        <v>200</v>
      </c>
      <c r="K343" s="156">
        <v>200</v>
      </c>
      <c r="L343" s="156">
        <v>200</v>
      </c>
      <c r="M343" s="157">
        <v>200</v>
      </c>
      <c r="N343" s="157">
        <v>200</v>
      </c>
      <c r="O343" s="157">
        <v>240</v>
      </c>
      <c r="P343" s="157">
        <v>240</v>
      </c>
      <c r="Q343" s="157">
        <v>240</v>
      </c>
      <c r="R343" s="157">
        <v>240</v>
      </c>
    </row>
    <row r="344" spans="1:18" x14ac:dyDescent="0.2">
      <c r="A344" s="153" t="s">
        <v>18</v>
      </c>
      <c r="B344" s="156">
        <v>100</v>
      </c>
      <c r="C344" s="156">
        <v>100</v>
      </c>
      <c r="D344" s="156">
        <v>100</v>
      </c>
      <c r="E344" s="156">
        <v>100</v>
      </c>
      <c r="F344" s="156">
        <v>100</v>
      </c>
      <c r="G344" s="156">
        <v>125</v>
      </c>
      <c r="H344" s="157">
        <v>125</v>
      </c>
      <c r="I344" s="156">
        <f>200+G347</f>
        <v>204.595</v>
      </c>
      <c r="J344" s="156">
        <v>250</v>
      </c>
      <c r="K344" s="156">
        <f>K343+I347</f>
        <v>220.04499999999999</v>
      </c>
      <c r="L344" s="156">
        <v>250</v>
      </c>
      <c r="M344" s="157">
        <f>M343*1.25</f>
        <v>250</v>
      </c>
      <c r="N344" s="157">
        <f>N343*1.25</f>
        <v>250</v>
      </c>
      <c r="O344" s="157">
        <f>O343+0.25*M343</f>
        <v>290</v>
      </c>
      <c r="P344" s="157">
        <f>P343+2.98</f>
        <v>242.98</v>
      </c>
      <c r="Q344" s="157">
        <f>Q343+O343*0.25</f>
        <v>300</v>
      </c>
      <c r="R344" s="157">
        <f>R343+P343*0.25</f>
        <v>300</v>
      </c>
    </row>
    <row r="345" spans="1:18" x14ac:dyDescent="0.2">
      <c r="A345" s="153" t="s">
        <v>19</v>
      </c>
      <c r="B345" s="164"/>
      <c r="C345" s="164"/>
      <c r="D345" s="164"/>
      <c r="E345" s="164"/>
      <c r="F345" s="164"/>
      <c r="G345" s="164"/>
      <c r="H345" s="12"/>
      <c r="I345" s="12"/>
      <c r="J345" s="12"/>
      <c r="K345" s="12"/>
      <c r="L345" s="12"/>
      <c r="M345" s="12"/>
      <c r="N345" s="12"/>
      <c r="O345" s="12"/>
      <c r="P345" s="12"/>
      <c r="Q345" s="12"/>
      <c r="R345" s="12"/>
    </row>
    <row r="346" spans="1:18" x14ac:dyDescent="0.2">
      <c r="A346" s="153" t="s">
        <v>20</v>
      </c>
      <c r="B346" s="156">
        <v>100</v>
      </c>
      <c r="C346" s="156">
        <v>80.05</v>
      </c>
      <c r="D346" s="156">
        <v>61.02</v>
      </c>
      <c r="E346" s="156">
        <v>65.126999999999995</v>
      </c>
      <c r="F346" s="156">
        <v>33.822000000000003</v>
      </c>
      <c r="G346" s="156">
        <v>120.405</v>
      </c>
      <c r="H346" s="157">
        <v>94.369</v>
      </c>
      <c r="I346" s="157">
        <v>184.55</v>
      </c>
      <c r="J346" s="157">
        <v>116.455</v>
      </c>
      <c r="K346" s="157">
        <v>132.07</v>
      </c>
      <c r="L346" s="157">
        <v>183.94</v>
      </c>
      <c r="M346" s="157">
        <v>9.66</v>
      </c>
      <c r="N346" s="157">
        <v>31.19</v>
      </c>
      <c r="O346" s="157">
        <v>91.44</v>
      </c>
      <c r="P346" s="157">
        <v>116.16</v>
      </c>
      <c r="Q346" s="157"/>
      <c r="R346" s="157"/>
    </row>
    <row r="347" spans="1:18" x14ac:dyDescent="0.2">
      <c r="A347" s="153" t="s">
        <v>21</v>
      </c>
      <c r="B347" s="156">
        <f>B344-B346</f>
        <v>0</v>
      </c>
      <c r="C347" s="156">
        <f t="shared" ref="C347:P347" si="15">C344-C346</f>
        <v>19.950000000000003</v>
      </c>
      <c r="D347" s="156">
        <f t="shared" si="15"/>
        <v>38.979999999999997</v>
      </c>
      <c r="E347" s="156">
        <f t="shared" si="15"/>
        <v>34.873000000000005</v>
      </c>
      <c r="F347" s="156">
        <f t="shared" si="15"/>
        <v>66.177999999999997</v>
      </c>
      <c r="G347" s="156">
        <f t="shared" si="15"/>
        <v>4.5949999999999989</v>
      </c>
      <c r="H347" s="156">
        <f t="shared" si="15"/>
        <v>30.631</v>
      </c>
      <c r="I347" s="156">
        <f t="shared" si="15"/>
        <v>20.044999999999987</v>
      </c>
      <c r="J347" s="156">
        <f t="shared" si="15"/>
        <v>133.54500000000002</v>
      </c>
      <c r="K347" s="156">
        <f t="shared" si="15"/>
        <v>87.974999999999994</v>
      </c>
      <c r="L347" s="156">
        <f t="shared" si="15"/>
        <v>66.06</v>
      </c>
      <c r="M347" s="156">
        <f t="shared" si="15"/>
        <v>240.34</v>
      </c>
      <c r="N347" s="156">
        <f t="shared" si="15"/>
        <v>218.81</v>
      </c>
      <c r="O347" s="156">
        <f t="shared" si="15"/>
        <v>198.56</v>
      </c>
      <c r="P347" s="156">
        <f t="shared" si="15"/>
        <v>126.82</v>
      </c>
      <c r="Q347" s="157"/>
      <c r="R347" s="157"/>
    </row>
    <row r="348" spans="1:18" x14ac:dyDescent="0.2">
      <c r="A348" s="158" t="s">
        <v>22</v>
      </c>
      <c r="B348" s="159">
        <v>2012</v>
      </c>
      <c r="C348" s="159">
        <v>2013</v>
      </c>
      <c r="D348" s="159">
        <v>2014</v>
      </c>
      <c r="E348" s="159">
        <v>2015</v>
      </c>
      <c r="F348" s="159">
        <v>2016</v>
      </c>
      <c r="G348" s="159">
        <v>2017</v>
      </c>
      <c r="H348" s="160">
        <v>2018</v>
      </c>
      <c r="I348" s="160">
        <v>2019</v>
      </c>
      <c r="J348" s="160">
        <v>2020</v>
      </c>
      <c r="K348" s="160">
        <v>2021</v>
      </c>
      <c r="L348" s="160">
        <v>2022</v>
      </c>
      <c r="M348" s="160">
        <v>2023</v>
      </c>
      <c r="N348" s="160">
        <v>2024</v>
      </c>
      <c r="O348" s="160">
        <v>2025</v>
      </c>
      <c r="P348" s="160">
        <v>2026</v>
      </c>
      <c r="Q348" s="160">
        <v>2027</v>
      </c>
      <c r="R348" s="160">
        <v>2028</v>
      </c>
    </row>
    <row r="349" spans="1:18" x14ac:dyDescent="0.2">
      <c r="A349" s="29" t="s">
        <v>154</v>
      </c>
      <c r="B349" s="30"/>
      <c r="C349" s="30"/>
      <c r="D349" s="30"/>
      <c r="E349" s="30"/>
      <c r="F349" s="30"/>
      <c r="G349" s="30"/>
      <c r="H349" s="30"/>
      <c r="I349" s="30"/>
      <c r="J349" s="30"/>
      <c r="K349" s="30"/>
      <c r="L349" s="30"/>
      <c r="M349" s="30"/>
      <c r="N349" s="30"/>
      <c r="O349" s="30"/>
      <c r="P349" s="88"/>
      <c r="Q349" s="88"/>
      <c r="R349" s="88"/>
    </row>
    <row r="350" spans="1:18" x14ac:dyDescent="0.2">
      <c r="A350" s="161" t="s">
        <v>155</v>
      </c>
      <c r="B350" s="19"/>
      <c r="C350" s="19"/>
      <c r="D350" s="19"/>
      <c r="E350" s="19"/>
      <c r="F350" s="19"/>
      <c r="G350" s="19"/>
      <c r="H350" s="19"/>
      <c r="I350" s="19"/>
      <c r="J350" s="19"/>
      <c r="K350" s="19"/>
      <c r="L350" s="19"/>
      <c r="M350" s="19"/>
      <c r="N350" s="19"/>
      <c r="O350" s="19"/>
      <c r="P350" s="19"/>
      <c r="Q350" s="19"/>
      <c r="R350" s="63"/>
    </row>
    <row r="351" spans="1:18" x14ac:dyDescent="0.2">
      <c r="A351" s="162" t="s">
        <v>336</v>
      </c>
      <c r="R351" s="64"/>
    </row>
    <row r="352" spans="1:18" x14ac:dyDescent="0.2">
      <c r="A352" s="162" t="s">
        <v>156</v>
      </c>
      <c r="R352" s="64"/>
    </row>
    <row r="353" spans="1:18" x14ac:dyDescent="0.2">
      <c r="A353" s="162" t="s">
        <v>337</v>
      </c>
      <c r="R353" s="64"/>
    </row>
    <row r="354" spans="1:18" x14ac:dyDescent="0.2">
      <c r="A354" s="162" t="s">
        <v>432</v>
      </c>
      <c r="R354" s="64"/>
    </row>
    <row r="355" spans="1:18" x14ac:dyDescent="0.2">
      <c r="A355" s="162" t="s">
        <v>578</v>
      </c>
      <c r="R355" s="64"/>
    </row>
    <row r="356" spans="1:18" x14ac:dyDescent="0.2">
      <c r="A356" s="162" t="s">
        <v>772</v>
      </c>
      <c r="R356" s="64"/>
    </row>
    <row r="357" spans="1:18" x14ac:dyDescent="0.2">
      <c r="A357" s="162" t="s">
        <v>925</v>
      </c>
      <c r="R357" s="64"/>
    </row>
    <row r="358" spans="1:18" x14ac:dyDescent="0.2">
      <c r="A358" s="163" t="s">
        <v>1120</v>
      </c>
      <c r="B358" s="34"/>
      <c r="C358" s="34"/>
      <c r="D358" s="34"/>
      <c r="E358" s="34"/>
      <c r="F358" s="34"/>
      <c r="G358" s="34"/>
      <c r="H358" s="34"/>
      <c r="I358" s="34"/>
      <c r="J358" s="34"/>
      <c r="K358" s="34"/>
      <c r="L358" s="34"/>
      <c r="M358" s="34"/>
      <c r="N358" s="34"/>
      <c r="O358" s="34"/>
      <c r="P358" s="34"/>
      <c r="Q358" s="34"/>
      <c r="R358" s="48"/>
    </row>
    <row r="360" spans="1:18" x14ac:dyDescent="0.2">
      <c r="A360" s="6" t="s">
        <v>14</v>
      </c>
      <c r="B360" s="7" t="s">
        <v>623</v>
      </c>
      <c r="C360" s="7" t="s">
        <v>15</v>
      </c>
    </row>
    <row r="361" spans="1:18" x14ac:dyDescent="0.2">
      <c r="A361" s="165" t="s">
        <v>16</v>
      </c>
      <c r="B361" s="166">
        <v>2010</v>
      </c>
      <c r="C361" s="154">
        <v>2011</v>
      </c>
      <c r="D361" s="154">
        <v>2012</v>
      </c>
      <c r="E361" s="154">
        <v>2013</v>
      </c>
      <c r="F361" s="154">
        <v>2014</v>
      </c>
      <c r="G361" s="154">
        <v>2015</v>
      </c>
      <c r="H361" s="154">
        <v>2016</v>
      </c>
      <c r="I361" s="154">
        <v>2017</v>
      </c>
      <c r="J361" s="154">
        <v>2018</v>
      </c>
      <c r="K361" s="154">
        <v>2019</v>
      </c>
      <c r="L361" s="154">
        <v>2020</v>
      </c>
      <c r="M361" s="155">
        <v>2021</v>
      </c>
      <c r="N361" s="155">
        <v>2022</v>
      </c>
      <c r="O361" s="155">
        <v>2023</v>
      </c>
      <c r="P361" s="155">
        <v>2024</v>
      </c>
      <c r="Q361" s="90">
        <v>2025</v>
      </c>
    </row>
    <row r="362" spans="1:18" x14ac:dyDescent="0.2">
      <c r="A362" s="153" t="s">
        <v>17</v>
      </c>
      <c r="B362" s="156">
        <v>75</v>
      </c>
      <c r="C362" s="156">
        <v>75</v>
      </c>
      <c r="D362" s="156">
        <v>75</v>
      </c>
      <c r="E362" s="156">
        <v>75</v>
      </c>
      <c r="F362" s="156">
        <v>75</v>
      </c>
      <c r="G362" s="156">
        <v>75</v>
      </c>
      <c r="H362" s="156">
        <v>75</v>
      </c>
      <c r="I362" s="156">
        <v>75</v>
      </c>
      <c r="J362" s="157">
        <v>100</v>
      </c>
      <c r="K362" s="156">
        <v>100</v>
      </c>
      <c r="L362" s="156">
        <v>100</v>
      </c>
      <c r="M362" s="157">
        <v>100</v>
      </c>
      <c r="N362" s="157">
        <v>100</v>
      </c>
      <c r="O362" s="157">
        <v>100</v>
      </c>
      <c r="P362" s="157">
        <v>100</v>
      </c>
      <c r="Q362" s="90">
        <v>111</v>
      </c>
    </row>
    <row r="363" spans="1:18" x14ac:dyDescent="0.2">
      <c r="A363" s="153" t="s">
        <v>18</v>
      </c>
      <c r="B363" s="156">
        <v>79</v>
      </c>
      <c r="C363" s="156">
        <v>80</v>
      </c>
      <c r="D363" s="156">
        <v>105.3</v>
      </c>
      <c r="E363" s="156">
        <v>100</v>
      </c>
      <c r="F363" s="156">
        <v>100</v>
      </c>
      <c r="G363" s="157">
        <v>104.054</v>
      </c>
      <c r="H363" s="156">
        <v>137.5</v>
      </c>
      <c r="I363" s="156">
        <v>88</v>
      </c>
      <c r="J363" s="157">
        <v>90.442999999999998</v>
      </c>
      <c r="K363" s="156">
        <f>K362-12.726+6.69</f>
        <v>93.963999999999999</v>
      </c>
      <c r="L363" s="156">
        <v>103.95</v>
      </c>
      <c r="M363" s="157">
        <f>M362+K366</f>
        <v>102.404</v>
      </c>
      <c r="N363" s="157">
        <f>N362+L366</f>
        <v>107.78</v>
      </c>
      <c r="O363" s="157">
        <f>O362+0.15*M362</f>
        <v>115</v>
      </c>
      <c r="P363" s="157">
        <f>P362+0.15*N362</f>
        <v>115</v>
      </c>
      <c r="Q363" s="90">
        <v>121</v>
      </c>
    </row>
    <row r="364" spans="1:18" x14ac:dyDescent="0.2">
      <c r="A364" s="153" t="s">
        <v>19</v>
      </c>
      <c r="B364" s="156"/>
      <c r="C364" s="156"/>
      <c r="D364" s="156"/>
      <c r="E364" s="156"/>
      <c r="F364" s="156"/>
      <c r="G364" s="157"/>
      <c r="H364" s="157"/>
      <c r="I364" s="157"/>
      <c r="J364" s="167"/>
      <c r="K364" s="157"/>
      <c r="L364" s="157"/>
      <c r="M364" s="157"/>
      <c r="N364" s="157"/>
      <c r="O364" s="157"/>
      <c r="P364" s="157"/>
      <c r="Q364" s="90"/>
    </row>
    <row r="365" spans="1:18" x14ac:dyDescent="0.2">
      <c r="A365" s="153" t="s">
        <v>20</v>
      </c>
      <c r="B365" s="156">
        <v>74</v>
      </c>
      <c r="C365" s="156">
        <v>74.7</v>
      </c>
      <c r="D365" s="156">
        <v>59</v>
      </c>
      <c r="E365" s="156">
        <v>95.945999999999998</v>
      </c>
      <c r="F365" s="156">
        <v>60.292999999999999</v>
      </c>
      <c r="G365" s="157">
        <v>140.78</v>
      </c>
      <c r="H365" s="157">
        <v>135.05699999999999</v>
      </c>
      <c r="I365" s="157">
        <v>81.31</v>
      </c>
      <c r="J365" s="157">
        <v>86.498000000000005</v>
      </c>
      <c r="K365" s="157">
        <v>91.56</v>
      </c>
      <c r="L365" s="157">
        <v>96.17</v>
      </c>
      <c r="M365" s="157">
        <v>58.583999999999996</v>
      </c>
      <c r="N365" s="157">
        <v>37.61</v>
      </c>
      <c r="O365" s="157">
        <v>105</v>
      </c>
      <c r="P365" s="157">
        <v>103.21</v>
      </c>
      <c r="Q365" s="90"/>
    </row>
    <row r="366" spans="1:18" x14ac:dyDescent="0.2">
      <c r="A366" s="153" t="s">
        <v>21</v>
      </c>
      <c r="B366" s="156">
        <v>5</v>
      </c>
      <c r="C366" s="156">
        <v>5.3</v>
      </c>
      <c r="D366" s="156">
        <v>46.3</v>
      </c>
      <c r="E366" s="156">
        <v>4.0540000000000003</v>
      </c>
      <c r="F366" s="156">
        <v>39.707000000000001</v>
      </c>
      <c r="G366" s="157">
        <v>-36.725999999999999</v>
      </c>
      <c r="H366" s="157">
        <v>2.4430000000000001</v>
      </c>
      <c r="I366" s="157">
        <v>6.6899999999999977</v>
      </c>
      <c r="J366" s="157">
        <v>3.9449999999999998</v>
      </c>
      <c r="K366" s="157">
        <f t="shared" ref="K366:P366" si="16">K363-K365</f>
        <v>2.4039999999999964</v>
      </c>
      <c r="L366" s="157">
        <f t="shared" si="16"/>
        <v>7.7800000000000011</v>
      </c>
      <c r="M366" s="157">
        <f t="shared" si="16"/>
        <v>43.82</v>
      </c>
      <c r="N366" s="157">
        <f t="shared" si="16"/>
        <v>70.17</v>
      </c>
      <c r="O366" s="157">
        <f t="shared" si="16"/>
        <v>10</v>
      </c>
      <c r="P366" s="157">
        <f t="shared" si="16"/>
        <v>11.790000000000006</v>
      </c>
      <c r="Q366" s="90"/>
    </row>
    <row r="367" spans="1:18" x14ac:dyDescent="0.2">
      <c r="A367" s="158" t="s">
        <v>22</v>
      </c>
      <c r="B367" s="159">
        <v>2011</v>
      </c>
      <c r="C367" s="159">
        <v>2012</v>
      </c>
      <c r="D367" s="159">
        <v>2014</v>
      </c>
      <c r="E367" s="159">
        <v>2015</v>
      </c>
      <c r="F367" s="159">
        <v>2016</v>
      </c>
      <c r="G367" s="160">
        <v>2017</v>
      </c>
      <c r="H367" s="160">
        <v>2018</v>
      </c>
      <c r="I367" s="160">
        <v>2019</v>
      </c>
      <c r="J367" s="160">
        <v>2020</v>
      </c>
      <c r="K367" s="160">
        <v>2021</v>
      </c>
      <c r="L367" s="160">
        <v>2022</v>
      </c>
      <c r="M367" s="17">
        <v>2023</v>
      </c>
      <c r="N367" s="17">
        <v>2024</v>
      </c>
      <c r="O367" s="17">
        <v>2025</v>
      </c>
      <c r="P367" s="17">
        <v>2026</v>
      </c>
      <c r="Q367" s="90">
        <v>2027</v>
      </c>
    </row>
    <row r="368" spans="1:18" x14ac:dyDescent="0.2">
      <c r="A368" s="16" t="s">
        <v>154</v>
      </c>
      <c r="B368" s="46"/>
      <c r="C368" s="46"/>
      <c r="D368" s="46"/>
      <c r="E368" s="46"/>
      <c r="F368" s="46"/>
      <c r="G368" s="46"/>
      <c r="H368" s="46"/>
      <c r="I368" s="46"/>
      <c r="J368" s="46"/>
      <c r="K368" s="46"/>
      <c r="L368" s="46"/>
      <c r="M368" s="46"/>
      <c r="N368" s="46"/>
      <c r="O368" s="47"/>
      <c r="P368" s="47"/>
      <c r="Q368" s="90"/>
    </row>
    <row r="369" spans="1:17" x14ac:dyDescent="0.2">
      <c r="A369" s="695" t="s">
        <v>433</v>
      </c>
      <c r="B369" s="696"/>
      <c r="C369" s="696"/>
      <c r="D369" s="696"/>
      <c r="E369" s="696"/>
      <c r="F369" s="696"/>
      <c r="G369" s="696"/>
      <c r="H369" s="696"/>
      <c r="I369" s="696"/>
      <c r="J369" s="696"/>
      <c r="K369" s="696"/>
      <c r="L369" s="696"/>
      <c r="M369" s="696"/>
      <c r="N369" s="36"/>
      <c r="O369" s="36"/>
      <c r="P369" s="30"/>
      <c r="Q369" s="88"/>
    </row>
    <row r="370" spans="1:17" x14ac:dyDescent="0.2">
      <c r="A370" s="161" t="s">
        <v>338</v>
      </c>
      <c r="B370" s="19"/>
      <c r="C370" s="19"/>
      <c r="D370" s="19"/>
      <c r="E370" s="19"/>
      <c r="F370" s="19"/>
      <c r="G370" s="19"/>
      <c r="H370" s="19"/>
      <c r="I370" s="19"/>
      <c r="J370" s="19"/>
      <c r="K370" s="19"/>
      <c r="L370" s="19"/>
      <c r="M370" s="19"/>
      <c r="N370" s="19"/>
      <c r="O370" s="19"/>
      <c r="P370" s="19"/>
      <c r="Q370" s="63"/>
    </row>
    <row r="371" spans="1:17" x14ac:dyDescent="0.2">
      <c r="A371" s="39" t="s">
        <v>157</v>
      </c>
      <c r="Q371" s="64"/>
    </row>
    <row r="372" spans="1:17" x14ac:dyDescent="0.2">
      <c r="A372" s="39" t="s">
        <v>434</v>
      </c>
      <c r="Q372" s="64"/>
    </row>
    <row r="373" spans="1:17" x14ac:dyDescent="0.2">
      <c r="A373" s="39" t="s">
        <v>435</v>
      </c>
      <c r="Q373" s="64"/>
    </row>
    <row r="374" spans="1:17" x14ac:dyDescent="0.2">
      <c r="A374" s="39" t="s">
        <v>609</v>
      </c>
      <c r="Q374" s="64"/>
    </row>
    <row r="375" spans="1:17" x14ac:dyDescent="0.2">
      <c r="A375" s="39" t="s">
        <v>773</v>
      </c>
      <c r="Q375" s="64"/>
    </row>
    <row r="376" spans="1:17" x14ac:dyDescent="0.2">
      <c r="A376" s="39" t="s">
        <v>998</v>
      </c>
      <c r="Q376" s="64"/>
    </row>
    <row r="377" spans="1:17" s="34" customFormat="1" x14ac:dyDescent="0.2">
      <c r="A377" s="42" t="s">
        <v>1161</v>
      </c>
      <c r="Q377" s="48"/>
    </row>
    <row r="379" spans="1:17" x14ac:dyDescent="0.2">
      <c r="A379" s="6" t="s">
        <v>14</v>
      </c>
      <c r="B379" s="7" t="s">
        <v>641</v>
      </c>
      <c r="C379" s="7" t="s">
        <v>15</v>
      </c>
    </row>
    <row r="380" spans="1:17" x14ac:dyDescent="0.2">
      <c r="A380" s="153" t="s">
        <v>16</v>
      </c>
      <c r="B380" s="154">
        <v>2010</v>
      </c>
      <c r="C380" s="154">
        <v>2011</v>
      </c>
      <c r="D380" s="154">
        <v>2012</v>
      </c>
      <c r="E380" s="154">
        <v>2013</v>
      </c>
      <c r="F380" s="154">
        <v>2014</v>
      </c>
      <c r="G380" s="154">
        <v>2015</v>
      </c>
      <c r="H380" s="154">
        <v>2016</v>
      </c>
      <c r="I380" s="154">
        <v>2017</v>
      </c>
      <c r="J380" s="155">
        <v>2018</v>
      </c>
      <c r="K380" s="154">
        <v>2019</v>
      </c>
      <c r="L380" s="154">
        <v>2020</v>
      </c>
      <c r="M380" s="155">
        <v>2021</v>
      </c>
      <c r="N380" s="155">
        <v>2022</v>
      </c>
      <c r="O380" s="155">
        <v>2023</v>
      </c>
      <c r="P380" s="155">
        <v>2024</v>
      </c>
      <c r="Q380" s="155">
        <v>2025</v>
      </c>
    </row>
    <row r="381" spans="1:17" x14ac:dyDescent="0.2">
      <c r="A381" s="153" t="s">
        <v>17</v>
      </c>
      <c r="B381" s="156">
        <v>263</v>
      </c>
      <c r="C381" s="156">
        <v>263</v>
      </c>
      <c r="D381" s="156">
        <v>263</v>
      </c>
      <c r="E381" s="156">
        <v>263</v>
      </c>
      <c r="F381" s="156">
        <v>263</v>
      </c>
      <c r="G381" s="156">
        <v>263</v>
      </c>
      <c r="H381" s="156">
        <v>263</v>
      </c>
      <c r="I381" s="156">
        <v>313</v>
      </c>
      <c r="J381" s="157">
        <v>313</v>
      </c>
      <c r="K381" s="156">
        <v>313</v>
      </c>
      <c r="L381" s="156">
        <v>313</v>
      </c>
      <c r="M381" s="156">
        <v>313</v>
      </c>
      <c r="N381" s="156">
        <v>313</v>
      </c>
      <c r="O381" s="156">
        <v>313</v>
      </c>
      <c r="P381" s="156">
        <v>313</v>
      </c>
      <c r="Q381" s="90">
        <v>313</v>
      </c>
    </row>
    <row r="382" spans="1:17" x14ac:dyDescent="0.2">
      <c r="A382" s="153" t="s">
        <v>18</v>
      </c>
      <c r="B382" s="156">
        <v>393</v>
      </c>
      <c r="C382" s="156">
        <v>362</v>
      </c>
      <c r="D382" s="156">
        <v>377.49</v>
      </c>
      <c r="E382" s="156">
        <v>263</v>
      </c>
      <c r="F382" s="156">
        <v>324.99</v>
      </c>
      <c r="G382" s="157">
        <v>330.03800000000001</v>
      </c>
      <c r="H382" s="156">
        <v>341.9</v>
      </c>
      <c r="I382" s="156">
        <v>315.34399999999999</v>
      </c>
      <c r="J382" s="157">
        <v>391.9</v>
      </c>
      <c r="K382" s="156">
        <v>326.76</v>
      </c>
      <c r="L382" s="156">
        <v>350.05</v>
      </c>
      <c r="M382" s="12">
        <f>M381+0.2*K381</f>
        <v>375.6</v>
      </c>
      <c r="N382" s="12">
        <f>N381+0.2*L381</f>
        <v>375.6</v>
      </c>
      <c r="O382" s="12">
        <f>O381+0.1*M381</f>
        <v>344.3</v>
      </c>
      <c r="P382" s="12">
        <f>P381+0.1*N381</f>
        <v>344.3</v>
      </c>
      <c r="Q382" s="131">
        <f>Q381+0.1*O381</f>
        <v>344.3</v>
      </c>
    </row>
    <row r="383" spans="1:17" x14ac:dyDescent="0.2">
      <c r="A383" s="153" t="s">
        <v>19</v>
      </c>
      <c r="B383" s="156"/>
      <c r="C383" s="156"/>
      <c r="D383" s="156"/>
      <c r="E383" s="156"/>
      <c r="F383" s="156"/>
      <c r="G383" s="157"/>
      <c r="H383" s="157"/>
      <c r="I383" s="157"/>
      <c r="J383" s="157"/>
      <c r="K383" s="157"/>
      <c r="L383" s="157"/>
      <c r="M383" s="11"/>
      <c r="N383" s="11"/>
      <c r="O383" s="11"/>
      <c r="P383" s="11"/>
      <c r="Q383" s="90"/>
    </row>
    <row r="384" spans="1:17" x14ac:dyDescent="0.2">
      <c r="A384" s="153" t="s">
        <v>20</v>
      </c>
      <c r="B384" s="156">
        <v>294</v>
      </c>
      <c r="C384" s="156">
        <v>247.51</v>
      </c>
      <c r="D384" s="156">
        <v>315.5</v>
      </c>
      <c r="E384" s="156">
        <v>195.96199999999999</v>
      </c>
      <c r="F384" s="156">
        <v>205.89400000000001</v>
      </c>
      <c r="G384" s="157">
        <v>327.69600000000003</v>
      </c>
      <c r="H384" s="157">
        <v>222.22</v>
      </c>
      <c r="I384" s="157">
        <v>301.58</v>
      </c>
      <c r="J384" s="157">
        <v>354.85</v>
      </c>
      <c r="K384" s="157">
        <v>210.91</v>
      </c>
      <c r="L384" s="157">
        <v>88.54</v>
      </c>
      <c r="M384" s="11">
        <v>36.729999999999997</v>
      </c>
      <c r="N384" s="11">
        <v>187.61</v>
      </c>
      <c r="O384" s="11">
        <v>109.44</v>
      </c>
      <c r="P384" s="11">
        <v>127.83</v>
      </c>
      <c r="Q384" s="90"/>
    </row>
    <row r="385" spans="1:17" x14ac:dyDescent="0.2">
      <c r="A385" s="153" t="s">
        <v>21</v>
      </c>
      <c r="B385" s="156">
        <v>99</v>
      </c>
      <c r="C385" s="156">
        <v>114.49</v>
      </c>
      <c r="D385" s="156">
        <v>61.99</v>
      </c>
      <c r="E385" s="156">
        <v>67.037999999999997</v>
      </c>
      <c r="F385" s="156">
        <v>119.096</v>
      </c>
      <c r="G385" s="157">
        <v>2.3439999999999999</v>
      </c>
      <c r="H385" s="157">
        <v>119.68</v>
      </c>
      <c r="I385" s="157">
        <v>13.759999999999991</v>
      </c>
      <c r="J385" s="157">
        <v>37.049999999999997</v>
      </c>
      <c r="K385" s="157">
        <f t="shared" ref="K385:P385" si="17">K382-K384</f>
        <v>115.85</v>
      </c>
      <c r="L385" s="157">
        <f t="shared" si="17"/>
        <v>261.51</v>
      </c>
      <c r="M385" s="157">
        <f t="shared" si="17"/>
        <v>338.87</v>
      </c>
      <c r="N385" s="157">
        <f t="shared" si="17"/>
        <v>187.99</v>
      </c>
      <c r="O385" s="157">
        <f t="shared" si="17"/>
        <v>234.86</v>
      </c>
      <c r="P385" s="157">
        <f t="shared" si="17"/>
        <v>216.47000000000003</v>
      </c>
      <c r="Q385" s="90"/>
    </row>
    <row r="386" spans="1:17" x14ac:dyDescent="0.2">
      <c r="A386" s="168" t="s">
        <v>22</v>
      </c>
      <c r="B386" s="169">
        <v>2011</v>
      </c>
      <c r="C386" s="169">
        <v>2012</v>
      </c>
      <c r="D386" s="169">
        <v>2014</v>
      </c>
      <c r="E386" s="169">
        <v>2015</v>
      </c>
      <c r="F386" s="169">
        <v>2016</v>
      </c>
      <c r="G386" s="170">
        <v>2017</v>
      </c>
      <c r="H386" s="170">
        <v>2018</v>
      </c>
      <c r="I386" s="170">
        <v>2019</v>
      </c>
      <c r="J386" s="170">
        <v>2020</v>
      </c>
      <c r="K386" s="170">
        <v>2021</v>
      </c>
      <c r="L386" s="170">
        <v>2022</v>
      </c>
      <c r="M386" s="127">
        <v>2023</v>
      </c>
      <c r="N386" s="127">
        <v>2024</v>
      </c>
      <c r="O386" s="127">
        <v>2025</v>
      </c>
      <c r="P386" s="127">
        <v>2026</v>
      </c>
      <c r="Q386" s="127">
        <v>2027</v>
      </c>
    </row>
    <row r="387" spans="1:17" x14ac:dyDescent="0.2">
      <c r="A387" s="29" t="s">
        <v>154</v>
      </c>
      <c r="B387" s="30"/>
      <c r="C387" s="30"/>
      <c r="D387" s="30"/>
      <c r="E387" s="30"/>
      <c r="F387" s="30"/>
      <c r="G387" s="30"/>
      <c r="H387" s="30"/>
      <c r="I387" s="30"/>
      <c r="J387" s="30"/>
      <c r="K387" s="30"/>
      <c r="L387" s="30"/>
      <c r="M387" s="30"/>
      <c r="N387" s="30"/>
      <c r="O387" s="30"/>
      <c r="P387" s="30"/>
      <c r="Q387" s="63"/>
    </row>
    <row r="388" spans="1:17" x14ac:dyDescent="0.2">
      <c r="A388" s="162" t="s">
        <v>158</v>
      </c>
      <c r="Q388" s="63"/>
    </row>
    <row r="389" spans="1:17" x14ac:dyDescent="0.2">
      <c r="A389" s="162" t="s">
        <v>339</v>
      </c>
      <c r="Q389" s="64"/>
    </row>
    <row r="390" spans="1:17" x14ac:dyDescent="0.2">
      <c r="A390" s="162" t="s">
        <v>340</v>
      </c>
      <c r="Q390" s="64"/>
    </row>
    <row r="391" spans="1:17" x14ac:dyDescent="0.2">
      <c r="A391" s="162" t="s">
        <v>436</v>
      </c>
      <c r="Q391" s="64"/>
    </row>
    <row r="392" spans="1:17" x14ac:dyDescent="0.2">
      <c r="A392" s="162" t="s">
        <v>610</v>
      </c>
      <c r="Q392" s="64"/>
    </row>
    <row r="393" spans="1:17" x14ac:dyDescent="0.2">
      <c r="A393" s="162" t="s">
        <v>774</v>
      </c>
      <c r="Q393" s="64"/>
    </row>
    <row r="394" spans="1:17" x14ac:dyDescent="0.2">
      <c r="A394" s="3" t="s">
        <v>999</v>
      </c>
      <c r="Q394" s="64"/>
    </row>
    <row r="395" spans="1:17" x14ac:dyDescent="0.2">
      <c r="A395" s="43" t="s">
        <v>1162</v>
      </c>
      <c r="B395" s="34"/>
      <c r="C395" s="34"/>
      <c r="D395" s="34"/>
      <c r="E395" s="34"/>
      <c r="F395" s="34"/>
      <c r="G395" s="34"/>
      <c r="H395" s="34"/>
      <c r="I395" s="34"/>
      <c r="J395" s="34"/>
      <c r="K395" s="34"/>
      <c r="L395" s="34"/>
      <c r="M395" s="34"/>
      <c r="N395" s="34"/>
      <c r="O395" s="34"/>
      <c r="P395" s="34"/>
      <c r="Q395" s="48"/>
    </row>
    <row r="397" spans="1:17" x14ac:dyDescent="0.2">
      <c r="A397" s="6" t="s">
        <v>14</v>
      </c>
      <c r="B397" s="7" t="s">
        <v>66</v>
      </c>
      <c r="C397" s="7" t="s">
        <v>15</v>
      </c>
    </row>
    <row r="398" spans="1:17" x14ac:dyDescent="0.2">
      <c r="A398" s="165" t="s">
        <v>16</v>
      </c>
      <c r="B398" s="166">
        <v>2010</v>
      </c>
      <c r="C398" s="154">
        <v>2011</v>
      </c>
      <c r="D398" s="154">
        <v>2012</v>
      </c>
      <c r="E398" s="154">
        <v>2013</v>
      </c>
      <c r="F398" s="154">
        <v>2014</v>
      </c>
      <c r="G398" s="154">
        <v>2015</v>
      </c>
      <c r="H398" s="154">
        <v>2016</v>
      </c>
      <c r="I398" s="154">
        <v>2017</v>
      </c>
      <c r="J398" s="154">
        <v>2018</v>
      </c>
      <c r="K398" s="155">
        <v>2019</v>
      </c>
      <c r="L398" s="155">
        <v>2020</v>
      </c>
      <c r="M398" s="155">
        <v>2021</v>
      </c>
      <c r="N398" s="155">
        <v>2022</v>
      </c>
      <c r="O398" s="155">
        <v>2023</v>
      </c>
      <c r="P398" s="155">
        <v>2024</v>
      </c>
      <c r="Q398" s="155">
        <v>2025</v>
      </c>
    </row>
    <row r="399" spans="1:17" x14ac:dyDescent="0.2">
      <c r="A399" s="153" t="s">
        <v>17</v>
      </c>
      <c r="B399" s="156">
        <v>5900</v>
      </c>
      <c r="C399" s="156">
        <v>5572</v>
      </c>
      <c r="D399" s="156">
        <v>5572</v>
      </c>
      <c r="E399" s="156">
        <v>5572</v>
      </c>
      <c r="F399" s="156">
        <v>5572</v>
      </c>
      <c r="G399" s="156">
        <v>5572</v>
      </c>
      <c r="H399" s="156">
        <v>5376</v>
      </c>
      <c r="I399" s="156">
        <v>5376</v>
      </c>
      <c r="J399" s="157">
        <v>5376</v>
      </c>
      <c r="K399" s="157">
        <v>5376</v>
      </c>
      <c r="L399" s="157">
        <v>4462.08</v>
      </c>
      <c r="M399" s="157">
        <v>4390.6867200000006</v>
      </c>
      <c r="N399" s="157">
        <v>4426.38</v>
      </c>
      <c r="O399" s="157">
        <v>4426.38</v>
      </c>
      <c r="P399" s="157">
        <v>4426.38</v>
      </c>
      <c r="Q399" s="90">
        <v>4624.07</v>
      </c>
    </row>
    <row r="400" spans="1:17" x14ac:dyDescent="0.2">
      <c r="A400" s="153" t="s">
        <v>18</v>
      </c>
      <c r="B400" s="156">
        <v>9670</v>
      </c>
      <c r="C400" s="156">
        <v>8572</v>
      </c>
      <c r="D400" s="156">
        <v>10173</v>
      </c>
      <c r="E400" s="156">
        <v>8502</v>
      </c>
      <c r="F400" s="156">
        <v>10173.6</v>
      </c>
      <c r="G400" s="156">
        <v>10173.6</v>
      </c>
      <c r="H400" s="156">
        <v>7182.4</v>
      </c>
      <c r="I400" s="156">
        <v>7182.4</v>
      </c>
      <c r="J400" s="156">
        <v>7182.4</v>
      </c>
      <c r="K400" s="157">
        <v>7182.4</v>
      </c>
      <c r="L400" s="157">
        <f>L399+0.15*J399+600</f>
        <v>5868.48</v>
      </c>
      <c r="M400" s="157">
        <f>M399+0.1*K399+600</f>
        <v>5528.286720000001</v>
      </c>
      <c r="N400" s="157">
        <f>N399+0.1*L399+600</f>
        <v>5472.5879999999997</v>
      </c>
      <c r="O400" s="157">
        <f>O399+0.1*M399+600</f>
        <v>5465.4486720000004</v>
      </c>
      <c r="P400" s="157">
        <f>P399+0.1*N399+600</f>
        <v>5469.018</v>
      </c>
      <c r="Q400" s="90">
        <v>5024.22</v>
      </c>
    </row>
    <row r="401" spans="1:17" x14ac:dyDescent="0.2">
      <c r="A401" s="153" t="s">
        <v>19</v>
      </c>
      <c r="B401" s="153"/>
      <c r="C401" s="153"/>
      <c r="D401" s="153"/>
      <c r="E401" s="153"/>
      <c r="F401" s="153"/>
      <c r="G401" s="11"/>
      <c r="H401" s="11"/>
      <c r="I401" s="11"/>
      <c r="J401" s="171"/>
      <c r="K401" s="11"/>
      <c r="L401" s="11"/>
      <c r="M401" s="11"/>
      <c r="N401" s="11"/>
      <c r="O401" s="11"/>
      <c r="P401" s="11"/>
      <c r="Q401" s="90"/>
    </row>
    <row r="402" spans="1:17" x14ac:dyDescent="0.2">
      <c r="A402" s="153" t="s">
        <v>20</v>
      </c>
      <c r="B402" s="156">
        <v>5489</v>
      </c>
      <c r="C402" s="156">
        <v>3720.78</v>
      </c>
      <c r="D402" s="156">
        <v>3231</v>
      </c>
      <c r="E402" s="156">
        <v>2371.0340000000001</v>
      </c>
      <c r="F402" s="156">
        <v>2231.75</v>
      </c>
      <c r="G402" s="157">
        <v>4941.848</v>
      </c>
      <c r="H402" s="157">
        <v>5852.39</v>
      </c>
      <c r="I402" s="157">
        <v>5514.3580000000002</v>
      </c>
      <c r="J402" s="157">
        <v>4823.0860000000002</v>
      </c>
      <c r="K402" s="157">
        <v>5718.49</v>
      </c>
      <c r="L402" s="157">
        <v>3613.58</v>
      </c>
      <c r="M402" s="157">
        <v>1638.49</v>
      </c>
      <c r="N402" s="157">
        <v>3248.94</v>
      </c>
      <c r="O402" s="157">
        <v>5415.3</v>
      </c>
      <c r="P402" s="157">
        <v>5132.71</v>
      </c>
      <c r="Q402" s="90"/>
    </row>
    <row r="403" spans="1:17" x14ac:dyDescent="0.2">
      <c r="A403" s="153" t="s">
        <v>21</v>
      </c>
      <c r="B403" s="156">
        <v>4181</v>
      </c>
      <c r="C403" s="156">
        <v>4581.22</v>
      </c>
      <c r="D403" s="156">
        <v>6942</v>
      </c>
      <c r="E403" s="156">
        <v>6130.6959999999999</v>
      </c>
      <c r="F403" s="156">
        <v>7941.85</v>
      </c>
      <c r="G403" s="157">
        <v>5232.116</v>
      </c>
      <c r="H403" s="157">
        <v>1330.01</v>
      </c>
      <c r="I403" s="157">
        <v>1449.932</v>
      </c>
      <c r="J403" s="157">
        <v>2359.3139999999999</v>
      </c>
      <c r="K403" s="157">
        <f t="shared" ref="K403:P403" si="18">K400-K402</f>
        <v>1463.9099999999999</v>
      </c>
      <c r="L403" s="157">
        <f t="shared" si="18"/>
        <v>2254.8999999999996</v>
      </c>
      <c r="M403" s="157">
        <f t="shared" si="18"/>
        <v>3889.7967200000012</v>
      </c>
      <c r="N403" s="157">
        <f t="shared" si="18"/>
        <v>2223.6479999999997</v>
      </c>
      <c r="O403" s="157">
        <f t="shared" si="18"/>
        <v>50.148672000000261</v>
      </c>
      <c r="P403" s="157">
        <f t="shared" si="18"/>
        <v>336.30799999999999</v>
      </c>
      <c r="Q403" s="90"/>
    </row>
    <row r="404" spans="1:17" x14ac:dyDescent="0.2">
      <c r="A404" s="158" t="s">
        <v>22</v>
      </c>
      <c r="B404" s="158">
        <v>2012</v>
      </c>
      <c r="C404" s="158">
        <v>2013</v>
      </c>
      <c r="D404" s="158">
        <v>2014</v>
      </c>
      <c r="E404" s="158">
        <v>2015</v>
      </c>
      <c r="F404" s="158">
        <v>2016</v>
      </c>
      <c r="G404" s="17">
        <v>2017</v>
      </c>
      <c r="H404" s="17">
        <v>2018</v>
      </c>
      <c r="I404" s="17">
        <v>2019</v>
      </c>
      <c r="J404" s="17">
        <v>2020</v>
      </c>
      <c r="K404" s="17">
        <v>2021</v>
      </c>
      <c r="L404" s="17">
        <v>2022</v>
      </c>
      <c r="M404" s="17">
        <v>2023</v>
      </c>
      <c r="N404" s="17">
        <v>2024</v>
      </c>
      <c r="O404" s="17">
        <v>2025</v>
      </c>
      <c r="P404" s="17">
        <v>2026</v>
      </c>
      <c r="Q404" s="62"/>
    </row>
    <row r="405" spans="1:17" x14ac:dyDescent="0.2">
      <c r="A405" s="10" t="s">
        <v>154</v>
      </c>
      <c r="B405" s="36"/>
      <c r="C405" s="36"/>
      <c r="D405" s="36"/>
      <c r="E405" s="36"/>
      <c r="F405" s="36"/>
      <c r="G405" s="36"/>
      <c r="H405" s="36"/>
      <c r="I405" s="36"/>
      <c r="J405" s="36"/>
      <c r="K405" s="36"/>
      <c r="L405" s="36"/>
      <c r="M405" s="36"/>
      <c r="N405" s="36"/>
      <c r="O405" s="36"/>
      <c r="P405" s="30"/>
      <c r="Q405" s="88"/>
    </row>
    <row r="406" spans="1:17" x14ac:dyDescent="0.2">
      <c r="A406" s="162" t="s">
        <v>159</v>
      </c>
      <c r="Q406" s="63"/>
    </row>
    <row r="407" spans="1:17" x14ac:dyDescent="0.2">
      <c r="A407" s="162" t="s">
        <v>160</v>
      </c>
      <c r="Q407" s="64"/>
    </row>
    <row r="408" spans="1:17" x14ac:dyDescent="0.2">
      <c r="A408" s="162" t="s">
        <v>437</v>
      </c>
      <c r="Q408" s="64"/>
    </row>
    <row r="409" spans="1:17" x14ac:dyDescent="0.2">
      <c r="A409" s="162" t="s">
        <v>590</v>
      </c>
      <c r="Q409" s="64"/>
    </row>
    <row r="410" spans="1:17" x14ac:dyDescent="0.2">
      <c r="A410" s="162" t="s">
        <v>611</v>
      </c>
      <c r="Q410" s="64"/>
    </row>
    <row r="411" spans="1:17" x14ac:dyDescent="0.2">
      <c r="A411" s="162" t="s">
        <v>775</v>
      </c>
      <c r="Q411" s="64"/>
    </row>
    <row r="412" spans="1:17" x14ac:dyDescent="0.2">
      <c r="A412" s="123" t="s">
        <v>1000</v>
      </c>
      <c r="Q412" s="64"/>
    </row>
    <row r="413" spans="1:17" x14ac:dyDescent="0.2">
      <c r="A413" s="172" t="s">
        <v>1163</v>
      </c>
      <c r="B413" s="34"/>
      <c r="C413" s="34"/>
      <c r="D413" s="34"/>
      <c r="E413" s="34"/>
      <c r="F413" s="34"/>
      <c r="G413" s="34"/>
      <c r="H413" s="34"/>
      <c r="I413" s="34"/>
      <c r="J413" s="34"/>
      <c r="K413" s="34"/>
      <c r="L413" s="34"/>
      <c r="M413" s="34"/>
      <c r="N413" s="34"/>
      <c r="O413" s="34"/>
      <c r="P413" s="34"/>
      <c r="Q413" s="48"/>
    </row>
    <row r="415" spans="1:17" x14ac:dyDescent="0.2">
      <c r="A415" s="6" t="s">
        <v>14</v>
      </c>
      <c r="B415" s="7" t="s">
        <v>74</v>
      </c>
      <c r="C415" s="7" t="s">
        <v>15</v>
      </c>
    </row>
    <row r="416" spans="1:17" x14ac:dyDescent="0.2">
      <c r="A416" s="165" t="s">
        <v>16</v>
      </c>
      <c r="B416" s="166">
        <v>2010</v>
      </c>
      <c r="C416" s="154">
        <v>2011</v>
      </c>
      <c r="D416" s="154">
        <v>2012</v>
      </c>
      <c r="E416" s="154">
        <v>2013</v>
      </c>
      <c r="F416" s="154">
        <v>2014</v>
      </c>
      <c r="G416" s="154">
        <v>2015</v>
      </c>
      <c r="H416" s="154">
        <v>2016</v>
      </c>
      <c r="I416" s="154">
        <v>2017</v>
      </c>
      <c r="J416" s="154">
        <v>2018</v>
      </c>
      <c r="K416" s="155">
        <v>2019</v>
      </c>
      <c r="L416" s="155">
        <v>2020</v>
      </c>
      <c r="M416" s="155">
        <v>2021</v>
      </c>
      <c r="N416" s="155">
        <v>2022</v>
      </c>
      <c r="O416" s="155">
        <v>2023</v>
      </c>
      <c r="P416" s="155">
        <v>2024</v>
      </c>
      <c r="Q416" s="155">
        <v>2025</v>
      </c>
    </row>
    <row r="417" spans="1:17" x14ac:dyDescent="0.2">
      <c r="A417" s="153" t="s">
        <v>17</v>
      </c>
      <c r="B417" s="156">
        <v>100.5</v>
      </c>
      <c r="C417" s="156">
        <v>100.5</v>
      </c>
      <c r="D417" s="156">
        <v>100.5</v>
      </c>
      <c r="E417" s="156">
        <v>45</v>
      </c>
      <c r="F417" s="156">
        <v>45</v>
      </c>
      <c r="G417" s="156">
        <v>45</v>
      </c>
      <c r="H417" s="156">
        <v>45</v>
      </c>
      <c r="I417" s="156">
        <v>45</v>
      </c>
      <c r="J417" s="157">
        <v>45</v>
      </c>
      <c r="K417" s="157">
        <v>45</v>
      </c>
      <c r="L417" s="157">
        <v>37.9</v>
      </c>
      <c r="M417" s="157">
        <v>37.9</v>
      </c>
      <c r="N417" s="157">
        <v>37.9</v>
      </c>
      <c r="O417" s="157">
        <v>37.9</v>
      </c>
      <c r="P417" s="157">
        <v>37.9</v>
      </c>
      <c r="Q417" s="157">
        <v>37.9</v>
      </c>
    </row>
    <row r="418" spans="1:17" x14ac:dyDescent="0.2">
      <c r="A418" s="153" t="s">
        <v>18</v>
      </c>
      <c r="B418" s="156">
        <v>100.5</v>
      </c>
      <c r="C418" s="156">
        <v>100.5</v>
      </c>
      <c r="D418" s="156">
        <v>100.5</v>
      </c>
      <c r="E418" s="156">
        <v>45</v>
      </c>
      <c r="F418" s="156">
        <v>45</v>
      </c>
      <c r="G418" s="156">
        <v>45</v>
      </c>
      <c r="H418" s="156">
        <v>50.34</v>
      </c>
      <c r="I418" s="156">
        <v>45.585000000000001</v>
      </c>
      <c r="J418" s="156">
        <v>45.628999999999998</v>
      </c>
      <c r="K418" s="157">
        <v>50.27</v>
      </c>
      <c r="L418" s="157">
        <f>L417+J421</f>
        <v>41.338000000000001</v>
      </c>
      <c r="M418" s="157">
        <f>M417+K421</f>
        <v>41.77</v>
      </c>
      <c r="N418" s="157"/>
      <c r="O418" s="157"/>
      <c r="P418" s="157"/>
      <c r="Q418" s="157"/>
    </row>
    <row r="419" spans="1:17" x14ac:dyDescent="0.2">
      <c r="A419" s="153" t="s">
        <v>19</v>
      </c>
      <c r="B419" s="153"/>
      <c r="C419" s="153"/>
      <c r="D419" s="153"/>
      <c r="E419" s="153"/>
      <c r="F419" s="153"/>
      <c r="G419" s="11"/>
      <c r="H419" s="11"/>
      <c r="I419" s="11"/>
      <c r="J419" s="11"/>
      <c r="K419" s="11"/>
      <c r="L419" s="11"/>
      <c r="M419" s="11"/>
      <c r="N419" s="11"/>
      <c r="O419" s="11"/>
      <c r="P419" s="11"/>
      <c r="Q419" s="11"/>
    </row>
    <row r="420" spans="1:17" x14ac:dyDescent="0.2">
      <c r="A420" s="153" t="s">
        <v>20</v>
      </c>
      <c r="B420" s="156">
        <v>77</v>
      </c>
      <c r="C420" s="156">
        <v>99.5</v>
      </c>
      <c r="D420" s="156">
        <v>35</v>
      </c>
      <c r="E420" s="156">
        <v>44.86</v>
      </c>
      <c r="F420" s="156">
        <v>39.659999999999997</v>
      </c>
      <c r="G420" s="157">
        <v>44.414999999999999</v>
      </c>
      <c r="H420" s="157">
        <v>49.710999999999999</v>
      </c>
      <c r="I420" s="157">
        <v>40.31</v>
      </c>
      <c r="J420" s="157">
        <v>42.191000000000003</v>
      </c>
      <c r="K420" s="157">
        <v>46.4</v>
      </c>
      <c r="L420" s="157">
        <v>37.24</v>
      </c>
      <c r="M420" s="157">
        <v>4.03</v>
      </c>
      <c r="N420" s="157">
        <v>10.41</v>
      </c>
      <c r="O420" s="157">
        <v>35.4</v>
      </c>
      <c r="P420" s="157">
        <v>37.36</v>
      </c>
      <c r="Q420" s="157"/>
    </row>
    <row r="421" spans="1:17" x14ac:dyDescent="0.2">
      <c r="A421" s="153" t="s">
        <v>21</v>
      </c>
      <c r="B421" s="156">
        <v>23.5</v>
      </c>
      <c r="C421" s="156">
        <v>1</v>
      </c>
      <c r="D421" s="156">
        <v>65.5</v>
      </c>
      <c r="E421" s="156">
        <v>0.14199999999999999</v>
      </c>
      <c r="F421" s="156">
        <v>5.34</v>
      </c>
      <c r="G421" s="157">
        <v>0.58499999999999996</v>
      </c>
      <c r="H421" s="157">
        <v>0.629</v>
      </c>
      <c r="I421" s="157">
        <v>5.269999999999996</v>
      </c>
      <c r="J421" s="157">
        <v>3.4380000000000002</v>
      </c>
      <c r="K421" s="157">
        <f>K418-K420</f>
        <v>3.8700000000000045</v>
      </c>
      <c r="L421" s="157">
        <f>L418-L420</f>
        <v>4.097999999999999</v>
      </c>
      <c r="M421" s="157">
        <f>M418-M420</f>
        <v>37.74</v>
      </c>
      <c r="N421" s="157">
        <f>N417-N420</f>
        <v>27.49</v>
      </c>
      <c r="O421" s="157">
        <f>O417-O420</f>
        <v>2.5</v>
      </c>
      <c r="P421" s="157">
        <f>P417-P420</f>
        <v>0.53999999999999915</v>
      </c>
      <c r="Q421" s="157"/>
    </row>
    <row r="422" spans="1:17" x14ac:dyDescent="0.2">
      <c r="A422" s="158" t="s">
        <v>22</v>
      </c>
      <c r="B422" s="159" t="s">
        <v>161</v>
      </c>
      <c r="C422" s="159" t="s">
        <v>161</v>
      </c>
      <c r="D422" s="159" t="s">
        <v>161</v>
      </c>
      <c r="E422" s="159">
        <v>2015</v>
      </c>
      <c r="F422" s="159">
        <v>2016</v>
      </c>
      <c r="G422" s="160">
        <v>2017</v>
      </c>
      <c r="H422" s="160">
        <v>2018</v>
      </c>
      <c r="I422" s="160">
        <v>2019</v>
      </c>
      <c r="J422" s="160">
        <v>2020</v>
      </c>
      <c r="K422" s="160">
        <v>2021</v>
      </c>
      <c r="L422" s="159"/>
      <c r="M422" s="159"/>
      <c r="N422" s="159"/>
      <c r="O422" s="159"/>
      <c r="P422" s="159"/>
      <c r="Q422" s="159"/>
    </row>
    <row r="423" spans="1:17" x14ac:dyDescent="0.2">
      <c r="A423" s="90" t="s">
        <v>154</v>
      </c>
      <c r="B423" s="90"/>
      <c r="C423" s="90"/>
      <c r="D423" s="90"/>
      <c r="E423" s="90"/>
      <c r="F423" s="90"/>
      <c r="G423" s="90"/>
      <c r="H423" s="90"/>
      <c r="I423" s="90"/>
      <c r="J423" s="90"/>
      <c r="K423" s="90"/>
      <c r="L423" s="90"/>
      <c r="M423" s="90"/>
      <c r="N423" s="90"/>
      <c r="O423" s="90"/>
      <c r="P423" s="90"/>
      <c r="Q423" s="90"/>
    </row>
    <row r="424" spans="1:17" x14ac:dyDescent="0.2">
      <c r="A424" s="29" t="s">
        <v>612</v>
      </c>
      <c r="B424" s="30"/>
      <c r="C424" s="30"/>
      <c r="D424" s="30"/>
      <c r="E424" s="30"/>
      <c r="F424" s="30"/>
      <c r="G424" s="30"/>
      <c r="H424" s="30"/>
      <c r="I424" s="30"/>
      <c r="J424" s="30"/>
      <c r="K424" s="30"/>
      <c r="L424" s="30"/>
      <c r="M424" s="30"/>
      <c r="N424" s="30"/>
      <c r="O424" s="30"/>
      <c r="P424" s="88"/>
      <c r="Q424" s="88"/>
    </row>
    <row r="425" spans="1:17" x14ac:dyDescent="0.2">
      <c r="A425" s="161" t="s">
        <v>162</v>
      </c>
      <c r="B425" s="19"/>
      <c r="C425" s="19"/>
      <c r="D425" s="19"/>
      <c r="E425" s="19"/>
      <c r="F425" s="19"/>
      <c r="G425" s="19"/>
      <c r="H425" s="19"/>
      <c r="I425" s="19"/>
      <c r="J425" s="19"/>
      <c r="K425" s="19"/>
      <c r="L425" s="19"/>
      <c r="M425" s="19"/>
      <c r="N425" s="19"/>
      <c r="O425" s="19"/>
      <c r="P425" s="19"/>
      <c r="Q425" s="63"/>
    </row>
    <row r="426" spans="1:17" x14ac:dyDescent="0.2">
      <c r="A426" s="162" t="s">
        <v>341</v>
      </c>
      <c r="Q426" s="64"/>
    </row>
    <row r="427" spans="1:17" x14ac:dyDescent="0.2">
      <c r="A427" s="39" t="s">
        <v>342</v>
      </c>
      <c r="Q427" s="64"/>
    </row>
    <row r="428" spans="1:17" x14ac:dyDescent="0.2">
      <c r="A428" s="39" t="s">
        <v>438</v>
      </c>
      <c r="Q428" s="64"/>
    </row>
    <row r="429" spans="1:17" x14ac:dyDescent="0.2">
      <c r="A429" s="41" t="s">
        <v>776</v>
      </c>
      <c r="B429" s="34"/>
      <c r="C429" s="34"/>
      <c r="D429" s="34"/>
      <c r="E429" s="34"/>
      <c r="F429" s="34"/>
      <c r="G429" s="34"/>
      <c r="H429" s="34"/>
      <c r="I429" s="34"/>
      <c r="J429" s="34"/>
      <c r="K429" s="34"/>
      <c r="L429" s="34"/>
      <c r="M429" s="34"/>
      <c r="N429" s="34"/>
      <c r="O429" s="34"/>
      <c r="P429" s="34"/>
      <c r="Q429" s="48"/>
    </row>
    <row r="431" spans="1:17" x14ac:dyDescent="0.2">
      <c r="A431" s="6" t="s">
        <v>14</v>
      </c>
      <c r="B431" s="7" t="s">
        <v>79</v>
      </c>
      <c r="C431" s="7" t="s">
        <v>15</v>
      </c>
    </row>
    <row r="432" spans="1:17" x14ac:dyDescent="0.2">
      <c r="A432" s="165" t="s">
        <v>16</v>
      </c>
      <c r="B432" s="166">
        <v>2010</v>
      </c>
      <c r="C432" s="154">
        <v>2011</v>
      </c>
      <c r="D432" s="154">
        <v>2012</v>
      </c>
      <c r="E432" s="154">
        <v>2013</v>
      </c>
      <c r="F432" s="154">
        <v>2014</v>
      </c>
      <c r="G432" s="154">
        <v>2015</v>
      </c>
      <c r="H432" s="154">
        <v>2016</v>
      </c>
      <c r="I432" s="154">
        <v>2017</v>
      </c>
      <c r="J432" s="154">
        <v>2018</v>
      </c>
      <c r="K432" s="155">
        <v>2019</v>
      </c>
      <c r="L432" s="155">
        <v>2020</v>
      </c>
      <c r="M432" s="155">
        <v>2021</v>
      </c>
      <c r="N432" s="155">
        <v>2022</v>
      </c>
      <c r="O432" s="155">
        <v>2023</v>
      </c>
      <c r="P432" s="155">
        <v>2024</v>
      </c>
      <c r="Q432" s="155">
        <v>2025</v>
      </c>
    </row>
    <row r="433" spans="1:17" x14ac:dyDescent="0.2">
      <c r="A433" s="153" t="s">
        <v>17</v>
      </c>
      <c r="B433" s="156">
        <v>9.9</v>
      </c>
      <c r="C433" s="156">
        <v>9.9</v>
      </c>
      <c r="D433" s="156">
        <v>9.9</v>
      </c>
      <c r="E433" s="156">
        <v>10</v>
      </c>
      <c r="F433" s="156">
        <v>10</v>
      </c>
      <c r="G433" s="156">
        <v>10</v>
      </c>
      <c r="H433" s="157">
        <v>10</v>
      </c>
      <c r="I433" s="157">
        <v>10</v>
      </c>
      <c r="J433" s="157">
        <v>10</v>
      </c>
      <c r="K433" s="157">
        <v>10</v>
      </c>
      <c r="L433" s="157">
        <v>10</v>
      </c>
      <c r="M433" s="157">
        <v>10</v>
      </c>
      <c r="N433" s="157">
        <v>10</v>
      </c>
      <c r="O433" s="157">
        <v>10</v>
      </c>
      <c r="P433" s="157">
        <v>10</v>
      </c>
      <c r="Q433" s="157">
        <v>10</v>
      </c>
    </row>
    <row r="434" spans="1:17" x14ac:dyDescent="0.2">
      <c r="A434" s="153" t="s">
        <v>18</v>
      </c>
      <c r="B434" s="156">
        <v>9.9</v>
      </c>
      <c r="C434" s="156">
        <v>9.9</v>
      </c>
      <c r="D434" s="156">
        <v>9.9</v>
      </c>
      <c r="E434" s="156">
        <v>10</v>
      </c>
      <c r="F434" s="156">
        <v>10</v>
      </c>
      <c r="G434" s="156">
        <v>12</v>
      </c>
      <c r="H434" s="157">
        <v>12</v>
      </c>
      <c r="I434" s="157">
        <v>12</v>
      </c>
      <c r="J434" s="156">
        <v>12</v>
      </c>
      <c r="K434" s="157">
        <v>12</v>
      </c>
      <c r="L434" s="157">
        <f>L433*1.2</f>
        <v>12</v>
      </c>
      <c r="M434" s="157">
        <f>M433*1.2</f>
        <v>12</v>
      </c>
      <c r="N434" s="157"/>
      <c r="O434" s="157"/>
      <c r="P434" s="157"/>
      <c r="Q434" s="157"/>
    </row>
    <row r="435" spans="1:17" x14ac:dyDescent="0.2">
      <c r="A435" s="153" t="s">
        <v>19</v>
      </c>
      <c r="B435" s="153"/>
      <c r="C435" s="153"/>
      <c r="D435" s="153"/>
      <c r="E435" s="153"/>
      <c r="F435" s="153"/>
      <c r="G435" s="11"/>
      <c r="H435" s="11"/>
      <c r="I435" s="11"/>
      <c r="J435" s="11"/>
      <c r="K435" s="11"/>
      <c r="L435" s="11"/>
      <c r="M435" s="11"/>
      <c r="N435" s="11"/>
      <c r="O435" s="11"/>
      <c r="P435" s="11"/>
      <c r="Q435" s="11"/>
    </row>
    <row r="436" spans="1:17" x14ac:dyDescent="0.2">
      <c r="A436" s="153" t="s">
        <v>20</v>
      </c>
      <c r="B436" s="156">
        <v>8</v>
      </c>
      <c r="C436" s="156">
        <v>0.73</v>
      </c>
      <c r="D436" s="156">
        <v>0.21</v>
      </c>
      <c r="E436" s="156">
        <v>2.1179999999999999</v>
      </c>
      <c r="F436" s="156">
        <v>0</v>
      </c>
      <c r="G436" s="157">
        <v>0.34799999999999998</v>
      </c>
      <c r="H436" s="157">
        <v>0.26300000000000001</v>
      </c>
      <c r="I436" s="157">
        <v>2.5299999999999998</v>
      </c>
      <c r="J436" s="157">
        <v>3.23</v>
      </c>
      <c r="K436" s="157">
        <v>2.88</v>
      </c>
      <c r="L436" s="157">
        <v>1.81</v>
      </c>
      <c r="M436" s="157">
        <v>1.57</v>
      </c>
      <c r="N436" s="157">
        <v>2.13</v>
      </c>
      <c r="O436" s="157">
        <v>1.5</v>
      </c>
      <c r="P436" s="157">
        <v>1.92</v>
      </c>
      <c r="Q436" s="157"/>
    </row>
    <row r="437" spans="1:17" x14ac:dyDescent="0.2">
      <c r="A437" s="153" t="s">
        <v>21</v>
      </c>
      <c r="B437" s="156">
        <v>1.9</v>
      </c>
      <c r="C437" s="156">
        <v>9.17</v>
      </c>
      <c r="D437" s="156">
        <v>9.69</v>
      </c>
      <c r="E437" s="156">
        <v>7.8819999999999997</v>
      </c>
      <c r="F437" s="156">
        <v>10</v>
      </c>
      <c r="G437" s="157">
        <v>11.651999999999999</v>
      </c>
      <c r="H437" s="157">
        <v>11.737</v>
      </c>
      <c r="I437" s="157">
        <v>9.4700000000000006</v>
      </c>
      <c r="J437" s="157">
        <v>8.77</v>
      </c>
      <c r="K437" s="157">
        <f>K434-K436</f>
        <v>9.120000000000001</v>
      </c>
      <c r="L437" s="157">
        <f>L434-L436</f>
        <v>10.19</v>
      </c>
      <c r="M437" s="157">
        <f>M434-M436</f>
        <v>10.43</v>
      </c>
      <c r="N437" s="157">
        <f>N433-N436</f>
        <v>7.87</v>
      </c>
      <c r="O437" s="157">
        <f>O433-O436</f>
        <v>8.5</v>
      </c>
      <c r="P437" s="157">
        <f>P433-P436</f>
        <v>8.08</v>
      </c>
      <c r="Q437" s="157"/>
    </row>
    <row r="438" spans="1:17" x14ac:dyDescent="0.2">
      <c r="A438" s="158" t="s">
        <v>22</v>
      </c>
      <c r="B438" s="159" t="s">
        <v>161</v>
      </c>
      <c r="C438" s="159" t="s">
        <v>161</v>
      </c>
      <c r="D438" s="159" t="s">
        <v>161</v>
      </c>
      <c r="E438" s="159">
        <v>2015</v>
      </c>
      <c r="F438" s="159">
        <v>2016</v>
      </c>
      <c r="G438" s="160">
        <v>2017</v>
      </c>
      <c r="H438" s="160">
        <v>2018</v>
      </c>
      <c r="I438" s="160">
        <v>2019</v>
      </c>
      <c r="J438" s="160">
        <v>2020</v>
      </c>
      <c r="K438" s="160">
        <v>2021</v>
      </c>
      <c r="L438" s="159"/>
      <c r="M438" s="159"/>
      <c r="N438" s="159"/>
      <c r="O438" s="159"/>
      <c r="P438" s="159"/>
      <c r="Q438" s="159"/>
    </row>
    <row r="439" spans="1:17" x14ac:dyDescent="0.2">
      <c r="A439" s="29" t="s">
        <v>154</v>
      </c>
      <c r="B439" s="30"/>
      <c r="C439" s="30"/>
      <c r="D439" s="30"/>
      <c r="E439" s="30"/>
      <c r="F439" s="30"/>
      <c r="G439" s="30"/>
      <c r="H439" s="30"/>
      <c r="I439" s="30"/>
      <c r="J439" s="30"/>
      <c r="K439" s="30"/>
      <c r="L439" s="30"/>
      <c r="M439" s="30"/>
      <c r="N439" s="30"/>
      <c r="O439" s="30"/>
      <c r="P439" s="88"/>
      <c r="Q439" s="63"/>
    </row>
    <row r="440" spans="1:17" x14ac:dyDescent="0.2">
      <c r="A440" s="39" t="s">
        <v>613</v>
      </c>
      <c r="Q440" s="63"/>
    </row>
    <row r="441" spans="1:17" x14ac:dyDescent="0.2">
      <c r="A441" s="39" t="s">
        <v>163</v>
      </c>
      <c r="Q441" s="64"/>
    </row>
    <row r="442" spans="1:17" x14ac:dyDescent="0.2">
      <c r="A442" s="39" t="s">
        <v>343</v>
      </c>
      <c r="Q442" s="64"/>
    </row>
    <row r="443" spans="1:17" x14ac:dyDescent="0.2">
      <c r="A443" s="39" t="s">
        <v>439</v>
      </c>
      <c r="Q443" s="64"/>
    </row>
    <row r="444" spans="1:17" x14ac:dyDescent="0.2">
      <c r="A444" s="41" t="s">
        <v>776</v>
      </c>
      <c r="B444" s="34"/>
      <c r="C444" s="34"/>
      <c r="D444" s="34"/>
      <c r="E444" s="34"/>
      <c r="F444" s="34"/>
      <c r="G444" s="34"/>
      <c r="H444" s="34"/>
      <c r="I444" s="34"/>
      <c r="J444" s="34"/>
      <c r="K444" s="34"/>
      <c r="L444" s="34"/>
      <c r="M444" s="34"/>
      <c r="N444" s="34"/>
      <c r="O444" s="34"/>
      <c r="P444" s="34"/>
      <c r="Q444" s="48"/>
    </row>
    <row r="447" spans="1:17" x14ac:dyDescent="0.2">
      <c r="A447" s="6" t="s">
        <v>12</v>
      </c>
      <c r="B447" s="7" t="s">
        <v>85</v>
      </c>
    </row>
    <row r="448" spans="1:17" x14ac:dyDescent="0.2">
      <c r="A448" s="6" t="s">
        <v>14</v>
      </c>
      <c r="B448" s="7" t="s">
        <v>624</v>
      </c>
      <c r="C448" s="9" t="s">
        <v>15</v>
      </c>
    </row>
    <row r="449" spans="1:12" x14ac:dyDescent="0.2">
      <c r="A449" s="10" t="s">
        <v>16</v>
      </c>
      <c r="B449" s="155">
        <v>2015</v>
      </c>
      <c r="C449" s="173">
        <v>2016</v>
      </c>
      <c r="D449" s="155">
        <v>2017</v>
      </c>
      <c r="E449" s="174">
        <v>2018</v>
      </c>
      <c r="F449" s="174">
        <v>2019</v>
      </c>
      <c r="G449" s="155">
        <v>2020</v>
      </c>
      <c r="H449" s="155">
        <v>2021</v>
      </c>
      <c r="I449" s="155">
        <v>2022</v>
      </c>
      <c r="J449" s="155">
        <v>2023</v>
      </c>
      <c r="K449" s="155">
        <v>2024</v>
      </c>
      <c r="L449" s="155">
        <v>2025</v>
      </c>
    </row>
    <row r="450" spans="1:12" x14ac:dyDescent="0.2">
      <c r="A450" s="10" t="s">
        <v>17</v>
      </c>
      <c r="B450" s="157">
        <v>3271.7</v>
      </c>
      <c r="C450" s="175">
        <v>3271.7</v>
      </c>
      <c r="D450" s="157">
        <v>3271.7</v>
      </c>
      <c r="E450" s="176">
        <v>3926</v>
      </c>
      <c r="F450" s="176">
        <v>3926</v>
      </c>
      <c r="G450" s="157">
        <v>3926</v>
      </c>
      <c r="H450" s="157">
        <v>4416.8999999999996</v>
      </c>
      <c r="I450" s="157">
        <v>4416.8999999999996</v>
      </c>
      <c r="J450" s="157">
        <v>4416.8999999999996</v>
      </c>
      <c r="K450" s="157">
        <v>5521.1</v>
      </c>
      <c r="L450" s="157">
        <v>5521.1</v>
      </c>
    </row>
    <row r="451" spans="1:12" x14ac:dyDescent="0.2">
      <c r="A451" s="10" t="s">
        <v>18</v>
      </c>
      <c r="B451" s="157">
        <v>3789.62</v>
      </c>
      <c r="C451" s="175">
        <v>3789.62</v>
      </c>
      <c r="D451" s="157">
        <v>3789.62</v>
      </c>
      <c r="E451" s="176">
        <v>4281.62</v>
      </c>
      <c r="F451" s="176">
        <v>4543.9250000000002</v>
      </c>
      <c r="G451" s="176">
        <v>4707.5</v>
      </c>
      <c r="H451" s="176">
        <f>H450+0.25*F450-200</f>
        <v>5198.3999999999996</v>
      </c>
      <c r="I451" s="176">
        <f>I450+0.25*G450-200</f>
        <v>5198.3999999999996</v>
      </c>
      <c r="J451" s="176">
        <f>J450+0.25*H450-200</f>
        <v>5321.125</v>
      </c>
      <c r="K451" s="176">
        <f>K450+0.25*I450-200</f>
        <v>6425.3250000000007</v>
      </c>
      <c r="L451" s="176">
        <f>L450+0.25*J450-200</f>
        <v>6425.3250000000007</v>
      </c>
    </row>
    <row r="452" spans="1:12" ht="25.5" x14ac:dyDescent="0.2">
      <c r="A452" s="10" t="s">
        <v>19</v>
      </c>
      <c r="B452" s="177" t="s">
        <v>86</v>
      </c>
      <c r="C452" s="177" t="s">
        <v>86</v>
      </c>
      <c r="D452" s="177" t="s">
        <v>86</v>
      </c>
      <c r="E452" s="178" t="s">
        <v>87</v>
      </c>
      <c r="F452" s="178" t="s">
        <v>391</v>
      </c>
      <c r="G452" s="178" t="s">
        <v>392</v>
      </c>
      <c r="H452" s="178" t="s">
        <v>442</v>
      </c>
      <c r="I452" s="178" t="s">
        <v>442</v>
      </c>
      <c r="J452" s="178" t="s">
        <v>778</v>
      </c>
      <c r="K452" s="178" t="s">
        <v>970</v>
      </c>
      <c r="L452" s="178" t="s">
        <v>970</v>
      </c>
    </row>
    <row r="453" spans="1:12" x14ac:dyDescent="0.2">
      <c r="A453" s="10" t="s">
        <v>20</v>
      </c>
      <c r="B453" s="157">
        <v>2857</v>
      </c>
      <c r="C453" s="175">
        <v>3134</v>
      </c>
      <c r="D453" s="157">
        <v>2385</v>
      </c>
      <c r="E453" s="157">
        <v>2926</v>
      </c>
      <c r="F453" s="176">
        <v>2770</v>
      </c>
      <c r="G453" s="157">
        <v>3549</v>
      </c>
      <c r="H453" s="157">
        <v>2896</v>
      </c>
      <c r="I453" s="157">
        <v>2806</v>
      </c>
      <c r="J453" s="157">
        <v>2782</v>
      </c>
      <c r="K453" s="157">
        <v>2446</v>
      </c>
      <c r="L453" s="157"/>
    </row>
    <row r="454" spans="1:12" x14ac:dyDescent="0.2">
      <c r="A454" s="10" t="s">
        <v>21</v>
      </c>
      <c r="B454" s="157">
        <v>932.62</v>
      </c>
      <c r="C454" s="175">
        <v>655.62</v>
      </c>
      <c r="D454" s="157">
        <v>1404.62</v>
      </c>
      <c r="E454" s="157">
        <v>1355.62</v>
      </c>
      <c r="F454" s="176">
        <v>1773.9250000000002</v>
      </c>
      <c r="G454" s="176">
        <f t="shared" ref="G454:L454" si="19">G451-G453</f>
        <v>1158.5</v>
      </c>
      <c r="H454" s="176">
        <f t="shared" si="19"/>
        <v>2302.3999999999996</v>
      </c>
      <c r="I454" s="176">
        <f t="shared" si="19"/>
        <v>2392.3999999999996</v>
      </c>
      <c r="J454" s="157">
        <f t="shared" si="19"/>
        <v>2539.125</v>
      </c>
      <c r="K454" s="157">
        <f t="shared" si="19"/>
        <v>3979.3250000000007</v>
      </c>
      <c r="L454" s="157">
        <f t="shared" si="19"/>
        <v>6425.3250000000007</v>
      </c>
    </row>
    <row r="455" spans="1:12" x14ac:dyDescent="0.2">
      <c r="A455" s="16" t="s">
        <v>22</v>
      </c>
      <c r="B455" s="160">
        <v>2017</v>
      </c>
      <c r="C455" s="179">
        <v>2018</v>
      </c>
      <c r="D455" s="160">
        <v>2019</v>
      </c>
      <c r="E455" s="180">
        <v>2020</v>
      </c>
      <c r="F455" s="180">
        <v>2021</v>
      </c>
      <c r="G455" s="160">
        <v>2022</v>
      </c>
      <c r="H455" s="160">
        <v>2023</v>
      </c>
      <c r="I455" s="160">
        <v>2024</v>
      </c>
      <c r="J455" s="160">
        <v>2025</v>
      </c>
      <c r="K455" s="160">
        <v>2026</v>
      </c>
      <c r="L455" s="181">
        <v>2027</v>
      </c>
    </row>
    <row r="456" spans="1:12" x14ac:dyDescent="0.2">
      <c r="A456" s="16" t="s">
        <v>23</v>
      </c>
      <c r="B456" s="46"/>
      <c r="C456" s="46"/>
      <c r="D456" s="46"/>
      <c r="E456" s="46"/>
      <c r="F456" s="46"/>
      <c r="G456" s="46"/>
      <c r="H456" s="46"/>
      <c r="I456" s="46"/>
      <c r="J456" s="47"/>
      <c r="K456" s="47"/>
      <c r="L456" s="62"/>
    </row>
    <row r="457" spans="1:12" x14ac:dyDescent="0.2">
      <c r="A457" s="16" t="s">
        <v>88</v>
      </c>
      <c r="B457" s="46"/>
      <c r="C457" s="46"/>
      <c r="D457" s="46"/>
      <c r="E457" s="46"/>
      <c r="F457" s="46"/>
      <c r="G457" s="46"/>
      <c r="H457" s="46"/>
      <c r="I457" s="46"/>
      <c r="J457" s="46"/>
      <c r="K457" s="19"/>
      <c r="L457" s="63"/>
    </row>
    <row r="458" spans="1:12" x14ac:dyDescent="0.2">
      <c r="A458" s="651" t="s">
        <v>393</v>
      </c>
      <c r="B458" s="652"/>
      <c r="C458" s="652"/>
      <c r="D458" s="652"/>
      <c r="E458" s="652"/>
      <c r="F458" s="652"/>
      <c r="G458" s="652"/>
      <c r="L458" s="64"/>
    </row>
    <row r="459" spans="1:12" x14ac:dyDescent="0.2">
      <c r="A459" s="39" t="s">
        <v>344</v>
      </c>
      <c r="L459" s="64"/>
    </row>
    <row r="460" spans="1:12" x14ac:dyDescent="0.2">
      <c r="A460" s="39" t="s">
        <v>394</v>
      </c>
      <c r="L460" s="64"/>
    </row>
    <row r="461" spans="1:12" x14ac:dyDescent="0.2">
      <c r="A461" s="39" t="s">
        <v>440</v>
      </c>
      <c r="L461" s="64"/>
    </row>
    <row r="462" spans="1:12" x14ac:dyDescent="0.2">
      <c r="A462" s="39" t="s">
        <v>441</v>
      </c>
      <c r="L462" s="64"/>
    </row>
    <row r="463" spans="1:12" x14ac:dyDescent="0.2">
      <c r="A463" s="39" t="s">
        <v>585</v>
      </c>
      <c r="L463" s="64"/>
    </row>
    <row r="464" spans="1:12" x14ac:dyDescent="0.2">
      <c r="A464" s="651" t="s">
        <v>777</v>
      </c>
      <c r="B464" s="652"/>
      <c r="C464" s="652"/>
      <c r="D464" s="652"/>
      <c r="E464" s="652"/>
      <c r="F464" s="652"/>
      <c r="G464" s="652"/>
      <c r="L464" s="64"/>
    </row>
    <row r="465" spans="1:13" x14ac:dyDescent="0.2">
      <c r="A465" s="162" t="s">
        <v>969</v>
      </c>
      <c r="B465" s="123"/>
      <c r="C465" s="123"/>
      <c r="D465" s="123"/>
      <c r="E465" s="123"/>
      <c r="F465" s="123"/>
      <c r="G465" s="123"/>
      <c r="L465" s="64"/>
    </row>
    <row r="466" spans="1:13" x14ac:dyDescent="0.2">
      <c r="A466" s="172" t="s">
        <v>1127</v>
      </c>
      <c r="B466" s="182"/>
      <c r="C466" s="182"/>
      <c r="D466" s="182"/>
      <c r="E466" s="182"/>
      <c r="F466" s="182"/>
      <c r="G466" s="182"/>
      <c r="H466" s="34"/>
      <c r="I466" s="34"/>
      <c r="J466" s="34"/>
      <c r="K466" s="34"/>
      <c r="L466" s="48"/>
    </row>
    <row r="468" spans="1:13" x14ac:dyDescent="0.2">
      <c r="A468" s="6" t="s">
        <v>14</v>
      </c>
      <c r="B468" s="7" t="s">
        <v>638</v>
      </c>
      <c r="C468" s="9" t="s">
        <v>15</v>
      </c>
    </row>
    <row r="469" spans="1:13" x14ac:dyDescent="0.2">
      <c r="A469" s="10" t="s">
        <v>16</v>
      </c>
      <c r="B469" s="155">
        <v>2015</v>
      </c>
      <c r="C469" s="173">
        <v>2016</v>
      </c>
      <c r="D469" s="155">
        <v>2017</v>
      </c>
      <c r="E469" s="174">
        <v>2018</v>
      </c>
      <c r="F469" s="174">
        <v>2019</v>
      </c>
      <c r="G469" s="155">
        <v>2020</v>
      </c>
      <c r="H469" s="155">
        <v>2021</v>
      </c>
      <c r="I469" s="155">
        <v>2022</v>
      </c>
      <c r="J469" s="155">
        <v>2023</v>
      </c>
      <c r="K469" s="155">
        <v>2024</v>
      </c>
      <c r="L469" s="155">
        <v>2025</v>
      </c>
      <c r="M469" s="155">
        <v>2026</v>
      </c>
    </row>
    <row r="470" spans="1:13" x14ac:dyDescent="0.2">
      <c r="A470" s="10" t="s">
        <v>17</v>
      </c>
      <c r="B470" s="157">
        <v>9400</v>
      </c>
      <c r="C470" s="175">
        <v>9400</v>
      </c>
      <c r="D470" s="157">
        <v>9400</v>
      </c>
      <c r="E470" s="176">
        <v>9400</v>
      </c>
      <c r="F470" s="176">
        <v>9400</v>
      </c>
      <c r="G470" s="157">
        <v>9400</v>
      </c>
      <c r="H470" s="157">
        <v>9400</v>
      </c>
      <c r="I470" s="157">
        <v>9400</v>
      </c>
      <c r="J470" s="157">
        <v>10340</v>
      </c>
      <c r="K470" s="157">
        <v>10340</v>
      </c>
      <c r="L470" s="157">
        <v>10340</v>
      </c>
      <c r="M470" s="157">
        <v>10340</v>
      </c>
    </row>
    <row r="471" spans="1:13" x14ac:dyDescent="0.2">
      <c r="A471" s="10" t="s">
        <v>18</v>
      </c>
      <c r="B471" s="157">
        <v>11506.75</v>
      </c>
      <c r="C471" s="175">
        <v>11750</v>
      </c>
      <c r="D471" s="157">
        <v>11750</v>
      </c>
      <c r="E471" s="176">
        <v>11750</v>
      </c>
      <c r="F471" s="176">
        <f>F470*1.25</f>
        <v>11750</v>
      </c>
      <c r="G471" s="157">
        <f>G470*1.25-200</f>
        <v>11550</v>
      </c>
      <c r="H471" s="157">
        <f>H470+F474</f>
        <v>11524</v>
      </c>
      <c r="I471" s="157">
        <f>I470+G474+85</f>
        <v>11184</v>
      </c>
      <c r="J471" s="157">
        <f>J470+H474</f>
        <v>11345</v>
      </c>
      <c r="K471" s="157">
        <f>K470+139.98</f>
        <v>10479.98</v>
      </c>
      <c r="L471" s="183">
        <f>L470+J474+2135-1425.02</f>
        <v>11499.98</v>
      </c>
      <c r="M471" s="157"/>
    </row>
    <row r="472" spans="1:13" ht="25.5" x14ac:dyDescent="0.2">
      <c r="A472" s="10" t="s">
        <v>19</v>
      </c>
      <c r="B472" s="177" t="s">
        <v>89</v>
      </c>
      <c r="C472" s="177" t="s">
        <v>90</v>
      </c>
      <c r="D472" s="177" t="s">
        <v>90</v>
      </c>
      <c r="E472" s="178" t="s">
        <v>90</v>
      </c>
      <c r="F472" s="178" t="s">
        <v>90</v>
      </c>
      <c r="G472" s="184" t="s">
        <v>346</v>
      </c>
      <c r="H472" s="184" t="s">
        <v>444</v>
      </c>
      <c r="I472" s="184" t="s">
        <v>713</v>
      </c>
      <c r="J472" s="184" t="s">
        <v>873</v>
      </c>
      <c r="K472" s="184" t="s">
        <v>926</v>
      </c>
      <c r="L472" s="185" t="s">
        <v>1152</v>
      </c>
      <c r="M472" s="184"/>
    </row>
    <row r="473" spans="1:13" x14ac:dyDescent="0.2">
      <c r="A473" s="10" t="s">
        <v>20</v>
      </c>
      <c r="B473" s="157">
        <v>7157</v>
      </c>
      <c r="C473" s="175">
        <v>8907</v>
      </c>
      <c r="D473" s="157">
        <v>9090</v>
      </c>
      <c r="E473" s="157">
        <v>9227</v>
      </c>
      <c r="F473" s="176">
        <v>9626</v>
      </c>
      <c r="G473" s="157">
        <v>9851</v>
      </c>
      <c r="H473" s="157">
        <v>10519</v>
      </c>
      <c r="I473" s="157">
        <v>8894</v>
      </c>
      <c r="J473" s="157">
        <v>10895</v>
      </c>
      <c r="K473" s="157">
        <v>11905</v>
      </c>
      <c r="L473" s="157"/>
      <c r="M473" s="157"/>
    </row>
    <row r="474" spans="1:13" x14ac:dyDescent="0.2">
      <c r="A474" s="10" t="s">
        <v>21</v>
      </c>
      <c r="B474" s="157">
        <v>4349.75</v>
      </c>
      <c r="C474" s="175">
        <v>2843</v>
      </c>
      <c r="D474" s="157">
        <v>2660</v>
      </c>
      <c r="E474" s="157">
        <v>2523</v>
      </c>
      <c r="F474" s="176">
        <f>F471-F473</f>
        <v>2124</v>
      </c>
      <c r="G474" s="157">
        <f>G471-G473</f>
        <v>1699</v>
      </c>
      <c r="H474" s="157">
        <v>1005</v>
      </c>
      <c r="I474" s="157">
        <f>I471-I473</f>
        <v>2290</v>
      </c>
      <c r="J474" s="157">
        <f>J471-J473</f>
        <v>450</v>
      </c>
      <c r="K474" s="183">
        <f t="shared" ref="K474" si="20">K471-K473</f>
        <v>-1425.0200000000004</v>
      </c>
      <c r="L474" s="157"/>
      <c r="M474" s="157"/>
    </row>
    <row r="475" spans="1:13" ht="38.25" x14ac:dyDescent="0.2">
      <c r="A475" s="16" t="s">
        <v>22</v>
      </c>
      <c r="B475" s="160">
        <v>2017</v>
      </c>
      <c r="C475" s="179">
        <v>2018</v>
      </c>
      <c r="D475" s="160">
        <v>2019</v>
      </c>
      <c r="E475" s="180">
        <v>2020</v>
      </c>
      <c r="F475" s="180">
        <v>2021</v>
      </c>
      <c r="G475" s="180">
        <v>2022</v>
      </c>
      <c r="H475" s="180">
        <v>2023</v>
      </c>
      <c r="I475" s="180">
        <v>2024</v>
      </c>
      <c r="J475" s="180">
        <v>2025</v>
      </c>
      <c r="K475" s="180">
        <v>2026</v>
      </c>
      <c r="L475" s="186" t="s">
        <v>1166</v>
      </c>
      <c r="M475" s="180">
        <v>2028</v>
      </c>
    </row>
    <row r="476" spans="1:13" x14ac:dyDescent="0.2">
      <c r="A476" s="29" t="s">
        <v>23</v>
      </c>
      <c r="B476" s="685"/>
      <c r="C476" s="685"/>
      <c r="D476" s="685"/>
      <c r="E476" s="685"/>
      <c r="F476" s="685"/>
      <c r="G476" s="685"/>
      <c r="H476" s="685"/>
      <c r="I476" s="685"/>
      <c r="J476" s="685"/>
      <c r="K476" s="685"/>
      <c r="L476" s="685"/>
      <c r="M476" s="686"/>
    </row>
    <row r="477" spans="1:13" x14ac:dyDescent="0.2">
      <c r="A477" s="651" t="s">
        <v>91</v>
      </c>
      <c r="B477" s="652"/>
      <c r="C477" s="652"/>
      <c r="D477" s="652"/>
      <c r="E477" s="652"/>
      <c r="F477" s="652"/>
      <c r="M477" s="64"/>
    </row>
    <row r="478" spans="1:13" x14ac:dyDescent="0.2">
      <c r="A478" s="162" t="s">
        <v>345</v>
      </c>
      <c r="B478" s="32"/>
      <c r="C478" s="32"/>
      <c r="D478" s="32"/>
      <c r="E478" s="32"/>
      <c r="F478" s="32"/>
      <c r="M478" s="64"/>
    </row>
    <row r="479" spans="1:13" x14ac:dyDescent="0.2">
      <c r="A479" s="162" t="s">
        <v>443</v>
      </c>
      <c r="B479" s="32"/>
      <c r="C479" s="32"/>
      <c r="D479" s="32"/>
      <c r="E479" s="32"/>
      <c r="F479" s="32"/>
      <c r="M479" s="64"/>
    </row>
    <row r="480" spans="1:13" x14ac:dyDescent="0.2">
      <c r="A480" s="162" t="s">
        <v>714</v>
      </c>
      <c r="B480" s="32"/>
      <c r="C480" s="32"/>
      <c r="D480" s="32"/>
      <c r="E480" s="32"/>
      <c r="F480" s="32"/>
      <c r="M480" s="64"/>
    </row>
    <row r="481" spans="1:13" x14ac:dyDescent="0.2">
      <c r="A481" s="162" t="s">
        <v>874</v>
      </c>
      <c r="B481" s="32"/>
      <c r="C481" s="32"/>
      <c r="D481" s="32"/>
      <c r="E481" s="32"/>
      <c r="F481" s="32"/>
      <c r="M481" s="64"/>
    </row>
    <row r="482" spans="1:13" x14ac:dyDescent="0.2">
      <c r="A482" s="162" t="s">
        <v>996</v>
      </c>
      <c r="B482" s="32"/>
      <c r="C482" s="32"/>
      <c r="D482" s="32"/>
      <c r="E482" s="32"/>
      <c r="F482" s="32"/>
      <c r="M482" s="64"/>
    </row>
    <row r="483" spans="1:13" x14ac:dyDescent="0.2">
      <c r="A483" s="163" t="s">
        <v>1153</v>
      </c>
      <c r="B483" s="22"/>
      <c r="C483" s="22"/>
      <c r="D483" s="22"/>
      <c r="E483" s="22"/>
      <c r="F483" s="22"/>
      <c r="G483" s="34"/>
      <c r="H483" s="34"/>
      <c r="I483" s="34"/>
      <c r="J483" s="34"/>
      <c r="K483" s="34"/>
      <c r="L483" s="34"/>
      <c r="M483" s="48"/>
    </row>
    <row r="485" spans="1:13" x14ac:dyDescent="0.2">
      <c r="A485" s="6" t="s">
        <v>14</v>
      </c>
      <c r="B485" s="7" t="s">
        <v>623</v>
      </c>
      <c r="C485" s="9" t="s">
        <v>15</v>
      </c>
    </row>
    <row r="486" spans="1:13" x14ac:dyDescent="0.2">
      <c r="A486" s="10" t="s">
        <v>16</v>
      </c>
      <c r="B486" s="155">
        <v>2015</v>
      </c>
      <c r="C486" s="173">
        <v>2016</v>
      </c>
      <c r="D486" s="155">
        <v>2017</v>
      </c>
      <c r="E486" s="174">
        <v>2018</v>
      </c>
      <c r="F486" s="174">
        <v>2019</v>
      </c>
      <c r="G486" s="155">
        <v>2020</v>
      </c>
      <c r="H486" s="155">
        <v>2021</v>
      </c>
      <c r="I486" s="155">
        <v>2022</v>
      </c>
      <c r="J486" s="155">
        <v>2023</v>
      </c>
      <c r="K486" s="155">
        <v>2024</v>
      </c>
      <c r="L486" s="155">
        <v>2025</v>
      </c>
    </row>
    <row r="487" spans="1:13" x14ac:dyDescent="0.2">
      <c r="A487" s="10" t="s">
        <v>17</v>
      </c>
      <c r="B487" s="157">
        <v>270</v>
      </c>
      <c r="C487" s="175">
        <v>270</v>
      </c>
      <c r="D487" s="157">
        <v>270</v>
      </c>
      <c r="E487" s="176">
        <v>270</v>
      </c>
      <c r="F487" s="176">
        <v>270</v>
      </c>
      <c r="G487" s="157">
        <v>270</v>
      </c>
      <c r="H487" s="157">
        <v>270</v>
      </c>
      <c r="I487" s="157">
        <v>270</v>
      </c>
      <c r="J487" s="157">
        <v>270</v>
      </c>
      <c r="K487" s="157">
        <v>270</v>
      </c>
      <c r="L487" s="157">
        <v>270</v>
      </c>
    </row>
    <row r="488" spans="1:13" x14ac:dyDescent="0.2">
      <c r="A488" s="10" t="s">
        <v>18</v>
      </c>
      <c r="B488" s="157">
        <v>370</v>
      </c>
      <c r="C488" s="175">
        <v>370</v>
      </c>
      <c r="D488" s="157">
        <v>370</v>
      </c>
      <c r="E488" s="176">
        <v>343</v>
      </c>
      <c r="F488" s="176">
        <v>343</v>
      </c>
      <c r="G488" s="157">
        <f>G487*1.4-35-20</f>
        <v>323</v>
      </c>
      <c r="H488" s="157">
        <f>H487*1.4-35-20</f>
        <v>323</v>
      </c>
      <c r="I488" s="157">
        <f>I487*1.4-35-20</f>
        <v>323</v>
      </c>
      <c r="J488" s="157">
        <v>323</v>
      </c>
      <c r="K488" s="157">
        <f>K487+0.4*I487-35-20</f>
        <v>323</v>
      </c>
      <c r="L488" s="157">
        <v>378</v>
      </c>
    </row>
    <row r="489" spans="1:13" x14ac:dyDescent="0.2">
      <c r="A489" s="10" t="s">
        <v>19</v>
      </c>
      <c r="B489" s="177" t="s">
        <v>92</v>
      </c>
      <c r="C489" s="177" t="s">
        <v>92</v>
      </c>
      <c r="D489" s="177" t="s">
        <v>92</v>
      </c>
      <c r="E489" s="178" t="s">
        <v>93</v>
      </c>
      <c r="F489" s="178" t="s">
        <v>93</v>
      </c>
      <c r="G489" s="184" t="s">
        <v>351</v>
      </c>
      <c r="H489" s="184" t="s">
        <v>351</v>
      </c>
      <c r="I489" s="184" t="s">
        <v>351</v>
      </c>
      <c r="J489" s="184" t="s">
        <v>351</v>
      </c>
      <c r="K489" s="184" t="s">
        <v>351</v>
      </c>
      <c r="L489" s="157" t="s">
        <v>1164</v>
      </c>
    </row>
    <row r="490" spans="1:13" x14ac:dyDescent="0.2">
      <c r="A490" s="10" t="s">
        <v>20</v>
      </c>
      <c r="B490" s="157">
        <v>115</v>
      </c>
      <c r="C490" s="157">
        <v>151.72</v>
      </c>
      <c r="D490" s="157">
        <v>95.51</v>
      </c>
      <c r="E490" s="157">
        <v>169.22</v>
      </c>
      <c r="F490" s="176">
        <v>122.25</v>
      </c>
      <c r="G490" s="157">
        <v>157.75</v>
      </c>
      <c r="H490" s="157">
        <v>68</v>
      </c>
      <c r="I490" s="157">
        <v>150</v>
      </c>
      <c r="J490" s="157">
        <v>183</v>
      </c>
      <c r="K490" s="157">
        <v>199</v>
      </c>
      <c r="L490" s="157"/>
    </row>
    <row r="491" spans="1:13" x14ac:dyDescent="0.2">
      <c r="A491" s="10" t="s">
        <v>21</v>
      </c>
      <c r="B491" s="157">
        <v>255</v>
      </c>
      <c r="C491" s="157">
        <f>C488-C490</f>
        <v>218.28</v>
      </c>
      <c r="D491" s="157">
        <f>D488-D490</f>
        <v>274.49</v>
      </c>
      <c r="E491" s="157">
        <v>173.78</v>
      </c>
      <c r="F491" s="176">
        <f t="shared" ref="F491:K491" si="21">F488-F490</f>
        <v>220.75</v>
      </c>
      <c r="G491" s="157">
        <f t="shared" si="21"/>
        <v>165.25</v>
      </c>
      <c r="H491" s="157">
        <f t="shared" si="21"/>
        <v>255</v>
      </c>
      <c r="I491" s="157">
        <f t="shared" si="21"/>
        <v>173</v>
      </c>
      <c r="J491" s="157">
        <f t="shared" si="21"/>
        <v>140</v>
      </c>
      <c r="K491" s="157">
        <f t="shared" si="21"/>
        <v>124</v>
      </c>
      <c r="L491" s="157"/>
    </row>
    <row r="492" spans="1:13" x14ac:dyDescent="0.2">
      <c r="A492" s="16" t="s">
        <v>22</v>
      </c>
      <c r="B492" s="160">
        <v>2017</v>
      </c>
      <c r="C492" s="179">
        <v>2018</v>
      </c>
      <c r="D492" s="160">
        <v>2019</v>
      </c>
      <c r="E492" s="180">
        <v>2020</v>
      </c>
      <c r="F492" s="180">
        <v>2021</v>
      </c>
      <c r="G492" s="180">
        <v>2022</v>
      </c>
      <c r="H492" s="180">
        <v>2023</v>
      </c>
      <c r="I492" s="180">
        <v>2024</v>
      </c>
      <c r="J492" s="180">
        <v>2025</v>
      </c>
      <c r="K492" s="180">
        <v>2026</v>
      </c>
      <c r="L492" s="180">
        <v>2027</v>
      </c>
    </row>
    <row r="493" spans="1:13" x14ac:dyDescent="0.2">
      <c r="A493" s="16" t="s">
        <v>23</v>
      </c>
      <c r="B493" s="16"/>
      <c r="C493" s="46"/>
      <c r="D493" s="46"/>
      <c r="E493" s="46"/>
      <c r="F493" s="46"/>
      <c r="G493" s="46"/>
      <c r="H493" s="46"/>
      <c r="I493" s="46"/>
      <c r="J493" s="47"/>
      <c r="K493" s="47"/>
      <c r="L493" s="188"/>
    </row>
    <row r="494" spans="1:13" x14ac:dyDescent="0.2">
      <c r="A494" s="653" t="s">
        <v>94</v>
      </c>
      <c r="B494" s="654"/>
      <c r="C494" s="654"/>
      <c r="D494" s="654"/>
      <c r="E494" s="654"/>
      <c r="F494" s="654"/>
      <c r="G494" s="46"/>
      <c r="H494" s="46"/>
      <c r="I494" s="46"/>
      <c r="J494" s="46"/>
      <c r="K494" s="19"/>
      <c r="L494" s="63"/>
    </row>
    <row r="495" spans="1:13" x14ac:dyDescent="0.2">
      <c r="A495" s="162" t="s">
        <v>348</v>
      </c>
      <c r="B495" s="32"/>
      <c r="C495" s="32"/>
      <c r="D495" s="32"/>
      <c r="E495" s="32"/>
      <c r="F495" s="32"/>
      <c r="L495" s="64"/>
    </row>
    <row r="496" spans="1:13" x14ac:dyDescent="0.2">
      <c r="A496" s="162" t="s">
        <v>349</v>
      </c>
      <c r="B496" s="32"/>
      <c r="C496" s="32"/>
      <c r="D496" s="32"/>
      <c r="E496" s="32"/>
      <c r="F496" s="32"/>
      <c r="L496" s="64"/>
    </row>
    <row r="497" spans="1:12" ht="13.15" customHeight="1" x14ac:dyDescent="0.2">
      <c r="A497" s="39" t="s">
        <v>350</v>
      </c>
      <c r="L497" s="64"/>
    </row>
    <row r="498" spans="1:12" x14ac:dyDescent="0.2">
      <c r="A498" s="162" t="s">
        <v>445</v>
      </c>
      <c r="B498" s="32"/>
      <c r="C498" s="32"/>
      <c r="D498" s="32"/>
      <c r="E498" s="32"/>
      <c r="F498" s="32"/>
      <c r="L498" s="64"/>
    </row>
    <row r="499" spans="1:12" x14ac:dyDescent="0.2">
      <c r="A499" s="162" t="s">
        <v>446</v>
      </c>
      <c r="B499" s="32"/>
      <c r="C499" s="32"/>
      <c r="D499" s="32"/>
      <c r="E499" s="32"/>
      <c r="F499" s="32"/>
      <c r="L499" s="64"/>
    </row>
    <row r="500" spans="1:12" x14ac:dyDescent="0.2">
      <c r="A500" s="39" t="s">
        <v>655</v>
      </c>
      <c r="B500" s="32"/>
      <c r="C500" s="32"/>
      <c r="D500" s="32"/>
      <c r="E500" s="32"/>
      <c r="F500" s="32"/>
      <c r="L500" s="64"/>
    </row>
    <row r="501" spans="1:12" x14ac:dyDescent="0.2">
      <c r="A501" s="39" t="s">
        <v>779</v>
      </c>
      <c r="L501" s="64"/>
    </row>
    <row r="502" spans="1:12" x14ac:dyDescent="0.2">
      <c r="A502" s="39" t="s">
        <v>971</v>
      </c>
      <c r="L502" s="64"/>
    </row>
    <row r="503" spans="1:12" x14ac:dyDescent="0.2">
      <c r="A503" s="42" t="s">
        <v>1165</v>
      </c>
      <c r="B503" s="34"/>
      <c r="C503" s="34"/>
      <c r="D503" s="34"/>
      <c r="E503" s="34"/>
      <c r="F503" s="34"/>
      <c r="G503" s="34"/>
      <c r="H503" s="34"/>
      <c r="I503" s="34"/>
      <c r="J503" s="34"/>
      <c r="K503" s="34"/>
      <c r="L503" s="48"/>
    </row>
    <row r="505" spans="1:12" x14ac:dyDescent="0.2">
      <c r="A505" s="6" t="s">
        <v>14</v>
      </c>
      <c r="B505" s="7" t="s">
        <v>641</v>
      </c>
      <c r="C505" s="9" t="s">
        <v>15</v>
      </c>
    </row>
    <row r="506" spans="1:12" x14ac:dyDescent="0.2">
      <c r="A506" s="10" t="s">
        <v>16</v>
      </c>
      <c r="B506" s="155">
        <v>2015</v>
      </c>
      <c r="C506" s="173">
        <v>2016</v>
      </c>
      <c r="D506" s="155">
        <v>2017</v>
      </c>
      <c r="E506" s="174">
        <v>2018</v>
      </c>
      <c r="F506" s="174">
        <v>2019</v>
      </c>
      <c r="G506" s="155">
        <v>2020</v>
      </c>
      <c r="H506" s="155">
        <v>2021</v>
      </c>
      <c r="I506" s="155">
        <v>2022</v>
      </c>
      <c r="J506" s="155">
        <v>2023</v>
      </c>
      <c r="K506" s="155">
        <v>2024</v>
      </c>
      <c r="L506" s="90">
        <v>2025</v>
      </c>
    </row>
    <row r="507" spans="1:12" x14ac:dyDescent="0.2">
      <c r="A507" s="10" t="s">
        <v>17</v>
      </c>
      <c r="B507" s="157">
        <v>459</v>
      </c>
      <c r="C507" s="175">
        <v>459</v>
      </c>
      <c r="D507" s="157">
        <v>459</v>
      </c>
      <c r="E507" s="176">
        <v>459</v>
      </c>
      <c r="F507" s="176">
        <v>459</v>
      </c>
      <c r="G507" s="157">
        <v>459</v>
      </c>
      <c r="H507" s="157">
        <v>459</v>
      </c>
      <c r="I507" s="157">
        <v>459</v>
      </c>
      <c r="J507" s="157">
        <v>459</v>
      </c>
      <c r="K507" s="157">
        <v>459</v>
      </c>
      <c r="L507" s="90">
        <v>459</v>
      </c>
    </row>
    <row r="508" spans="1:12" x14ac:dyDescent="0.2">
      <c r="A508" s="10" t="s">
        <v>18</v>
      </c>
      <c r="B508" s="157">
        <v>587.9</v>
      </c>
      <c r="C508" s="175">
        <v>535.9</v>
      </c>
      <c r="D508" s="157">
        <v>516.9</v>
      </c>
      <c r="E508" s="176">
        <v>559.9</v>
      </c>
      <c r="F508" s="176">
        <v>546.79999999999995</v>
      </c>
      <c r="G508" s="157">
        <v>550.79999999999995</v>
      </c>
      <c r="H508" s="157">
        <v>550.79999999999995</v>
      </c>
      <c r="I508" s="157">
        <f>I507+H511</f>
        <v>477.79999999999995</v>
      </c>
      <c r="J508" s="157">
        <f>J507+0.1*I507</f>
        <v>504.9</v>
      </c>
      <c r="K508" s="157">
        <f>K507+0.1*J507</f>
        <v>504.9</v>
      </c>
      <c r="L508" s="90">
        <v>504.9</v>
      </c>
    </row>
    <row r="509" spans="1:12" x14ac:dyDescent="0.2">
      <c r="A509" s="10" t="s">
        <v>19</v>
      </c>
      <c r="B509" s="177" t="s">
        <v>95</v>
      </c>
      <c r="C509" s="177" t="s">
        <v>96</v>
      </c>
      <c r="D509" s="177" t="s">
        <v>97</v>
      </c>
      <c r="E509" s="178" t="s">
        <v>376</v>
      </c>
      <c r="F509" s="178" t="s">
        <v>377</v>
      </c>
      <c r="G509" s="11" t="s">
        <v>352</v>
      </c>
      <c r="H509" s="11" t="s">
        <v>352</v>
      </c>
      <c r="I509" s="11" t="str">
        <f>"=459+18.8"</f>
        <v>=459+18.8</v>
      </c>
      <c r="J509" s="11" t="s">
        <v>780</v>
      </c>
      <c r="K509" s="11" t="s">
        <v>780</v>
      </c>
      <c r="L509" s="90" t="s">
        <v>780</v>
      </c>
    </row>
    <row r="510" spans="1:12" x14ac:dyDescent="0.2">
      <c r="A510" s="10" t="s">
        <v>20</v>
      </c>
      <c r="B510" s="157">
        <v>511</v>
      </c>
      <c r="C510" s="175">
        <v>478</v>
      </c>
      <c r="D510" s="157">
        <v>416</v>
      </c>
      <c r="E510" s="157">
        <v>472.1</v>
      </c>
      <c r="F510" s="176">
        <v>395.31</v>
      </c>
      <c r="G510" s="157">
        <v>353.05</v>
      </c>
      <c r="H510" s="157">
        <v>532</v>
      </c>
      <c r="I510" s="157">
        <v>420</v>
      </c>
      <c r="J510" s="157">
        <v>379</v>
      </c>
      <c r="K510" s="157">
        <v>459</v>
      </c>
      <c r="L510" s="90"/>
    </row>
    <row r="511" spans="1:12" x14ac:dyDescent="0.2">
      <c r="A511" s="10" t="s">
        <v>21</v>
      </c>
      <c r="B511" s="157">
        <v>76.900000000000006</v>
      </c>
      <c r="C511" s="175">
        <v>57.9</v>
      </c>
      <c r="D511" s="157">
        <v>100.9</v>
      </c>
      <c r="E511" s="157">
        <v>87.799999999999955</v>
      </c>
      <c r="F511" s="176">
        <v>151.48999999999995</v>
      </c>
      <c r="G511" s="157">
        <f>G508-G510</f>
        <v>197.74999999999994</v>
      </c>
      <c r="H511" s="157">
        <f>H508-H510</f>
        <v>18.799999999999955</v>
      </c>
      <c r="I511" s="157">
        <f>I508-I510</f>
        <v>57.799999999999955</v>
      </c>
      <c r="J511" s="157">
        <f>J508-J510</f>
        <v>125.89999999999998</v>
      </c>
      <c r="K511" s="157">
        <f>K508-K510</f>
        <v>45.899999999999977</v>
      </c>
      <c r="L511" s="90"/>
    </row>
    <row r="512" spans="1:12" x14ac:dyDescent="0.2">
      <c r="A512" s="16" t="s">
        <v>22</v>
      </c>
      <c r="B512" s="160">
        <v>2016</v>
      </c>
      <c r="C512" s="179">
        <v>2017</v>
      </c>
      <c r="D512" s="160">
        <v>2018</v>
      </c>
      <c r="E512" s="180">
        <v>2019</v>
      </c>
      <c r="F512" s="180">
        <v>2020</v>
      </c>
      <c r="G512" s="180">
        <v>2021</v>
      </c>
      <c r="H512" s="180">
        <v>2022</v>
      </c>
      <c r="I512" s="180">
        <v>2023</v>
      </c>
      <c r="J512" s="180">
        <v>2024</v>
      </c>
      <c r="K512" s="180">
        <v>2025</v>
      </c>
      <c r="L512" s="90">
        <v>2026</v>
      </c>
    </row>
    <row r="513" spans="1:12" x14ac:dyDescent="0.2">
      <c r="A513" s="16" t="s">
        <v>23</v>
      </c>
      <c r="B513" s="29"/>
      <c r="C513" s="30"/>
      <c r="D513" s="30"/>
      <c r="E513" s="30"/>
      <c r="F513" s="30"/>
      <c r="G513" s="30"/>
      <c r="H513" s="30"/>
      <c r="I513" s="30"/>
      <c r="J513" s="30"/>
      <c r="K513" s="30"/>
      <c r="L513" s="88"/>
    </row>
    <row r="514" spans="1:12" ht="13.15" customHeight="1" x14ac:dyDescent="0.2">
      <c r="A514" s="18" t="s">
        <v>98</v>
      </c>
      <c r="B514" s="19"/>
      <c r="C514" s="19"/>
      <c r="D514" s="19"/>
      <c r="E514" s="19"/>
      <c r="F514" s="19"/>
      <c r="G514" s="19"/>
      <c r="H514" s="19"/>
      <c r="I514" s="19"/>
      <c r="J514" s="19"/>
      <c r="K514" s="19"/>
      <c r="L514" s="63"/>
    </row>
    <row r="515" spans="1:12" ht="13.15" customHeight="1" x14ac:dyDescent="0.2">
      <c r="A515" s="651" t="s">
        <v>378</v>
      </c>
      <c r="B515" s="652"/>
      <c r="C515" s="652"/>
      <c r="D515" s="652"/>
      <c r="E515" s="652"/>
      <c r="F515" s="652"/>
      <c r="L515" s="64"/>
    </row>
    <row r="516" spans="1:12" x14ac:dyDescent="0.2">
      <c r="A516" s="162" t="s">
        <v>353</v>
      </c>
      <c r="B516" s="32"/>
      <c r="C516" s="32"/>
      <c r="D516" s="32"/>
      <c r="E516" s="32"/>
      <c r="F516" s="32"/>
      <c r="L516" s="64"/>
    </row>
    <row r="517" spans="1:12" x14ac:dyDescent="0.2">
      <c r="A517" s="162" t="s">
        <v>354</v>
      </c>
      <c r="B517" s="32"/>
      <c r="C517" s="32"/>
      <c r="D517" s="32"/>
      <c r="E517" s="32"/>
      <c r="F517" s="32"/>
      <c r="L517" s="64"/>
    </row>
    <row r="518" spans="1:12" ht="13.15" customHeight="1" x14ac:dyDescent="0.2">
      <c r="A518" s="162" t="s">
        <v>447</v>
      </c>
      <c r="B518" s="32"/>
      <c r="C518" s="32"/>
      <c r="D518" s="32"/>
      <c r="E518" s="32"/>
      <c r="F518" s="32"/>
      <c r="L518" s="64"/>
    </row>
    <row r="519" spans="1:12" ht="13.15" customHeight="1" x14ac:dyDescent="0.2">
      <c r="A519" s="162" t="s">
        <v>448</v>
      </c>
      <c r="B519" s="32"/>
      <c r="C519" s="32"/>
      <c r="D519" s="32"/>
      <c r="E519" s="32"/>
      <c r="F519" s="32"/>
      <c r="L519" s="64"/>
    </row>
    <row r="520" spans="1:12" ht="13.15" customHeight="1" x14ac:dyDescent="0.2">
      <c r="A520" s="162" t="s">
        <v>656</v>
      </c>
      <c r="B520" s="32"/>
      <c r="C520" s="32"/>
      <c r="D520" s="32"/>
      <c r="E520" s="32"/>
      <c r="F520" s="32"/>
      <c r="L520" s="64"/>
    </row>
    <row r="521" spans="1:12" ht="12.75" customHeight="1" x14ac:dyDescent="0.2">
      <c r="A521" s="162" t="s">
        <v>781</v>
      </c>
      <c r="B521" s="32"/>
      <c r="C521" s="32"/>
      <c r="D521" s="32"/>
      <c r="E521" s="32"/>
      <c r="F521" s="32"/>
      <c r="L521" s="64"/>
    </row>
    <row r="522" spans="1:12" ht="12.75" customHeight="1" x14ac:dyDescent="0.2">
      <c r="A522" s="162" t="s">
        <v>1167</v>
      </c>
      <c r="B522" s="32"/>
      <c r="C522" s="32"/>
      <c r="D522" s="32"/>
      <c r="E522" s="32"/>
      <c r="F522" s="32"/>
      <c r="L522" s="64"/>
    </row>
    <row r="523" spans="1:12" ht="12.75" customHeight="1" x14ac:dyDescent="0.2">
      <c r="A523" s="163" t="s">
        <v>1168</v>
      </c>
      <c r="B523" s="22"/>
      <c r="C523" s="22"/>
      <c r="D523" s="22"/>
      <c r="E523" s="22"/>
      <c r="F523" s="22"/>
      <c r="G523" s="34"/>
      <c r="H523" s="34"/>
      <c r="I523" s="34"/>
      <c r="J523" s="34"/>
      <c r="K523" s="34"/>
      <c r="L523" s="48"/>
    </row>
    <row r="525" spans="1:12" x14ac:dyDescent="0.2">
      <c r="A525" s="6" t="s">
        <v>14</v>
      </c>
      <c r="B525" s="7" t="s">
        <v>642</v>
      </c>
      <c r="C525" s="9" t="s">
        <v>15</v>
      </c>
    </row>
    <row r="526" spans="1:12" x14ac:dyDescent="0.2">
      <c r="A526" s="10" t="s">
        <v>16</v>
      </c>
      <c r="B526" s="155">
        <v>2015</v>
      </c>
      <c r="C526" s="173">
        <v>2016</v>
      </c>
      <c r="D526" s="155">
        <v>2017</v>
      </c>
      <c r="E526" s="174">
        <v>2018</v>
      </c>
      <c r="F526" s="174">
        <v>2019</v>
      </c>
      <c r="G526" s="155">
        <v>2020</v>
      </c>
      <c r="H526" s="155">
        <v>2021</v>
      </c>
      <c r="I526" s="155">
        <v>2022</v>
      </c>
      <c r="J526" s="155">
        <v>2023</v>
      </c>
      <c r="K526" s="155">
        <v>2024</v>
      </c>
      <c r="L526" s="155">
        <v>2025</v>
      </c>
    </row>
    <row r="527" spans="1:12" x14ac:dyDescent="0.2">
      <c r="A527" s="10" t="s">
        <v>17</v>
      </c>
      <c r="B527" s="12">
        <v>48.76</v>
      </c>
      <c r="C527" s="189">
        <v>58.28</v>
      </c>
      <c r="D527" s="12">
        <v>69.97</v>
      </c>
      <c r="E527" s="190">
        <v>79</v>
      </c>
      <c r="F527" s="190">
        <v>84</v>
      </c>
      <c r="G527" s="12">
        <v>90</v>
      </c>
      <c r="H527" s="12">
        <v>90</v>
      </c>
      <c r="I527" s="12">
        <v>90</v>
      </c>
      <c r="J527" s="12">
        <v>101</v>
      </c>
      <c r="K527" s="183">
        <v>101</v>
      </c>
      <c r="L527" s="183">
        <v>101</v>
      </c>
    </row>
    <row r="528" spans="1:12" x14ac:dyDescent="0.2">
      <c r="A528" s="10" t="s">
        <v>18</v>
      </c>
      <c r="B528" s="12">
        <v>38.76</v>
      </c>
      <c r="C528" s="189">
        <v>48.28</v>
      </c>
      <c r="D528" s="12">
        <v>59.97</v>
      </c>
      <c r="E528" s="190">
        <v>29</v>
      </c>
      <c r="F528" s="190">
        <v>34</v>
      </c>
      <c r="G528" s="12">
        <f>G527-50</f>
        <v>40</v>
      </c>
      <c r="H528" s="12">
        <f>H527-50</f>
        <v>40</v>
      </c>
      <c r="I528" s="12">
        <f>I527-50</f>
        <v>40</v>
      </c>
      <c r="J528" s="12">
        <v>51</v>
      </c>
      <c r="K528" s="183">
        <v>51</v>
      </c>
      <c r="L528" s="183">
        <v>51</v>
      </c>
    </row>
    <row r="529" spans="1:12" x14ac:dyDescent="0.2">
      <c r="A529" s="10" t="s">
        <v>19</v>
      </c>
      <c r="B529" s="191" t="s">
        <v>99</v>
      </c>
      <c r="C529" s="191" t="s">
        <v>100</v>
      </c>
      <c r="D529" s="191" t="s">
        <v>101</v>
      </c>
      <c r="E529" s="192" t="s">
        <v>102</v>
      </c>
      <c r="F529" s="192" t="s">
        <v>103</v>
      </c>
      <c r="G529" s="184" t="s">
        <v>355</v>
      </c>
      <c r="H529" s="184" t="s">
        <v>355</v>
      </c>
      <c r="I529" s="184" t="s">
        <v>355</v>
      </c>
      <c r="J529" s="184" t="s">
        <v>782</v>
      </c>
      <c r="K529" s="193" t="s">
        <v>1169</v>
      </c>
      <c r="L529" s="194" t="s">
        <v>1169</v>
      </c>
    </row>
    <row r="530" spans="1:12" x14ac:dyDescent="0.2">
      <c r="A530" s="10" t="s">
        <v>20</v>
      </c>
      <c r="B530" s="12">
        <v>0</v>
      </c>
      <c r="C530" s="189">
        <v>0</v>
      </c>
      <c r="D530" s="12">
        <v>0</v>
      </c>
      <c r="E530" s="12">
        <v>0</v>
      </c>
      <c r="F530" s="190">
        <v>0</v>
      </c>
      <c r="G530" s="12">
        <v>0</v>
      </c>
      <c r="H530" s="12">
        <v>0</v>
      </c>
      <c r="I530" s="12">
        <v>0</v>
      </c>
      <c r="J530" s="12">
        <v>0</v>
      </c>
      <c r="K530" s="183">
        <v>0</v>
      </c>
      <c r="L530" s="157"/>
    </row>
    <row r="531" spans="1:12" x14ac:dyDescent="0.2">
      <c r="A531" s="10" t="s">
        <v>21</v>
      </c>
      <c r="B531" s="12">
        <v>38.76</v>
      </c>
      <c r="C531" s="189">
        <v>48.28</v>
      </c>
      <c r="D531" s="12">
        <v>59.97</v>
      </c>
      <c r="E531" s="12">
        <v>29</v>
      </c>
      <c r="F531" s="190">
        <f>F528-F530</f>
        <v>34</v>
      </c>
      <c r="G531" s="12">
        <f>G528-G530</f>
        <v>40</v>
      </c>
      <c r="H531" s="12">
        <f>H528-H530</f>
        <v>40</v>
      </c>
      <c r="I531" s="12">
        <f>I528-I530</f>
        <v>40</v>
      </c>
      <c r="J531" s="12">
        <f t="shared" ref="J531" si="22">J528-J530</f>
        <v>51</v>
      </c>
      <c r="K531" s="12">
        <f>K528-K530</f>
        <v>51</v>
      </c>
      <c r="L531" s="157"/>
    </row>
    <row r="532" spans="1:12" x14ac:dyDescent="0.2">
      <c r="A532" s="16" t="s">
        <v>22</v>
      </c>
      <c r="B532" s="160">
        <v>2016</v>
      </c>
      <c r="C532" s="160">
        <v>2017</v>
      </c>
      <c r="D532" s="160">
        <v>2018</v>
      </c>
      <c r="E532" s="160">
        <v>2019</v>
      </c>
      <c r="F532" s="160">
        <v>2020</v>
      </c>
      <c r="G532" s="160">
        <v>2021</v>
      </c>
      <c r="H532" s="160">
        <v>2022</v>
      </c>
      <c r="I532" s="160">
        <v>2023</v>
      </c>
      <c r="J532" s="160">
        <v>2024</v>
      </c>
      <c r="K532" s="160">
        <v>2025</v>
      </c>
      <c r="L532" s="195">
        <v>2026</v>
      </c>
    </row>
    <row r="533" spans="1:12" x14ac:dyDescent="0.2">
      <c r="A533" s="16" t="s">
        <v>23</v>
      </c>
      <c r="B533" s="46"/>
      <c r="C533" s="46"/>
      <c r="D533" s="46"/>
      <c r="E533" s="46"/>
      <c r="F533" s="46"/>
      <c r="G533" s="46"/>
      <c r="H533" s="46"/>
      <c r="I533" s="46"/>
      <c r="J533" s="47"/>
      <c r="K533" s="47"/>
      <c r="L533" s="90"/>
    </row>
    <row r="534" spans="1:12" x14ac:dyDescent="0.2">
      <c r="A534" s="18" t="s">
        <v>104</v>
      </c>
      <c r="B534" s="19"/>
      <c r="C534" s="19"/>
      <c r="D534" s="19"/>
      <c r="E534" s="19"/>
      <c r="F534" s="19"/>
      <c r="G534" s="19"/>
      <c r="H534" s="19"/>
      <c r="I534" s="19"/>
      <c r="J534" s="19"/>
      <c r="K534" s="19"/>
      <c r="L534" s="63"/>
    </row>
    <row r="535" spans="1:12" x14ac:dyDescent="0.2">
      <c r="A535" s="39" t="s">
        <v>356</v>
      </c>
      <c r="L535" s="64"/>
    </row>
    <row r="536" spans="1:12" x14ac:dyDescent="0.2">
      <c r="A536" s="39" t="s">
        <v>449</v>
      </c>
      <c r="L536" s="64"/>
    </row>
    <row r="537" spans="1:12" x14ac:dyDescent="0.2">
      <c r="A537" s="39" t="s">
        <v>657</v>
      </c>
      <c r="L537" s="64"/>
    </row>
    <row r="538" spans="1:12" x14ac:dyDescent="0.2">
      <c r="A538" s="39" t="s">
        <v>783</v>
      </c>
      <c r="L538" s="64"/>
    </row>
    <row r="539" spans="1:12" x14ac:dyDescent="0.2">
      <c r="A539" s="39" t="s">
        <v>961</v>
      </c>
      <c r="L539" s="64"/>
    </row>
    <row r="540" spans="1:12" x14ac:dyDescent="0.2">
      <c r="A540" s="163" t="s">
        <v>1170</v>
      </c>
      <c r="B540" s="22"/>
      <c r="C540" s="22"/>
      <c r="D540" s="22"/>
      <c r="E540" s="22"/>
      <c r="F540" s="22"/>
      <c r="G540" s="34"/>
      <c r="H540" s="34"/>
      <c r="I540" s="34"/>
      <c r="J540" s="34"/>
      <c r="K540" s="34"/>
      <c r="L540" s="48"/>
    </row>
    <row r="541" spans="1:12" x14ac:dyDescent="0.2">
      <c r="A541" s="41"/>
      <c r="B541" s="34"/>
    </row>
    <row r="542" spans="1:12" x14ac:dyDescent="0.2">
      <c r="A542" s="6" t="s">
        <v>14</v>
      </c>
      <c r="B542" s="7" t="s">
        <v>66</v>
      </c>
      <c r="C542" s="9" t="s">
        <v>15</v>
      </c>
    </row>
    <row r="543" spans="1:12" x14ac:dyDescent="0.2">
      <c r="A543" s="10" t="s">
        <v>16</v>
      </c>
      <c r="B543" s="155">
        <v>2015</v>
      </c>
      <c r="C543" s="173">
        <v>2016</v>
      </c>
      <c r="D543" s="155">
        <v>2017</v>
      </c>
      <c r="E543" s="174">
        <v>2018</v>
      </c>
      <c r="F543" s="174">
        <v>2019</v>
      </c>
      <c r="G543" s="155">
        <v>2020</v>
      </c>
      <c r="H543" s="155">
        <v>2021</v>
      </c>
      <c r="I543" s="155">
        <v>2022</v>
      </c>
      <c r="J543" s="155">
        <v>2023</v>
      </c>
      <c r="K543" s="155">
        <v>2024</v>
      </c>
      <c r="L543" s="155">
        <v>2025</v>
      </c>
    </row>
    <row r="544" spans="1:12" x14ac:dyDescent="0.2">
      <c r="A544" s="10" t="s">
        <v>17</v>
      </c>
      <c r="B544" s="157">
        <v>15583</v>
      </c>
      <c r="C544" s="175">
        <v>11679</v>
      </c>
      <c r="D544" s="157">
        <v>11679</v>
      </c>
      <c r="E544" s="176">
        <v>11679</v>
      </c>
      <c r="F544" s="176">
        <v>11679</v>
      </c>
      <c r="G544" s="157">
        <v>9226.41</v>
      </c>
      <c r="H544" s="157">
        <v>9078.7900000000009</v>
      </c>
      <c r="I544" s="157">
        <v>9152.6</v>
      </c>
      <c r="J544" s="157">
        <v>9152.6</v>
      </c>
      <c r="K544" s="157">
        <v>9152.6</v>
      </c>
      <c r="L544" s="157">
        <v>9151.19</v>
      </c>
    </row>
    <row r="545" spans="1:12" x14ac:dyDescent="0.2">
      <c r="A545" s="10" t="s">
        <v>18</v>
      </c>
      <c r="B545" s="157">
        <v>20187.900000000001</v>
      </c>
      <c r="C545" s="175">
        <v>16353.9</v>
      </c>
      <c r="D545" s="157">
        <f>14016.45</f>
        <v>14016.45</v>
      </c>
      <c r="E545" s="176">
        <v>13653.85</v>
      </c>
      <c r="F545" s="176">
        <v>13653.85</v>
      </c>
      <c r="G545" s="157">
        <f>G544+E544*0.15+223</f>
        <v>11201.26</v>
      </c>
      <c r="H545" s="157">
        <f>H544+0.1*F544+223</f>
        <v>10469.69</v>
      </c>
      <c r="I545" s="157">
        <f>I544+0.1*G544+223</f>
        <v>10298.241</v>
      </c>
      <c r="J545" s="157">
        <f>J544+0.1*H544+223</f>
        <v>10283.479000000001</v>
      </c>
      <c r="K545" s="157">
        <f>K544+0.1*I544+223</f>
        <v>10290.86</v>
      </c>
      <c r="L545" s="157">
        <v>9383.67</v>
      </c>
    </row>
    <row r="546" spans="1:12" ht="25.5" x14ac:dyDescent="0.2">
      <c r="A546" s="10" t="s">
        <v>19</v>
      </c>
      <c r="B546" s="177" t="s">
        <v>105</v>
      </c>
      <c r="C546" s="177" t="s">
        <v>106</v>
      </c>
      <c r="D546" s="177" t="s">
        <v>107</v>
      </c>
      <c r="E546" s="178" t="s">
        <v>108</v>
      </c>
      <c r="F546" s="178" t="s">
        <v>108</v>
      </c>
      <c r="G546" s="196" t="s">
        <v>450</v>
      </c>
      <c r="H546" s="196" t="s">
        <v>1171</v>
      </c>
      <c r="I546" s="196" t="s">
        <v>1172</v>
      </c>
      <c r="J546" s="196" t="s">
        <v>1172</v>
      </c>
      <c r="K546" s="185" t="s">
        <v>1172</v>
      </c>
      <c r="L546" s="185" t="s">
        <v>1238</v>
      </c>
    </row>
    <row r="547" spans="1:12" x14ac:dyDescent="0.2">
      <c r="A547" s="10" t="s">
        <v>20</v>
      </c>
      <c r="B547" s="157">
        <v>16453</v>
      </c>
      <c r="C547" s="175">
        <v>13115</v>
      </c>
      <c r="D547" s="157">
        <v>11845</v>
      </c>
      <c r="E547" s="157">
        <v>11630</v>
      </c>
      <c r="F547" s="176">
        <v>11288</v>
      </c>
      <c r="G547" s="157">
        <v>9226</v>
      </c>
      <c r="H547" s="157">
        <v>4092.6</v>
      </c>
      <c r="I547" s="157">
        <v>8181</v>
      </c>
      <c r="J547" s="157">
        <v>10274</v>
      </c>
      <c r="K547" s="157">
        <v>10144</v>
      </c>
      <c r="L547" s="157"/>
    </row>
    <row r="548" spans="1:12" x14ac:dyDescent="0.2">
      <c r="A548" s="10" t="s">
        <v>21</v>
      </c>
      <c r="B548" s="157">
        <v>3734.9</v>
      </c>
      <c r="C548" s="175">
        <v>3238.9</v>
      </c>
      <c r="D548" s="157">
        <v>2171.4499999999998</v>
      </c>
      <c r="E548" s="157">
        <v>2023.85</v>
      </c>
      <c r="F548" s="176">
        <f t="shared" ref="F548:K548" si="23">F545-F547</f>
        <v>2365.8500000000004</v>
      </c>
      <c r="G548" s="157">
        <f t="shared" si="23"/>
        <v>1975.2600000000002</v>
      </c>
      <c r="H548" s="157">
        <f t="shared" si="23"/>
        <v>6377.09</v>
      </c>
      <c r="I548" s="157">
        <f t="shared" si="23"/>
        <v>2117.241</v>
      </c>
      <c r="J548" s="157">
        <f t="shared" si="23"/>
        <v>9.4790000000011787</v>
      </c>
      <c r="K548" s="157">
        <f t="shared" si="23"/>
        <v>146.86000000000058</v>
      </c>
      <c r="L548" s="157"/>
    </row>
    <row r="549" spans="1:12" x14ac:dyDescent="0.2">
      <c r="A549" s="16" t="s">
        <v>22</v>
      </c>
      <c r="B549" s="160">
        <v>2017</v>
      </c>
      <c r="C549" s="179">
        <v>2018</v>
      </c>
      <c r="D549" s="160">
        <v>2019</v>
      </c>
      <c r="E549" s="160">
        <v>2020</v>
      </c>
      <c r="F549" s="180">
        <v>2021</v>
      </c>
      <c r="G549" s="160">
        <v>2022</v>
      </c>
      <c r="H549" s="160">
        <v>2023</v>
      </c>
      <c r="I549" s="160">
        <v>2024</v>
      </c>
      <c r="J549" s="160">
        <v>2025</v>
      </c>
      <c r="K549" s="160">
        <v>2026</v>
      </c>
      <c r="L549" s="160">
        <v>2027</v>
      </c>
    </row>
    <row r="550" spans="1:12" x14ac:dyDescent="0.2">
      <c r="A550" s="29" t="s">
        <v>23</v>
      </c>
      <c r="B550" s="30"/>
      <c r="C550" s="30"/>
      <c r="D550" s="30"/>
      <c r="E550" s="30"/>
      <c r="F550" s="30"/>
      <c r="G550" s="30"/>
      <c r="H550" s="88"/>
      <c r="I550" s="88"/>
      <c r="J550" s="88"/>
      <c r="K550" s="88"/>
      <c r="L550" s="88"/>
    </row>
    <row r="551" spans="1:12" x14ac:dyDescent="0.2">
      <c r="A551" s="18" t="s">
        <v>109</v>
      </c>
      <c r="B551" s="19"/>
      <c r="C551" s="19"/>
      <c r="D551" s="19"/>
      <c r="E551" s="19"/>
      <c r="F551" s="19"/>
      <c r="G551" s="19"/>
      <c r="H551" s="19"/>
      <c r="I551" s="19"/>
      <c r="J551" s="19"/>
      <c r="K551" s="19"/>
      <c r="L551" s="63"/>
    </row>
    <row r="552" spans="1:12" x14ac:dyDescent="0.2">
      <c r="A552" s="39" t="s">
        <v>357</v>
      </c>
      <c r="L552" s="64"/>
    </row>
    <row r="553" spans="1:12" x14ac:dyDescent="0.2">
      <c r="A553" s="39" t="s">
        <v>357</v>
      </c>
      <c r="L553" s="64"/>
    </row>
    <row r="554" spans="1:12" x14ac:dyDescent="0.2">
      <c r="A554" s="151" t="s">
        <v>1173</v>
      </c>
      <c r="L554" s="64"/>
    </row>
    <row r="555" spans="1:12" x14ac:dyDescent="0.2">
      <c r="A555" s="151" t="s">
        <v>1174</v>
      </c>
      <c r="L555" s="64"/>
    </row>
    <row r="556" spans="1:12" x14ac:dyDescent="0.2">
      <c r="A556" s="197" t="s">
        <v>1175</v>
      </c>
      <c r="B556" s="32"/>
      <c r="C556" s="32"/>
      <c r="D556" s="32"/>
      <c r="E556" s="32"/>
      <c r="F556" s="32"/>
      <c r="L556" s="64"/>
    </row>
    <row r="557" spans="1:12" x14ac:dyDescent="0.2">
      <c r="A557" s="197" t="s">
        <v>1176</v>
      </c>
      <c r="B557" s="32"/>
      <c r="C557" s="32"/>
      <c r="D557" s="32"/>
      <c r="E557" s="32"/>
      <c r="F557" s="32"/>
      <c r="L557" s="64"/>
    </row>
    <row r="558" spans="1:12" x14ac:dyDescent="0.2">
      <c r="A558" s="163" t="s">
        <v>1237</v>
      </c>
      <c r="B558" s="22"/>
      <c r="C558" s="22"/>
      <c r="D558" s="22"/>
      <c r="E558" s="22"/>
      <c r="F558" s="22"/>
      <c r="G558" s="34"/>
      <c r="H558" s="34"/>
      <c r="I558" s="34"/>
      <c r="J558" s="34"/>
      <c r="K558" s="34"/>
      <c r="L558" s="48"/>
    </row>
    <row r="560" spans="1:12" x14ac:dyDescent="0.2">
      <c r="A560" s="6" t="s">
        <v>14</v>
      </c>
      <c r="B560" s="7" t="s">
        <v>74</v>
      </c>
      <c r="C560" s="9" t="s">
        <v>15</v>
      </c>
    </row>
    <row r="561" spans="1:12" x14ac:dyDescent="0.2">
      <c r="A561" s="10" t="s">
        <v>16</v>
      </c>
      <c r="B561" s="155">
        <v>2015</v>
      </c>
      <c r="C561" s="173">
        <v>2016</v>
      </c>
      <c r="D561" s="155">
        <v>2017</v>
      </c>
      <c r="E561" s="174">
        <v>2018</v>
      </c>
      <c r="F561" s="174">
        <v>2019</v>
      </c>
      <c r="G561" s="155">
        <v>2020</v>
      </c>
      <c r="H561" s="155">
        <v>2021</v>
      </c>
      <c r="I561" s="155">
        <v>2022</v>
      </c>
      <c r="J561" s="155">
        <v>2023</v>
      </c>
      <c r="K561" s="155">
        <v>2024</v>
      </c>
      <c r="L561" s="155">
        <v>2025</v>
      </c>
    </row>
    <row r="562" spans="1:12" x14ac:dyDescent="0.2">
      <c r="A562" s="10" t="s">
        <v>17</v>
      </c>
      <c r="B562" s="12">
        <v>150</v>
      </c>
      <c r="C562" s="189">
        <v>150</v>
      </c>
      <c r="D562" s="12">
        <v>150</v>
      </c>
      <c r="E562" s="190">
        <v>150</v>
      </c>
      <c r="F562" s="190">
        <v>150</v>
      </c>
      <c r="G562" s="12">
        <v>126.2</v>
      </c>
      <c r="H562" s="12">
        <v>126.2</v>
      </c>
      <c r="I562" s="12">
        <v>126.2</v>
      </c>
      <c r="J562" s="12">
        <v>126.2</v>
      </c>
      <c r="K562" s="12">
        <v>126.2</v>
      </c>
      <c r="L562" s="12">
        <v>126.2</v>
      </c>
    </row>
    <row r="563" spans="1:12" x14ac:dyDescent="0.2">
      <c r="A563" s="10" t="s">
        <v>18</v>
      </c>
      <c r="B563" s="12">
        <v>165</v>
      </c>
      <c r="C563" s="189">
        <v>165</v>
      </c>
      <c r="D563" s="12">
        <v>165</v>
      </c>
      <c r="E563" s="190">
        <v>165</v>
      </c>
      <c r="F563" s="190">
        <v>165</v>
      </c>
      <c r="G563" s="12">
        <f>G562+0.1*E562</f>
        <v>141.19999999999999</v>
      </c>
      <c r="H563" s="12">
        <f>H562+0.1*F562</f>
        <v>141.19999999999999</v>
      </c>
      <c r="I563" s="12"/>
      <c r="J563" s="12"/>
      <c r="K563" s="12"/>
      <c r="L563" s="12"/>
    </row>
    <row r="564" spans="1:12" x14ac:dyDescent="0.2">
      <c r="A564" s="10" t="s">
        <v>19</v>
      </c>
      <c r="B564" s="191" t="s">
        <v>110</v>
      </c>
      <c r="C564" s="191" t="s">
        <v>110</v>
      </c>
      <c r="D564" s="191" t="s">
        <v>110</v>
      </c>
      <c r="E564" s="192" t="s">
        <v>110</v>
      </c>
      <c r="F564" s="192" t="s">
        <v>110</v>
      </c>
      <c r="G564" s="192" t="s">
        <v>358</v>
      </c>
      <c r="H564" s="192" t="s">
        <v>358</v>
      </c>
      <c r="I564" s="192"/>
      <c r="J564" s="192"/>
      <c r="K564" s="192"/>
      <c r="L564" s="192"/>
    </row>
    <row r="565" spans="1:12" x14ac:dyDescent="0.2">
      <c r="A565" s="10" t="s">
        <v>20</v>
      </c>
      <c r="B565" s="12">
        <v>61</v>
      </c>
      <c r="C565" s="189">
        <v>75</v>
      </c>
      <c r="D565" s="12">
        <v>73</v>
      </c>
      <c r="E565" s="12">
        <v>74</v>
      </c>
      <c r="F565" s="190">
        <v>40</v>
      </c>
      <c r="G565" s="12">
        <v>91.4</v>
      </c>
      <c r="H565" s="12">
        <v>96.1</v>
      </c>
      <c r="I565" s="12">
        <v>58</v>
      </c>
      <c r="J565" s="12">
        <v>71</v>
      </c>
      <c r="K565" s="12">
        <v>126</v>
      </c>
      <c r="L565" s="12"/>
    </row>
    <row r="566" spans="1:12" x14ac:dyDescent="0.2">
      <c r="A566" s="10" t="s">
        <v>21</v>
      </c>
      <c r="B566" s="12">
        <v>104</v>
      </c>
      <c r="C566" s="189">
        <v>90</v>
      </c>
      <c r="D566" s="12">
        <v>92</v>
      </c>
      <c r="E566" s="12">
        <v>91</v>
      </c>
      <c r="F566" s="190">
        <f>F563-F565</f>
        <v>125</v>
      </c>
      <c r="G566" s="12">
        <f>G563-G565</f>
        <v>49.799999999999983</v>
      </c>
      <c r="H566" s="12">
        <f>H563-H565</f>
        <v>45.099999999999994</v>
      </c>
      <c r="I566" s="12">
        <f>I562-I565</f>
        <v>68.2</v>
      </c>
      <c r="J566" s="12">
        <f>J562-J565</f>
        <v>55.2</v>
      </c>
      <c r="K566" s="12">
        <f>K562-K565</f>
        <v>0.20000000000000284</v>
      </c>
      <c r="L566" s="12"/>
    </row>
    <row r="567" spans="1:12" x14ac:dyDescent="0.2">
      <c r="A567" s="16" t="s">
        <v>22</v>
      </c>
      <c r="B567" s="160">
        <v>2017</v>
      </c>
      <c r="C567" s="179">
        <v>2018</v>
      </c>
      <c r="D567" s="160">
        <v>2019</v>
      </c>
      <c r="E567" s="160">
        <v>2020</v>
      </c>
      <c r="F567" s="180">
        <v>2021</v>
      </c>
      <c r="G567" s="160" t="s">
        <v>161</v>
      </c>
      <c r="H567" s="160" t="s">
        <v>161</v>
      </c>
      <c r="I567" s="160" t="s">
        <v>161</v>
      </c>
      <c r="J567" s="160" t="s">
        <v>161</v>
      </c>
      <c r="K567" s="160" t="s">
        <v>161</v>
      </c>
      <c r="L567" s="160" t="s">
        <v>161</v>
      </c>
    </row>
    <row r="568" spans="1:12" x14ac:dyDescent="0.2">
      <c r="A568" s="29" t="s">
        <v>23</v>
      </c>
      <c r="B568" s="30"/>
      <c r="C568" s="30"/>
      <c r="D568" s="30"/>
      <c r="E568" s="30"/>
      <c r="F568" s="30"/>
      <c r="G568" s="30"/>
      <c r="H568" s="88"/>
      <c r="I568" s="88"/>
      <c r="J568" s="30"/>
      <c r="K568" s="30"/>
      <c r="L568" s="88"/>
    </row>
    <row r="569" spans="1:12" x14ac:dyDescent="0.2">
      <c r="A569" s="659" t="s">
        <v>111</v>
      </c>
      <c r="B569" s="660"/>
      <c r="C569" s="660"/>
      <c r="D569" s="660"/>
      <c r="E569" s="660"/>
      <c r="F569" s="660"/>
      <c r="G569" s="19"/>
      <c r="H569" s="19"/>
      <c r="I569" s="19"/>
      <c r="J569" s="19"/>
      <c r="K569" s="19"/>
      <c r="L569" s="63"/>
    </row>
    <row r="570" spans="1:12" x14ac:dyDescent="0.2">
      <c r="A570" s="162" t="s">
        <v>359</v>
      </c>
      <c r="B570" s="32"/>
      <c r="C570" s="32"/>
      <c r="D570" s="32"/>
      <c r="E570" s="32"/>
      <c r="F570" s="32"/>
      <c r="L570" s="64"/>
    </row>
    <row r="571" spans="1:12" x14ac:dyDescent="0.2">
      <c r="A571" s="162" t="s">
        <v>451</v>
      </c>
      <c r="B571" s="32"/>
      <c r="C571" s="32"/>
      <c r="D571" s="32"/>
      <c r="E571" s="32"/>
      <c r="F571" s="32"/>
      <c r="L571" s="64"/>
    </row>
    <row r="572" spans="1:12" x14ac:dyDescent="0.2">
      <c r="A572" s="162" t="s">
        <v>658</v>
      </c>
      <c r="B572" s="32"/>
      <c r="C572" s="32"/>
      <c r="D572" s="32"/>
      <c r="E572" s="32"/>
      <c r="F572" s="32"/>
      <c r="L572" s="64"/>
    </row>
    <row r="573" spans="1:12" x14ac:dyDescent="0.2">
      <c r="A573" s="41" t="s">
        <v>776</v>
      </c>
      <c r="B573" s="34"/>
      <c r="C573" s="34"/>
      <c r="D573" s="34"/>
      <c r="E573" s="34"/>
      <c r="F573" s="34"/>
      <c r="G573" s="34"/>
      <c r="H573" s="34"/>
      <c r="I573" s="34"/>
      <c r="J573" s="34"/>
      <c r="K573" s="34"/>
      <c r="L573" s="48"/>
    </row>
    <row r="575" spans="1:12" x14ac:dyDescent="0.2">
      <c r="A575" s="6" t="s">
        <v>14</v>
      </c>
      <c r="B575" s="7" t="s">
        <v>79</v>
      </c>
      <c r="C575" s="9" t="s">
        <v>15</v>
      </c>
    </row>
    <row r="576" spans="1:12" x14ac:dyDescent="0.2">
      <c r="A576" s="10" t="s">
        <v>16</v>
      </c>
      <c r="B576" s="155">
        <v>2015</v>
      </c>
      <c r="C576" s="173">
        <v>2016</v>
      </c>
      <c r="D576" s="155">
        <v>2017</v>
      </c>
      <c r="E576" s="174">
        <v>2018</v>
      </c>
      <c r="F576" s="174">
        <v>2019</v>
      </c>
      <c r="G576" s="155">
        <v>2020</v>
      </c>
      <c r="H576" s="155">
        <v>2021</v>
      </c>
      <c r="I576" s="155">
        <v>2022</v>
      </c>
      <c r="J576" s="155">
        <v>2023</v>
      </c>
      <c r="K576" s="155">
        <v>2024</v>
      </c>
      <c r="L576" s="155">
        <v>2025</v>
      </c>
    </row>
    <row r="577" spans="1:12" x14ac:dyDescent="0.2">
      <c r="A577" s="10" t="s">
        <v>17</v>
      </c>
      <c r="B577" s="12">
        <v>50</v>
      </c>
      <c r="C577" s="189">
        <v>50</v>
      </c>
      <c r="D577" s="12">
        <v>50</v>
      </c>
      <c r="E577" s="190">
        <v>50</v>
      </c>
      <c r="F577" s="190">
        <v>50</v>
      </c>
      <c r="G577" s="12">
        <v>50</v>
      </c>
      <c r="H577" s="12">
        <v>50</v>
      </c>
      <c r="I577" s="12">
        <v>50</v>
      </c>
      <c r="J577" s="12">
        <v>50</v>
      </c>
      <c r="K577" s="12">
        <v>50</v>
      </c>
      <c r="L577" s="12">
        <v>50</v>
      </c>
    </row>
    <row r="578" spans="1:12" x14ac:dyDescent="0.2">
      <c r="A578" s="10" t="s">
        <v>18</v>
      </c>
      <c r="B578" s="12">
        <v>55</v>
      </c>
      <c r="C578" s="189">
        <v>55</v>
      </c>
      <c r="D578" s="12">
        <v>55</v>
      </c>
      <c r="E578" s="190">
        <v>55</v>
      </c>
      <c r="F578" s="190">
        <v>55</v>
      </c>
      <c r="G578" s="12">
        <f>G577*1.1</f>
        <v>55.000000000000007</v>
      </c>
      <c r="H578" s="12">
        <f>H577*1.1</f>
        <v>55.000000000000007</v>
      </c>
      <c r="I578" s="12"/>
      <c r="J578" s="12"/>
      <c r="K578" s="12"/>
      <c r="L578" s="12"/>
    </row>
    <row r="579" spans="1:12" x14ac:dyDescent="0.2">
      <c r="A579" s="10" t="s">
        <v>19</v>
      </c>
      <c r="B579" s="191" t="s">
        <v>112</v>
      </c>
      <c r="C579" s="191" t="s">
        <v>112</v>
      </c>
      <c r="D579" s="191" t="s">
        <v>112</v>
      </c>
      <c r="E579" s="192" t="s">
        <v>112</v>
      </c>
      <c r="F579" s="192" t="s">
        <v>112</v>
      </c>
      <c r="G579" s="192" t="s">
        <v>112</v>
      </c>
      <c r="H579" s="192" t="s">
        <v>112</v>
      </c>
      <c r="I579" s="192"/>
      <c r="J579" s="192"/>
      <c r="K579" s="192"/>
      <c r="L579" s="192"/>
    </row>
    <row r="580" spans="1:12" x14ac:dyDescent="0.2">
      <c r="A580" s="10" t="s">
        <v>20</v>
      </c>
      <c r="B580" s="12">
        <v>12</v>
      </c>
      <c r="C580" s="12">
        <v>10</v>
      </c>
      <c r="D580" s="12">
        <v>5</v>
      </c>
      <c r="E580" s="12">
        <v>6</v>
      </c>
      <c r="F580" s="12">
        <v>2</v>
      </c>
      <c r="G580" s="12">
        <v>5.4</v>
      </c>
      <c r="H580" s="12">
        <v>5.2</v>
      </c>
      <c r="I580" s="12">
        <v>2</v>
      </c>
      <c r="J580" s="12">
        <v>1.3</v>
      </c>
      <c r="K580" s="12">
        <v>1.7</v>
      </c>
      <c r="L580" s="12"/>
    </row>
    <row r="581" spans="1:12" x14ac:dyDescent="0.2">
      <c r="A581" s="10" t="s">
        <v>21</v>
      </c>
      <c r="B581" s="12">
        <v>43</v>
      </c>
      <c r="C581" s="12">
        <f t="shared" ref="C581:H581" si="24">C578-C580</f>
        <v>45</v>
      </c>
      <c r="D581" s="12">
        <f t="shared" si="24"/>
        <v>50</v>
      </c>
      <c r="E581" s="12">
        <f t="shared" si="24"/>
        <v>49</v>
      </c>
      <c r="F581" s="12">
        <f t="shared" si="24"/>
        <v>53</v>
      </c>
      <c r="G581" s="12">
        <f t="shared" si="24"/>
        <v>49.600000000000009</v>
      </c>
      <c r="H581" s="12">
        <f t="shared" si="24"/>
        <v>49.800000000000004</v>
      </c>
      <c r="I581" s="12">
        <f>I577-I580</f>
        <v>48</v>
      </c>
      <c r="J581" s="12">
        <f>J577-J580</f>
        <v>48.7</v>
      </c>
      <c r="K581" s="12">
        <f>K577-K580</f>
        <v>48.3</v>
      </c>
      <c r="L581" s="12"/>
    </row>
    <row r="582" spans="1:12" x14ac:dyDescent="0.2">
      <c r="A582" s="16" t="s">
        <v>22</v>
      </c>
      <c r="B582" s="160">
        <v>2017</v>
      </c>
      <c r="C582" s="198">
        <v>2018</v>
      </c>
      <c r="D582" s="198">
        <v>2019</v>
      </c>
      <c r="E582" s="198">
        <v>2020</v>
      </c>
      <c r="F582" s="198">
        <v>2021</v>
      </c>
      <c r="G582" s="198" t="s">
        <v>161</v>
      </c>
      <c r="H582" s="198" t="s">
        <v>161</v>
      </c>
      <c r="I582" s="198" t="s">
        <v>161</v>
      </c>
      <c r="J582" s="198" t="s">
        <v>161</v>
      </c>
      <c r="K582" s="198" t="s">
        <v>161</v>
      </c>
      <c r="L582" s="198" t="s">
        <v>161</v>
      </c>
    </row>
    <row r="583" spans="1:12" x14ac:dyDescent="0.2">
      <c r="A583" s="16" t="s">
        <v>23</v>
      </c>
      <c r="B583" s="46"/>
      <c r="C583" s="46"/>
      <c r="D583" s="46"/>
      <c r="E583" s="46"/>
      <c r="F583" s="46"/>
      <c r="G583" s="46"/>
      <c r="H583" s="47"/>
      <c r="I583" s="47"/>
      <c r="J583" s="47"/>
      <c r="K583" s="47"/>
      <c r="L583" s="47"/>
    </row>
    <row r="584" spans="1:12" x14ac:dyDescent="0.2">
      <c r="A584" s="659" t="s">
        <v>113</v>
      </c>
      <c r="B584" s="660"/>
      <c r="C584" s="660"/>
      <c r="D584" s="660"/>
      <c r="E584" s="660"/>
      <c r="F584" s="660"/>
      <c r="G584" s="19"/>
      <c r="H584" s="19"/>
      <c r="I584" s="19"/>
      <c r="J584" s="19"/>
      <c r="K584" s="19"/>
      <c r="L584" s="63"/>
    </row>
    <row r="585" spans="1:12" x14ac:dyDescent="0.2">
      <c r="A585" s="162" t="s">
        <v>360</v>
      </c>
      <c r="B585" s="32"/>
      <c r="C585" s="32"/>
      <c r="D585" s="32"/>
      <c r="E585" s="32"/>
      <c r="F585" s="32"/>
      <c r="L585" s="64"/>
    </row>
    <row r="586" spans="1:12" x14ac:dyDescent="0.2">
      <c r="A586" s="162" t="s">
        <v>452</v>
      </c>
      <c r="B586" s="32"/>
      <c r="C586" s="32"/>
      <c r="D586" s="32"/>
      <c r="E586" s="32"/>
      <c r="F586" s="32"/>
      <c r="L586" s="64"/>
    </row>
    <row r="587" spans="1:12" x14ac:dyDescent="0.2">
      <c r="A587" s="162" t="s">
        <v>659</v>
      </c>
      <c r="B587" s="32"/>
      <c r="C587" s="32"/>
      <c r="D587" s="32"/>
      <c r="E587" s="32"/>
      <c r="F587" s="32"/>
      <c r="L587" s="64"/>
    </row>
    <row r="588" spans="1:12" x14ac:dyDescent="0.2">
      <c r="A588" s="41" t="s">
        <v>776</v>
      </c>
      <c r="B588" s="34"/>
      <c r="C588" s="34"/>
      <c r="D588" s="34"/>
      <c r="E588" s="34"/>
      <c r="F588" s="34"/>
      <c r="G588" s="34"/>
      <c r="H588" s="34"/>
      <c r="I588" s="34"/>
      <c r="J588" s="34"/>
      <c r="K588" s="34"/>
      <c r="L588" s="48"/>
    </row>
    <row r="591" spans="1:12" x14ac:dyDescent="0.2">
      <c r="A591" s="6" t="s">
        <v>12</v>
      </c>
      <c r="B591" s="174" t="s">
        <v>614</v>
      </c>
    </row>
    <row r="592" spans="1:12" x14ac:dyDescent="0.2">
      <c r="A592" s="103" t="s">
        <v>14</v>
      </c>
      <c r="B592" s="104" t="s">
        <v>624</v>
      </c>
      <c r="C592" s="66" t="s">
        <v>152</v>
      </c>
      <c r="D592" s="8"/>
      <c r="E592" s="8"/>
      <c r="F592" s="8"/>
      <c r="G592" s="8"/>
    </row>
    <row r="593" spans="1:10" s="203" customFormat="1" x14ac:dyDescent="0.2">
      <c r="A593" s="199" t="s">
        <v>27</v>
      </c>
      <c r="B593" s="200">
        <v>2016</v>
      </c>
      <c r="C593" s="200">
        <v>2017</v>
      </c>
      <c r="D593" s="201">
        <v>2018</v>
      </c>
      <c r="E593" s="200">
        <v>2019</v>
      </c>
      <c r="F593" s="202">
        <v>2020</v>
      </c>
      <c r="G593" s="202">
        <v>2021</v>
      </c>
      <c r="H593" s="202">
        <v>2022</v>
      </c>
      <c r="I593" s="202">
        <v>2023</v>
      </c>
      <c r="J593" s="202">
        <v>2024</v>
      </c>
    </row>
    <row r="594" spans="1:10" s="203" customFormat="1" x14ac:dyDescent="0.2">
      <c r="A594" s="199" t="s">
        <v>28</v>
      </c>
      <c r="B594" s="204">
        <v>200</v>
      </c>
      <c r="C594" s="204">
        <v>200</v>
      </c>
      <c r="D594" s="204">
        <v>200</v>
      </c>
      <c r="E594" s="204">
        <v>215</v>
      </c>
      <c r="F594" s="205">
        <v>215</v>
      </c>
      <c r="G594" s="205">
        <v>242</v>
      </c>
      <c r="H594" s="204">
        <v>242</v>
      </c>
      <c r="I594" s="204">
        <v>242</v>
      </c>
      <c r="J594" s="204">
        <v>302</v>
      </c>
    </row>
    <row r="595" spans="1:10" s="203" customFormat="1" x14ac:dyDescent="0.2">
      <c r="A595" s="199" t="s">
        <v>29</v>
      </c>
      <c r="B595" s="206">
        <f>(B594+0.25*200)</f>
        <v>250</v>
      </c>
      <c r="C595" s="206">
        <f>(C594+0.25*B594)</f>
        <v>250</v>
      </c>
      <c r="D595" s="206">
        <f t="shared" ref="D595:J595" si="25">(D594+0.25*C594)</f>
        <v>250</v>
      </c>
      <c r="E595" s="206">
        <f t="shared" si="25"/>
        <v>265</v>
      </c>
      <c r="F595" s="206">
        <f t="shared" si="25"/>
        <v>268.75</v>
      </c>
      <c r="G595" s="206">
        <f t="shared" si="25"/>
        <v>295.75</v>
      </c>
      <c r="H595" s="207">
        <f t="shared" si="25"/>
        <v>302.5</v>
      </c>
      <c r="I595" s="207">
        <f t="shared" si="25"/>
        <v>302.5</v>
      </c>
      <c r="J595" s="207">
        <f t="shared" si="25"/>
        <v>362.5</v>
      </c>
    </row>
    <row r="596" spans="1:10" s="203" customFormat="1" x14ac:dyDescent="0.2">
      <c r="A596" s="199" t="s">
        <v>30</v>
      </c>
      <c r="B596" s="206"/>
      <c r="C596" s="206"/>
      <c r="D596" s="208"/>
      <c r="E596" s="206"/>
      <c r="F596" s="209"/>
      <c r="G596" s="209"/>
      <c r="H596" s="209"/>
      <c r="I596" s="209"/>
      <c r="J596" s="209"/>
    </row>
    <row r="597" spans="1:10" s="203" customFormat="1" x14ac:dyDescent="0.2">
      <c r="A597" s="199" t="s">
        <v>31</v>
      </c>
      <c r="B597" s="204">
        <v>4.6470000000000002</v>
      </c>
      <c r="C597" s="204">
        <v>11.226000000000001</v>
      </c>
      <c r="D597" s="204">
        <v>4.8979999999999997</v>
      </c>
      <c r="E597" s="205">
        <v>1.35</v>
      </c>
      <c r="F597" s="205">
        <v>0.64</v>
      </c>
      <c r="G597" s="205">
        <v>2.34</v>
      </c>
      <c r="H597" s="209">
        <v>1.49</v>
      </c>
      <c r="I597" s="209">
        <v>0.66</v>
      </c>
      <c r="J597" s="209">
        <v>1.0329999999999999</v>
      </c>
    </row>
    <row r="598" spans="1:10" s="203" customFormat="1" x14ac:dyDescent="0.2">
      <c r="A598" s="199" t="s">
        <v>32</v>
      </c>
      <c r="B598" s="207">
        <f t="shared" ref="B598:J598" si="26">B595-B597</f>
        <v>245.35300000000001</v>
      </c>
      <c r="C598" s="207">
        <f t="shared" si="26"/>
        <v>238.774</v>
      </c>
      <c r="D598" s="207">
        <f t="shared" si="26"/>
        <v>245.102</v>
      </c>
      <c r="E598" s="207">
        <f t="shared" si="26"/>
        <v>263.64999999999998</v>
      </c>
      <c r="F598" s="207">
        <f t="shared" si="26"/>
        <v>268.11</v>
      </c>
      <c r="G598" s="207">
        <f t="shared" si="26"/>
        <v>293.41000000000003</v>
      </c>
      <c r="H598" s="207">
        <f t="shared" si="26"/>
        <v>301.01</v>
      </c>
      <c r="I598" s="207">
        <f t="shared" si="26"/>
        <v>301.83999999999997</v>
      </c>
      <c r="J598" s="207">
        <f t="shared" si="26"/>
        <v>361.46699999999998</v>
      </c>
    </row>
    <row r="599" spans="1:10" s="203" customFormat="1" x14ac:dyDescent="0.2">
      <c r="A599" s="210" t="s">
        <v>33</v>
      </c>
      <c r="B599" s="211">
        <v>2017</v>
      </c>
      <c r="C599" s="211">
        <v>2018</v>
      </c>
      <c r="D599" s="212">
        <v>2019</v>
      </c>
      <c r="E599" s="211">
        <v>2020</v>
      </c>
      <c r="F599" s="213">
        <v>2021</v>
      </c>
      <c r="G599" s="213">
        <v>2022</v>
      </c>
      <c r="H599" s="213">
        <v>2023</v>
      </c>
      <c r="I599" s="213">
        <v>2024</v>
      </c>
      <c r="J599" s="213">
        <v>2026</v>
      </c>
    </row>
    <row r="600" spans="1:10" s="203" customFormat="1" x14ac:dyDescent="0.2">
      <c r="A600" s="210" t="s">
        <v>34</v>
      </c>
      <c r="B600" s="214"/>
      <c r="C600" s="214"/>
      <c r="D600" s="214"/>
      <c r="E600" s="214"/>
      <c r="F600" s="214"/>
      <c r="G600" s="214"/>
      <c r="H600" s="214"/>
      <c r="I600" s="215"/>
      <c r="J600" s="215"/>
    </row>
    <row r="601" spans="1:10" s="203" customFormat="1" x14ac:dyDescent="0.2">
      <c r="A601" s="210" t="s">
        <v>615</v>
      </c>
      <c r="B601" s="214"/>
      <c r="C601" s="214"/>
      <c r="D601" s="214"/>
      <c r="E601" s="214"/>
      <c r="F601" s="214"/>
      <c r="G601" s="214"/>
      <c r="H601" s="214"/>
      <c r="I601" s="214"/>
      <c r="J601" s="215"/>
    </row>
    <row r="602" spans="1:10" s="203" customFormat="1" x14ac:dyDescent="0.2">
      <c r="A602" s="81" t="s">
        <v>616</v>
      </c>
      <c r="B602" s="83"/>
      <c r="C602" s="83"/>
      <c r="D602" s="83"/>
      <c r="E602" s="83"/>
      <c r="F602" s="83"/>
      <c r="G602" s="83"/>
      <c r="H602" s="83"/>
      <c r="I602" s="83"/>
      <c r="J602" s="216"/>
    </row>
    <row r="603" spans="1:10" s="203" customFormat="1" x14ac:dyDescent="0.2">
      <c r="A603" s="81" t="s">
        <v>617</v>
      </c>
      <c r="B603" s="83"/>
      <c r="C603" s="83"/>
      <c r="D603" s="83"/>
      <c r="E603" s="83"/>
      <c r="F603" s="83"/>
      <c r="G603" s="83"/>
      <c r="H603" s="83"/>
      <c r="I603" s="83"/>
      <c r="J603" s="216"/>
    </row>
    <row r="604" spans="1:10" s="203" customFormat="1" x14ac:dyDescent="0.2">
      <c r="A604" s="81" t="s">
        <v>618</v>
      </c>
      <c r="B604" s="83"/>
      <c r="C604" s="83"/>
      <c r="D604" s="83"/>
      <c r="E604" s="83"/>
      <c r="F604" s="83"/>
      <c r="G604" s="83"/>
      <c r="H604" s="83"/>
      <c r="I604" s="83"/>
      <c r="J604" s="216"/>
    </row>
    <row r="605" spans="1:10" s="203" customFormat="1" x14ac:dyDescent="0.2">
      <c r="A605" s="81" t="s">
        <v>619</v>
      </c>
      <c r="B605" s="83"/>
      <c r="C605" s="83"/>
      <c r="D605" s="83"/>
      <c r="E605" s="83"/>
      <c r="F605" s="83"/>
      <c r="G605" s="83"/>
      <c r="H605" s="83"/>
      <c r="I605" s="83"/>
      <c r="J605" s="216"/>
    </row>
    <row r="606" spans="1:10" s="203" customFormat="1" x14ac:dyDescent="0.2">
      <c r="A606" s="81" t="s">
        <v>620</v>
      </c>
      <c r="B606" s="83"/>
      <c r="C606" s="83"/>
      <c r="D606" s="83"/>
      <c r="E606" s="83"/>
      <c r="F606" s="83"/>
      <c r="G606" s="83"/>
      <c r="H606" s="83"/>
      <c r="I606" s="83"/>
      <c r="J606" s="216"/>
    </row>
    <row r="607" spans="1:10" s="203" customFormat="1" x14ac:dyDescent="0.2">
      <c r="A607" s="81" t="s">
        <v>621</v>
      </c>
      <c r="B607" s="83"/>
      <c r="C607" s="83"/>
      <c r="D607" s="83"/>
      <c r="E607" s="83"/>
      <c r="F607" s="83"/>
      <c r="G607" s="83"/>
      <c r="H607" s="83"/>
      <c r="I607" s="83"/>
      <c r="J607" s="216"/>
    </row>
    <row r="608" spans="1:10" s="203" customFormat="1" x14ac:dyDescent="0.2">
      <c r="A608" s="81" t="s">
        <v>622</v>
      </c>
      <c r="B608" s="83"/>
      <c r="C608" s="83"/>
      <c r="D608" s="83"/>
      <c r="E608" s="83"/>
      <c r="F608" s="83"/>
      <c r="G608" s="83"/>
      <c r="H608" s="83"/>
      <c r="I608" s="83"/>
      <c r="J608" s="216"/>
    </row>
    <row r="609" spans="1:11" s="203" customFormat="1" x14ac:dyDescent="0.2">
      <c r="A609" s="81" t="s">
        <v>784</v>
      </c>
      <c r="B609" s="83"/>
      <c r="C609" s="83"/>
      <c r="D609" s="83"/>
      <c r="E609" s="83"/>
      <c r="F609" s="83"/>
      <c r="G609" s="83"/>
      <c r="H609" s="83"/>
      <c r="I609" s="83"/>
      <c r="J609" s="216"/>
    </row>
    <row r="610" spans="1:11" s="203" customFormat="1" x14ac:dyDescent="0.2">
      <c r="A610" s="84" t="s">
        <v>1001</v>
      </c>
      <c r="B610" s="116"/>
      <c r="C610" s="116"/>
      <c r="D610" s="116"/>
      <c r="E610" s="116"/>
      <c r="F610" s="116"/>
      <c r="G610" s="116"/>
      <c r="H610" s="116"/>
      <c r="I610" s="116"/>
      <c r="J610" s="217"/>
    </row>
    <row r="611" spans="1:11" s="203" customFormat="1" x14ac:dyDescent="0.2">
      <c r="A611" s="83"/>
      <c r="B611" s="83"/>
      <c r="C611" s="83"/>
      <c r="D611" s="83"/>
      <c r="E611" s="83"/>
      <c r="F611" s="83"/>
      <c r="G611" s="83"/>
      <c r="H611" s="83"/>
      <c r="I611" s="83"/>
    </row>
    <row r="612" spans="1:11" x14ac:dyDescent="0.2">
      <c r="A612" s="98" t="s">
        <v>14</v>
      </c>
      <c r="B612" s="66" t="s">
        <v>623</v>
      </c>
      <c r="C612" s="66" t="s">
        <v>152</v>
      </c>
      <c r="D612" s="138"/>
      <c r="E612" s="138"/>
      <c r="F612" s="138"/>
      <c r="G612" s="138"/>
    </row>
    <row r="613" spans="1:11" s="203" customFormat="1" x14ac:dyDescent="0.2">
      <c r="A613" s="199" t="s">
        <v>27</v>
      </c>
      <c r="B613" s="200">
        <v>2016</v>
      </c>
      <c r="C613" s="200">
        <v>2017</v>
      </c>
      <c r="D613" s="201">
        <v>2018</v>
      </c>
      <c r="E613" s="200">
        <v>2019</v>
      </c>
      <c r="F613" s="202">
        <v>2020</v>
      </c>
      <c r="G613" s="202">
        <v>2021</v>
      </c>
      <c r="H613" s="202">
        <v>2022</v>
      </c>
      <c r="I613" s="202">
        <v>2023</v>
      </c>
      <c r="J613" s="202">
        <v>2024</v>
      </c>
      <c r="K613" s="202">
        <v>2025</v>
      </c>
    </row>
    <row r="614" spans="1:11" s="203" customFormat="1" x14ac:dyDescent="0.2">
      <c r="A614" s="199" t="s">
        <v>28</v>
      </c>
      <c r="B614" s="218">
        <v>0</v>
      </c>
      <c r="C614" s="218">
        <v>0</v>
      </c>
      <c r="D614" s="218">
        <v>0</v>
      </c>
      <c r="E614" s="218">
        <v>0</v>
      </c>
      <c r="F614" s="219">
        <v>0</v>
      </c>
      <c r="G614" s="219">
        <v>0</v>
      </c>
      <c r="H614" s="218">
        <v>0</v>
      </c>
      <c r="I614" s="218">
        <v>0</v>
      </c>
      <c r="J614" s="218">
        <v>0</v>
      </c>
      <c r="K614" s="220">
        <v>375</v>
      </c>
    </row>
    <row r="615" spans="1:11" s="203" customFormat="1" x14ac:dyDescent="0.2">
      <c r="A615" s="199" t="s">
        <v>29</v>
      </c>
      <c r="B615" s="221">
        <v>-19.86</v>
      </c>
      <c r="C615" s="222">
        <f t="shared" ref="C615:K615" si="27">B618</f>
        <v>-48.64</v>
      </c>
      <c r="D615" s="222">
        <f t="shared" si="27"/>
        <v>-96.69</v>
      </c>
      <c r="E615" s="222">
        <f t="shared" si="27"/>
        <v>-149.34</v>
      </c>
      <c r="F615" s="222">
        <f t="shared" si="27"/>
        <v>-172.85</v>
      </c>
      <c r="G615" s="222">
        <f t="shared" si="27"/>
        <v>-196.03</v>
      </c>
      <c r="H615" s="222">
        <f t="shared" si="27"/>
        <v>-246.64</v>
      </c>
      <c r="I615" s="222">
        <f t="shared" si="27"/>
        <v>-272.18</v>
      </c>
      <c r="J615" s="222">
        <f t="shared" si="27"/>
        <v>-299.51600000000002</v>
      </c>
      <c r="K615" s="223">
        <f t="shared" si="27"/>
        <v>-338.07500000000005</v>
      </c>
    </row>
    <row r="616" spans="1:11" s="203" customFormat="1" x14ac:dyDescent="0.2">
      <c r="A616" s="199" t="s">
        <v>30</v>
      </c>
      <c r="B616" s="206" t="s">
        <v>399</v>
      </c>
      <c r="C616" s="208" t="s">
        <v>400</v>
      </c>
      <c r="D616" s="206" t="s">
        <v>401</v>
      </c>
      <c r="E616" s="209" t="s">
        <v>402</v>
      </c>
      <c r="F616" s="209" t="s">
        <v>566</v>
      </c>
      <c r="G616" s="209" t="s">
        <v>604</v>
      </c>
      <c r="H616" s="209" t="s">
        <v>625</v>
      </c>
      <c r="I616" s="209" t="s">
        <v>785</v>
      </c>
      <c r="J616" s="209" t="s">
        <v>1002</v>
      </c>
      <c r="K616" s="114" t="s">
        <v>1177</v>
      </c>
    </row>
    <row r="617" spans="1:11" s="203" customFormat="1" x14ac:dyDescent="0.2">
      <c r="A617" s="199" t="s">
        <v>31</v>
      </c>
      <c r="B617" s="218">
        <v>28.78</v>
      </c>
      <c r="C617" s="218">
        <v>48.05</v>
      </c>
      <c r="D617" s="218">
        <v>52.65</v>
      </c>
      <c r="E617" s="219">
        <v>23.51</v>
      </c>
      <c r="F617" s="219">
        <v>23.18</v>
      </c>
      <c r="G617" s="219">
        <v>50.61</v>
      </c>
      <c r="H617" s="224">
        <v>25.54</v>
      </c>
      <c r="I617" s="224">
        <v>27.335999999999999</v>
      </c>
      <c r="J617" s="224">
        <v>38.558999999999997</v>
      </c>
      <c r="K617" s="220"/>
    </row>
    <row r="618" spans="1:11" s="203" customFormat="1" x14ac:dyDescent="0.2">
      <c r="A618" s="199" t="s">
        <v>32</v>
      </c>
      <c r="B618" s="207">
        <f t="shared" ref="B618:J618" si="28">B615-B617</f>
        <v>-48.64</v>
      </c>
      <c r="C618" s="207">
        <f t="shared" si="28"/>
        <v>-96.69</v>
      </c>
      <c r="D618" s="207">
        <f t="shared" si="28"/>
        <v>-149.34</v>
      </c>
      <c r="E618" s="207">
        <f t="shared" si="28"/>
        <v>-172.85</v>
      </c>
      <c r="F618" s="207">
        <f t="shared" si="28"/>
        <v>-196.03</v>
      </c>
      <c r="G618" s="207">
        <f t="shared" si="28"/>
        <v>-246.64</v>
      </c>
      <c r="H618" s="225">
        <f t="shared" si="28"/>
        <v>-272.18</v>
      </c>
      <c r="I618" s="225">
        <f t="shared" si="28"/>
        <v>-299.51600000000002</v>
      </c>
      <c r="J618" s="225">
        <f t="shared" si="28"/>
        <v>-338.07500000000005</v>
      </c>
      <c r="K618" s="220"/>
    </row>
    <row r="619" spans="1:11" s="203" customFormat="1" x14ac:dyDescent="0.2">
      <c r="A619" s="210" t="s">
        <v>33</v>
      </c>
      <c r="B619" s="226">
        <v>2017</v>
      </c>
      <c r="C619" s="226">
        <v>2018</v>
      </c>
      <c r="D619" s="214">
        <v>2019</v>
      </c>
      <c r="E619" s="226">
        <v>2020</v>
      </c>
      <c r="F619" s="215">
        <v>2021</v>
      </c>
      <c r="G619" s="215">
        <v>2022</v>
      </c>
      <c r="H619" s="215">
        <v>2023</v>
      </c>
      <c r="I619" s="215">
        <v>2024</v>
      </c>
      <c r="J619" s="215">
        <v>2025</v>
      </c>
      <c r="K619" s="220">
        <v>2026</v>
      </c>
    </row>
    <row r="620" spans="1:11" s="203" customFormat="1" x14ac:dyDescent="0.2">
      <c r="A620" s="227" t="s">
        <v>34</v>
      </c>
      <c r="B620" s="228"/>
      <c r="C620" s="228"/>
      <c r="D620" s="228"/>
      <c r="E620" s="228"/>
      <c r="F620" s="228"/>
      <c r="G620" s="228"/>
      <c r="H620" s="228"/>
      <c r="I620" s="228"/>
      <c r="J620" s="228"/>
      <c r="K620" s="229"/>
    </row>
    <row r="621" spans="1:11" s="203" customFormat="1" x14ac:dyDescent="0.2">
      <c r="A621" s="230" t="s">
        <v>626</v>
      </c>
      <c r="B621" s="231"/>
      <c r="C621" s="231"/>
      <c r="D621" s="231"/>
      <c r="E621" s="231"/>
      <c r="F621" s="231"/>
      <c r="G621" s="231"/>
      <c r="H621" s="231"/>
      <c r="I621" s="231"/>
      <c r="J621" s="232"/>
      <c r="K621" s="233"/>
    </row>
    <row r="622" spans="1:11" s="203" customFormat="1" x14ac:dyDescent="0.2">
      <c r="A622" s="234" t="s">
        <v>627</v>
      </c>
      <c r="B622" s="83"/>
      <c r="C622" s="83"/>
      <c r="D622" s="83"/>
      <c r="E622" s="83"/>
      <c r="F622" s="83"/>
      <c r="G622" s="83"/>
      <c r="H622" s="83"/>
      <c r="I622" s="83"/>
      <c r="J622" s="216"/>
      <c r="K622" s="235"/>
    </row>
    <row r="623" spans="1:11" s="203" customFormat="1" x14ac:dyDescent="0.2">
      <c r="A623" s="234" t="s">
        <v>628</v>
      </c>
      <c r="B623" s="83"/>
      <c r="C623" s="83"/>
      <c r="D623" s="83"/>
      <c r="E623" s="83"/>
      <c r="F623" s="83"/>
      <c r="G623" s="83"/>
      <c r="H623" s="83"/>
      <c r="I623" s="83"/>
      <c r="J623" s="216"/>
      <c r="K623" s="235"/>
    </row>
    <row r="624" spans="1:11" s="203" customFormat="1" x14ac:dyDescent="0.2">
      <c r="A624" s="234" t="s">
        <v>629</v>
      </c>
      <c r="B624" s="83"/>
      <c r="C624" s="83"/>
      <c r="D624" s="83"/>
      <c r="E624" s="83"/>
      <c r="F624" s="83"/>
      <c r="G624" s="83"/>
      <c r="H624" s="83"/>
      <c r="I624" s="83"/>
      <c r="J624" s="216"/>
      <c r="K624" s="235"/>
    </row>
    <row r="625" spans="1:11" s="203" customFormat="1" x14ac:dyDescent="0.2">
      <c r="A625" s="234" t="s">
        <v>630</v>
      </c>
      <c r="B625" s="83"/>
      <c r="C625" s="83"/>
      <c r="D625" s="83"/>
      <c r="E625" s="83"/>
      <c r="F625" s="83"/>
      <c r="G625" s="83"/>
      <c r="H625" s="83"/>
      <c r="I625" s="83"/>
      <c r="J625" s="216"/>
      <c r="K625" s="235"/>
    </row>
    <row r="626" spans="1:11" s="203" customFormat="1" x14ac:dyDescent="0.2">
      <c r="A626" s="234" t="s">
        <v>631</v>
      </c>
      <c r="B626" s="83"/>
      <c r="C626" s="83"/>
      <c r="D626" s="83"/>
      <c r="E626" s="83"/>
      <c r="F626" s="83"/>
      <c r="G626" s="83"/>
      <c r="H626" s="83"/>
      <c r="I626" s="83"/>
      <c r="J626" s="216"/>
      <c r="K626" s="235"/>
    </row>
    <row r="627" spans="1:11" s="203" customFormat="1" x14ac:dyDescent="0.2">
      <c r="A627" s="234" t="s">
        <v>632</v>
      </c>
      <c r="B627" s="83"/>
      <c r="C627" s="83"/>
      <c r="D627" s="83"/>
      <c r="E627" s="83"/>
      <c r="F627" s="83"/>
      <c r="G627" s="83"/>
      <c r="H627" s="83"/>
      <c r="I627" s="83"/>
      <c r="J627" s="216"/>
      <c r="K627" s="235"/>
    </row>
    <row r="628" spans="1:11" s="203" customFormat="1" x14ac:dyDescent="0.2">
      <c r="A628" s="234" t="s">
        <v>786</v>
      </c>
      <c r="B628" s="83"/>
      <c r="C628" s="83"/>
      <c r="D628" s="83"/>
      <c r="E628" s="83"/>
      <c r="F628" s="83"/>
      <c r="G628" s="83"/>
      <c r="H628" s="83"/>
      <c r="I628" s="83"/>
      <c r="J628" s="216"/>
      <c r="K628" s="235"/>
    </row>
    <row r="629" spans="1:11" s="203" customFormat="1" x14ac:dyDescent="0.2">
      <c r="A629" s="234" t="s">
        <v>1003</v>
      </c>
      <c r="B629" s="83"/>
      <c r="C629" s="83"/>
      <c r="D629" s="83"/>
      <c r="E629" s="83"/>
      <c r="F629" s="83"/>
      <c r="G629" s="83"/>
      <c r="H629" s="83"/>
      <c r="I629" s="83"/>
      <c r="J629" s="216"/>
      <c r="K629" s="235"/>
    </row>
    <row r="630" spans="1:11" s="203" customFormat="1" x14ac:dyDescent="0.2">
      <c r="A630" s="236" t="s">
        <v>1178</v>
      </c>
      <c r="B630" s="116"/>
      <c r="C630" s="116"/>
      <c r="D630" s="116"/>
      <c r="E630" s="116"/>
      <c r="F630" s="116"/>
      <c r="G630" s="116"/>
      <c r="H630" s="116"/>
      <c r="I630" s="116"/>
      <c r="J630" s="217"/>
      <c r="K630" s="237"/>
    </row>
    <row r="631" spans="1:11" s="203" customFormat="1" x14ac:dyDescent="0.2">
      <c r="A631" s="83"/>
      <c r="B631" s="83"/>
      <c r="C631" s="83"/>
      <c r="D631" s="83"/>
      <c r="E631" s="83"/>
      <c r="F631" s="83"/>
      <c r="G631" s="83"/>
      <c r="H631" s="83"/>
      <c r="I631" s="83"/>
    </row>
    <row r="632" spans="1:11" s="203" customFormat="1" x14ac:dyDescent="0.2">
      <c r="A632" s="98" t="s">
        <v>14</v>
      </c>
      <c r="B632" s="66" t="s">
        <v>74</v>
      </c>
      <c r="C632" s="66" t="s">
        <v>152</v>
      </c>
      <c r="D632" s="83"/>
      <c r="E632" s="83"/>
      <c r="F632" s="83"/>
      <c r="G632" s="83"/>
      <c r="H632" s="83"/>
      <c r="I632" s="83"/>
    </row>
    <row r="633" spans="1:11" s="203" customFormat="1" x14ac:dyDescent="0.2">
      <c r="A633" s="199" t="s">
        <v>27</v>
      </c>
      <c r="B633" s="238">
        <v>2016</v>
      </c>
      <c r="C633" s="238">
        <v>2017</v>
      </c>
      <c r="D633" s="239">
        <v>2018</v>
      </c>
      <c r="E633" s="238">
        <v>2019</v>
      </c>
      <c r="F633" s="240">
        <v>2020</v>
      </c>
      <c r="G633" s="240">
        <v>2021</v>
      </c>
      <c r="H633" s="240">
        <v>2022</v>
      </c>
      <c r="I633" s="240">
        <v>2023</v>
      </c>
      <c r="J633" s="240">
        <v>2024</v>
      </c>
      <c r="K633" s="240">
        <v>2025</v>
      </c>
    </row>
    <row r="634" spans="1:11" s="203" customFormat="1" x14ac:dyDescent="0.2">
      <c r="A634" s="199" t="s">
        <v>28</v>
      </c>
      <c r="B634" s="204">
        <v>10</v>
      </c>
      <c r="C634" s="204">
        <v>10</v>
      </c>
      <c r="D634" s="204">
        <v>10</v>
      </c>
      <c r="E634" s="204">
        <v>10</v>
      </c>
      <c r="F634" s="204">
        <v>10</v>
      </c>
      <c r="G634" s="204">
        <v>10</v>
      </c>
      <c r="H634" s="204">
        <v>10</v>
      </c>
      <c r="I634" s="204">
        <v>10</v>
      </c>
      <c r="J634" s="204">
        <v>10</v>
      </c>
      <c r="K634" s="204">
        <v>10</v>
      </c>
    </row>
    <row r="635" spans="1:11" s="203" customFormat="1" x14ac:dyDescent="0.2">
      <c r="A635" s="199" t="s">
        <v>29</v>
      </c>
      <c r="B635" s="207">
        <v>10</v>
      </c>
      <c r="C635" s="207">
        <f>B638+10</f>
        <v>-31.037900001525877</v>
      </c>
      <c r="D635" s="207">
        <f>C638+10</f>
        <v>-100.44840000534057</v>
      </c>
      <c r="E635" s="207">
        <f>D638+10</f>
        <v>-131.83390000534058</v>
      </c>
      <c r="F635" s="207">
        <f>E638+10</f>
        <v>-149.28490000534057</v>
      </c>
      <c r="G635" s="207">
        <f>F638+10</f>
        <v>-157.49490000534058</v>
      </c>
      <c r="H635" s="207">
        <f>1.25*G638+H634</f>
        <v>-216.48112500667571</v>
      </c>
      <c r="I635" s="207">
        <f>1.25*H638+I634</f>
        <v>-273.73890625834463</v>
      </c>
      <c r="J635" s="207">
        <f>1.25*I638+J634</f>
        <v>-342.7198828229308</v>
      </c>
      <c r="K635" s="207">
        <f>1.25*J638+K634</f>
        <v>-446.63985352866348</v>
      </c>
    </row>
    <row r="636" spans="1:11" s="203" customFormat="1" x14ac:dyDescent="0.2">
      <c r="A636" s="199" t="s">
        <v>30</v>
      </c>
      <c r="B636" s="206"/>
      <c r="C636" s="206" t="s">
        <v>399</v>
      </c>
      <c r="D636" s="208" t="s">
        <v>400</v>
      </c>
      <c r="E636" s="206" t="s">
        <v>401</v>
      </c>
      <c r="F636" s="209" t="s">
        <v>402</v>
      </c>
      <c r="G636" s="209" t="s">
        <v>566</v>
      </c>
      <c r="H636" s="209" t="s">
        <v>604</v>
      </c>
      <c r="I636" s="209" t="s">
        <v>625</v>
      </c>
      <c r="J636" s="209" t="s">
        <v>785</v>
      </c>
      <c r="K636" s="209" t="s">
        <v>1002</v>
      </c>
    </row>
    <row r="637" spans="1:11" s="203" customFormat="1" x14ac:dyDescent="0.2">
      <c r="A637" s="199" t="s">
        <v>31</v>
      </c>
      <c r="B637" s="241">
        <v>51.037900001525877</v>
      </c>
      <c r="C637" s="241">
        <v>79.410500003814704</v>
      </c>
      <c r="D637" s="241">
        <v>41.3855</v>
      </c>
      <c r="E637" s="242">
        <v>27.451000000000001</v>
      </c>
      <c r="F637" s="242">
        <v>18.21</v>
      </c>
      <c r="G637" s="205">
        <v>23.69</v>
      </c>
      <c r="H637" s="209">
        <v>10.51</v>
      </c>
      <c r="I637" s="243">
        <v>8.4369999999999994</v>
      </c>
      <c r="J637" s="209">
        <v>22.591999999999999</v>
      </c>
      <c r="K637" s="209"/>
    </row>
    <row r="638" spans="1:11" s="203" customFormat="1" x14ac:dyDescent="0.2">
      <c r="A638" s="199" t="s">
        <v>32</v>
      </c>
      <c r="B638" s="207">
        <f t="shared" ref="B638:I638" si="29">B635-B637</f>
        <v>-41.037900001525877</v>
      </c>
      <c r="C638" s="207">
        <f t="shared" si="29"/>
        <v>-110.44840000534057</v>
      </c>
      <c r="D638" s="207">
        <f t="shared" si="29"/>
        <v>-141.83390000534058</v>
      </c>
      <c r="E638" s="207">
        <f t="shared" si="29"/>
        <v>-159.28490000534057</v>
      </c>
      <c r="F638" s="207">
        <f t="shared" si="29"/>
        <v>-167.49490000534058</v>
      </c>
      <c r="G638" s="207">
        <f t="shared" si="29"/>
        <v>-181.18490000534058</v>
      </c>
      <c r="H638" s="207">
        <f t="shared" si="29"/>
        <v>-226.9911250066757</v>
      </c>
      <c r="I638" s="207">
        <f t="shared" si="29"/>
        <v>-282.17590625834464</v>
      </c>
      <c r="J638" s="225">
        <v>-365.31188282293078</v>
      </c>
      <c r="K638" s="207"/>
    </row>
    <row r="639" spans="1:11" s="203" customFormat="1" x14ac:dyDescent="0.2">
      <c r="A639" s="210" t="s">
        <v>33</v>
      </c>
      <c r="B639" s="211">
        <v>2017</v>
      </c>
      <c r="C639" s="211">
        <v>2018</v>
      </c>
      <c r="D639" s="212">
        <v>2019</v>
      </c>
      <c r="E639" s="211">
        <v>2020</v>
      </c>
      <c r="F639" s="213">
        <v>2021</v>
      </c>
      <c r="G639" s="213">
        <v>2022</v>
      </c>
      <c r="H639" s="213">
        <v>2023</v>
      </c>
      <c r="I639" s="213">
        <v>2024</v>
      </c>
      <c r="J639" s="213">
        <v>2025</v>
      </c>
      <c r="K639" s="114">
        <v>2026</v>
      </c>
    </row>
    <row r="640" spans="1:11" s="203" customFormat="1" x14ac:dyDescent="0.2">
      <c r="A640" s="244" t="s">
        <v>34</v>
      </c>
      <c r="B640" s="231"/>
      <c r="C640" s="231"/>
      <c r="D640" s="231"/>
      <c r="E640" s="231"/>
      <c r="F640" s="231"/>
      <c r="G640" s="231"/>
      <c r="H640" s="231"/>
      <c r="I640" s="231"/>
      <c r="J640" s="231"/>
      <c r="K640" s="233"/>
    </row>
    <row r="641" spans="1:11" s="203" customFormat="1" x14ac:dyDescent="0.2">
      <c r="A641" s="230" t="s">
        <v>633</v>
      </c>
      <c r="B641" s="231"/>
      <c r="C641" s="231"/>
      <c r="D641" s="231"/>
      <c r="E641" s="231"/>
      <c r="F641" s="231"/>
      <c r="G641" s="231"/>
      <c r="H641" s="231"/>
      <c r="I641" s="231"/>
      <c r="J641" s="231"/>
      <c r="K641" s="233"/>
    </row>
    <row r="642" spans="1:11" s="203" customFormat="1" x14ac:dyDescent="0.2">
      <c r="A642" s="234" t="s">
        <v>894</v>
      </c>
      <c r="B642" s="83"/>
      <c r="C642" s="83"/>
      <c r="D642" s="83"/>
      <c r="E642" s="83"/>
      <c r="F642" s="83"/>
      <c r="G642" s="83"/>
      <c r="H642" s="83"/>
      <c r="I642" s="83"/>
      <c r="J642" s="83"/>
      <c r="K642" s="235"/>
    </row>
    <row r="643" spans="1:11" s="203" customFormat="1" x14ac:dyDescent="0.2">
      <c r="A643" s="234" t="s">
        <v>895</v>
      </c>
      <c r="B643" s="83"/>
      <c r="C643" s="83"/>
      <c r="D643" s="83"/>
      <c r="E643" s="83"/>
      <c r="F643" s="83"/>
      <c r="G643" s="83"/>
      <c r="H643" s="83"/>
      <c r="I643" s="83"/>
      <c r="J643" s="83"/>
      <c r="K643" s="235"/>
    </row>
    <row r="644" spans="1:11" s="203" customFormat="1" x14ac:dyDescent="0.2">
      <c r="A644" s="234" t="s">
        <v>896</v>
      </c>
      <c r="B644" s="83"/>
      <c r="C644" s="83"/>
      <c r="D644" s="83"/>
      <c r="E644" s="83"/>
      <c r="F644" s="83"/>
      <c r="G644" s="83"/>
      <c r="H644" s="83"/>
      <c r="I644" s="83"/>
      <c r="J644" s="83"/>
      <c r="K644" s="235"/>
    </row>
    <row r="645" spans="1:11" s="203" customFormat="1" x14ac:dyDescent="0.2">
      <c r="A645" s="234" t="s">
        <v>897</v>
      </c>
      <c r="B645" s="83"/>
      <c r="C645" s="83"/>
      <c r="D645" s="83"/>
      <c r="E645" s="83"/>
      <c r="F645" s="83"/>
      <c r="G645" s="83"/>
      <c r="H645" s="83"/>
      <c r="I645" s="83"/>
      <c r="J645" s="83"/>
      <c r="K645" s="235"/>
    </row>
    <row r="646" spans="1:11" s="203" customFormat="1" x14ac:dyDescent="0.2">
      <c r="A646" s="234" t="s">
        <v>892</v>
      </c>
      <c r="B646" s="83"/>
      <c r="C646" s="83"/>
      <c r="D646" s="83"/>
      <c r="E646" s="83"/>
      <c r="F646" s="83"/>
      <c r="G646" s="83"/>
      <c r="H646" s="83"/>
      <c r="I646" s="83"/>
      <c r="J646" s="83"/>
      <c r="K646" s="235"/>
    </row>
    <row r="647" spans="1:11" s="203" customFormat="1" x14ac:dyDescent="0.2">
      <c r="A647" s="234" t="s">
        <v>893</v>
      </c>
      <c r="B647" s="83"/>
      <c r="C647" s="83"/>
      <c r="D647" s="83"/>
      <c r="E647" s="83"/>
      <c r="F647" s="83"/>
      <c r="G647" s="83"/>
      <c r="H647" s="83"/>
      <c r="I647" s="83"/>
      <c r="J647" s="83"/>
      <c r="K647" s="235"/>
    </row>
    <row r="648" spans="1:11" s="203" customFormat="1" x14ac:dyDescent="0.2">
      <c r="A648" s="234" t="s">
        <v>1004</v>
      </c>
      <c r="B648" s="83"/>
      <c r="C648" s="83"/>
      <c r="D648" s="83"/>
      <c r="E648" s="83"/>
      <c r="F648" s="83"/>
      <c r="G648" s="83"/>
      <c r="H648" s="83"/>
      <c r="I648" s="83"/>
      <c r="J648" s="83"/>
      <c r="K648" s="235"/>
    </row>
    <row r="649" spans="1:11" s="203" customFormat="1" x14ac:dyDescent="0.2">
      <c r="A649" s="236" t="s">
        <v>1139</v>
      </c>
      <c r="B649" s="116"/>
      <c r="C649" s="116"/>
      <c r="D649" s="116"/>
      <c r="E649" s="116"/>
      <c r="F649" s="116"/>
      <c r="G649" s="116"/>
      <c r="H649" s="116"/>
      <c r="I649" s="116"/>
      <c r="J649" s="116"/>
      <c r="K649" s="237"/>
    </row>
    <row r="652" spans="1:11" x14ac:dyDescent="0.2">
      <c r="A652" s="6" t="s">
        <v>12</v>
      </c>
      <c r="B652" s="174" t="s">
        <v>246</v>
      </c>
    </row>
    <row r="653" spans="1:11" x14ac:dyDescent="0.2">
      <c r="A653" s="6" t="s">
        <v>14</v>
      </c>
      <c r="B653" s="7" t="s">
        <v>638</v>
      </c>
      <c r="C653" s="9" t="s">
        <v>15</v>
      </c>
    </row>
    <row r="654" spans="1:11" x14ac:dyDescent="0.2">
      <c r="A654" s="10" t="s">
        <v>16</v>
      </c>
      <c r="B654" s="155"/>
      <c r="C654" s="174">
        <v>2024</v>
      </c>
      <c r="D654" s="174">
        <v>2025</v>
      </c>
      <c r="E654" s="174">
        <v>2025</v>
      </c>
    </row>
    <row r="655" spans="1:11" x14ac:dyDescent="0.2">
      <c r="A655" s="10" t="s">
        <v>17</v>
      </c>
      <c r="B655" s="157"/>
      <c r="C655" s="176">
        <v>120</v>
      </c>
      <c r="D655" s="176">
        <v>120</v>
      </c>
      <c r="E655" s="176">
        <v>120</v>
      </c>
    </row>
    <row r="656" spans="1:11" x14ac:dyDescent="0.2">
      <c r="A656" s="10" t="s">
        <v>18</v>
      </c>
      <c r="B656" s="157"/>
      <c r="C656" s="176">
        <f>C655+1.49</f>
        <v>121.49</v>
      </c>
      <c r="D656" s="176">
        <f>D655+0.25*120</f>
        <v>150</v>
      </c>
      <c r="E656" s="176">
        <f>E655+0.25*120</f>
        <v>150</v>
      </c>
    </row>
    <row r="657" spans="1:12" x14ac:dyDescent="0.2">
      <c r="A657" s="10" t="s">
        <v>19</v>
      </c>
      <c r="B657" s="177"/>
      <c r="C657" s="177" t="s">
        <v>927</v>
      </c>
      <c r="D657" s="177" t="s">
        <v>1106</v>
      </c>
      <c r="E657" s="177" t="s">
        <v>1106</v>
      </c>
    </row>
    <row r="658" spans="1:12" x14ac:dyDescent="0.2">
      <c r="A658" s="10" t="s">
        <v>20</v>
      </c>
      <c r="B658" s="157"/>
      <c r="C658" s="176">
        <v>109.066</v>
      </c>
      <c r="D658" s="176"/>
      <c r="E658" s="176"/>
    </row>
    <row r="659" spans="1:12" x14ac:dyDescent="0.2">
      <c r="A659" s="10" t="s">
        <v>21</v>
      </c>
      <c r="B659" s="157"/>
      <c r="C659" s="176">
        <f>C656-C658</f>
        <v>12.423999999999992</v>
      </c>
      <c r="D659" s="176"/>
      <c r="E659" s="176"/>
    </row>
    <row r="660" spans="1:12" x14ac:dyDescent="0.2">
      <c r="A660" s="16" t="s">
        <v>22</v>
      </c>
      <c r="B660" s="160"/>
      <c r="C660" s="180">
        <v>2026</v>
      </c>
      <c r="D660" s="180">
        <v>2027</v>
      </c>
      <c r="E660" s="181">
        <v>2027</v>
      </c>
    </row>
    <row r="661" spans="1:12" x14ac:dyDescent="0.2">
      <c r="A661" s="18" t="s">
        <v>23</v>
      </c>
      <c r="B661" s="19"/>
      <c r="C661" s="19"/>
      <c r="D661" s="19"/>
      <c r="E661" s="63"/>
    </row>
    <row r="662" spans="1:12" x14ac:dyDescent="0.2">
      <c r="A662" s="162" t="s">
        <v>928</v>
      </c>
      <c r="B662" s="32"/>
      <c r="C662" s="32"/>
      <c r="D662" s="32"/>
      <c r="E662" s="245"/>
      <c r="F662" s="32"/>
    </row>
    <row r="663" spans="1:12" x14ac:dyDescent="0.2">
      <c r="A663" s="246" t="s">
        <v>1107</v>
      </c>
      <c r="B663" s="22"/>
      <c r="C663" s="22"/>
      <c r="D663" s="22"/>
      <c r="E663" s="247"/>
      <c r="F663" s="32"/>
    </row>
    <row r="665" spans="1:12" x14ac:dyDescent="0.2">
      <c r="A665" s="98" t="s">
        <v>14</v>
      </c>
      <c r="B665" s="66" t="s">
        <v>623</v>
      </c>
      <c r="C665" s="66" t="s">
        <v>152</v>
      </c>
      <c r="D665" s="8"/>
      <c r="E665" s="8"/>
      <c r="F665" s="8"/>
      <c r="G665" s="8"/>
    </row>
    <row r="666" spans="1:12" x14ac:dyDescent="0.2">
      <c r="A666" s="95" t="s">
        <v>16</v>
      </c>
      <c r="B666" s="248"/>
      <c r="C666" s="249">
        <v>2015</v>
      </c>
      <c r="D666" s="249">
        <v>2016</v>
      </c>
      <c r="E666" s="249" t="s">
        <v>242</v>
      </c>
      <c r="F666" s="249" t="s">
        <v>243</v>
      </c>
      <c r="G666" s="249" t="s">
        <v>244</v>
      </c>
      <c r="H666" s="249" t="s">
        <v>286</v>
      </c>
      <c r="I666" s="249" t="s">
        <v>504</v>
      </c>
      <c r="J666" s="249" t="s">
        <v>675</v>
      </c>
      <c r="K666" s="249" t="s">
        <v>824</v>
      </c>
      <c r="L666" s="250" t="s">
        <v>1047</v>
      </c>
    </row>
    <row r="667" spans="1:12" x14ac:dyDescent="0.2">
      <c r="A667" s="68" t="s">
        <v>17</v>
      </c>
      <c r="B667" s="69"/>
      <c r="C667" s="72">
        <v>50</v>
      </c>
      <c r="D667" s="72">
        <v>50</v>
      </c>
      <c r="E667" s="72">
        <v>50</v>
      </c>
      <c r="F667" s="72">
        <v>50</v>
      </c>
      <c r="G667" s="72">
        <v>50</v>
      </c>
      <c r="H667" s="72">
        <v>50</v>
      </c>
      <c r="I667" s="72">
        <v>50</v>
      </c>
      <c r="J667" s="72">
        <v>50</v>
      </c>
      <c r="K667" s="72">
        <v>50</v>
      </c>
      <c r="L667" s="90">
        <v>50</v>
      </c>
    </row>
    <row r="668" spans="1:12" x14ac:dyDescent="0.2">
      <c r="A668" s="68" t="s">
        <v>18</v>
      </c>
      <c r="B668" s="251"/>
      <c r="C668" s="72">
        <v>75</v>
      </c>
      <c r="D668" s="72">
        <v>75</v>
      </c>
      <c r="E668" s="72">
        <v>75</v>
      </c>
      <c r="F668" s="72">
        <v>70</v>
      </c>
      <c r="G668" s="72">
        <v>70</v>
      </c>
      <c r="H668" s="72">
        <f>H667+F671</f>
        <v>62.6</v>
      </c>
      <c r="I668" s="72">
        <v>70</v>
      </c>
      <c r="J668" s="72">
        <v>70</v>
      </c>
      <c r="K668" s="72">
        <v>70</v>
      </c>
      <c r="L668" s="90">
        <v>70</v>
      </c>
    </row>
    <row r="669" spans="1:12" x14ac:dyDescent="0.2">
      <c r="A669" s="68" t="s">
        <v>19</v>
      </c>
      <c r="B669" s="252"/>
      <c r="C669" s="253" t="s">
        <v>141</v>
      </c>
      <c r="D669" s="253" t="s">
        <v>141</v>
      </c>
      <c r="E669" s="253" t="s">
        <v>141</v>
      </c>
      <c r="F669" s="254" t="s">
        <v>245</v>
      </c>
      <c r="G669" s="254" t="s">
        <v>245</v>
      </c>
      <c r="H669" s="253" t="s">
        <v>329</v>
      </c>
      <c r="I669" s="253" t="s">
        <v>586</v>
      </c>
      <c r="J669" s="253" t="s">
        <v>884</v>
      </c>
      <c r="K669" s="253" t="s">
        <v>885</v>
      </c>
      <c r="L669" s="90" t="s">
        <v>1179</v>
      </c>
    </row>
    <row r="670" spans="1:12" x14ac:dyDescent="0.2">
      <c r="A670" s="68" t="s">
        <v>20</v>
      </c>
      <c r="B670" s="69"/>
      <c r="C670" s="72">
        <v>0</v>
      </c>
      <c r="D670" s="72">
        <v>27.449000000000002</v>
      </c>
      <c r="E670" s="72">
        <v>21.13</v>
      </c>
      <c r="F670" s="72">
        <v>57.4</v>
      </c>
      <c r="G670" s="72">
        <v>21.8</v>
      </c>
      <c r="H670" s="72">
        <v>27.576000000000001</v>
      </c>
      <c r="I670" s="72">
        <v>0</v>
      </c>
      <c r="J670" s="72">
        <v>0</v>
      </c>
      <c r="K670" s="72">
        <v>2.0099999999999998</v>
      </c>
      <c r="L670" s="90">
        <v>1.78</v>
      </c>
    </row>
    <row r="671" spans="1:12" x14ac:dyDescent="0.2">
      <c r="A671" s="68" t="s">
        <v>21</v>
      </c>
      <c r="B671" s="69"/>
      <c r="C671" s="72">
        <v>75</v>
      </c>
      <c r="D671" s="72">
        <f t="shared" ref="D671:L671" si="30">D668-D670</f>
        <v>47.551000000000002</v>
      </c>
      <c r="E671" s="72">
        <f t="shared" si="30"/>
        <v>53.870000000000005</v>
      </c>
      <c r="F671" s="72">
        <f t="shared" si="30"/>
        <v>12.600000000000001</v>
      </c>
      <c r="G671" s="72">
        <f t="shared" si="30"/>
        <v>48.2</v>
      </c>
      <c r="H671" s="72">
        <f t="shared" si="30"/>
        <v>35.024000000000001</v>
      </c>
      <c r="I671" s="72">
        <f t="shared" si="30"/>
        <v>70</v>
      </c>
      <c r="J671" s="72">
        <f t="shared" si="30"/>
        <v>70</v>
      </c>
      <c r="K671" s="72">
        <f t="shared" si="30"/>
        <v>67.989999999999995</v>
      </c>
      <c r="L671" s="72">
        <f t="shared" si="30"/>
        <v>68.22</v>
      </c>
    </row>
    <row r="672" spans="1:12" x14ac:dyDescent="0.2">
      <c r="A672" s="73" t="s">
        <v>22</v>
      </c>
      <c r="B672" s="74"/>
      <c r="C672" s="255">
        <v>2017</v>
      </c>
      <c r="D672" s="255">
        <v>2018</v>
      </c>
      <c r="E672" s="255">
        <v>2019</v>
      </c>
      <c r="F672" s="255">
        <v>2020</v>
      </c>
      <c r="G672" s="255">
        <v>2021</v>
      </c>
      <c r="H672" s="255">
        <v>2022</v>
      </c>
      <c r="I672" s="255">
        <v>2023</v>
      </c>
      <c r="J672" s="255">
        <v>2024</v>
      </c>
      <c r="K672" s="255">
        <v>2025</v>
      </c>
      <c r="L672" s="250">
        <v>2026</v>
      </c>
    </row>
    <row r="673" spans="1:12" x14ac:dyDescent="0.2">
      <c r="A673" s="92" t="s">
        <v>502</v>
      </c>
      <c r="B673" s="93"/>
      <c r="C673" s="256"/>
      <c r="D673" s="256"/>
      <c r="E673" s="256"/>
      <c r="F673" s="256"/>
      <c r="G673" s="256"/>
      <c r="H673" s="256"/>
      <c r="I673" s="256"/>
      <c r="J673" s="256"/>
      <c r="K673" s="256"/>
      <c r="L673" s="63"/>
    </row>
    <row r="674" spans="1:12" x14ac:dyDescent="0.2">
      <c r="A674" s="257" t="s">
        <v>886</v>
      </c>
      <c r="B674" s="258"/>
      <c r="C674" s="258"/>
      <c r="D674" s="258"/>
      <c r="E674" s="258"/>
      <c r="F674" s="258"/>
      <c r="G674" s="258"/>
      <c r="H674" s="258"/>
      <c r="I674" s="258"/>
      <c r="J674" s="258"/>
      <c r="K674" s="258"/>
      <c r="L674" s="48"/>
    </row>
    <row r="675" spans="1:12" x14ac:dyDescent="0.2">
      <c r="A675" s="138"/>
      <c r="B675" s="138"/>
      <c r="C675" s="138"/>
      <c r="D675" s="138"/>
      <c r="E675" s="138"/>
      <c r="F675" s="138"/>
      <c r="G675" s="138"/>
    </row>
    <row r="676" spans="1:12" x14ac:dyDescent="0.2">
      <c r="A676" s="98" t="s">
        <v>14</v>
      </c>
      <c r="B676" s="66" t="s">
        <v>641</v>
      </c>
      <c r="C676" s="66" t="s">
        <v>152</v>
      </c>
      <c r="D676" s="8"/>
      <c r="E676" s="8"/>
      <c r="F676" s="8"/>
      <c r="G676" s="8"/>
    </row>
    <row r="677" spans="1:12" x14ac:dyDescent="0.2">
      <c r="A677" s="95" t="s">
        <v>16</v>
      </c>
      <c r="B677" s="248"/>
      <c r="C677" s="249">
        <v>2015</v>
      </c>
      <c r="D677" s="249">
        <v>2016</v>
      </c>
      <c r="E677" s="249" t="s">
        <v>242</v>
      </c>
      <c r="F677" s="249" t="s">
        <v>243</v>
      </c>
      <c r="G677" s="249" t="s">
        <v>244</v>
      </c>
      <c r="H677" s="249" t="s">
        <v>286</v>
      </c>
      <c r="I677" s="249" t="s">
        <v>504</v>
      </c>
      <c r="J677" s="249" t="s">
        <v>675</v>
      </c>
      <c r="K677" s="249" t="s">
        <v>824</v>
      </c>
      <c r="L677" s="250" t="s">
        <v>1047</v>
      </c>
    </row>
    <row r="678" spans="1:12" x14ac:dyDescent="0.2">
      <c r="A678" s="68" t="s">
        <v>17</v>
      </c>
      <c r="B678" s="69"/>
      <c r="C678" s="72">
        <v>125</v>
      </c>
      <c r="D678" s="72">
        <v>125</v>
      </c>
      <c r="E678" s="72">
        <v>125</v>
      </c>
      <c r="F678" s="72">
        <v>125</v>
      </c>
      <c r="G678" s="72">
        <v>125</v>
      </c>
      <c r="H678" s="72">
        <v>125</v>
      </c>
      <c r="I678" s="72">
        <v>125</v>
      </c>
      <c r="J678" s="72">
        <v>125</v>
      </c>
      <c r="K678" s="72">
        <v>125</v>
      </c>
      <c r="L678" s="90">
        <v>125</v>
      </c>
    </row>
    <row r="679" spans="1:12" x14ac:dyDescent="0.2">
      <c r="A679" s="68" t="s">
        <v>18</v>
      </c>
      <c r="B679" s="251"/>
      <c r="C679" s="72">
        <f>C678*1.3</f>
        <v>162.5</v>
      </c>
      <c r="D679" s="72">
        <f>D678*1.3+25</f>
        <v>187.5</v>
      </c>
      <c r="E679" s="72">
        <f>E678*1.3+25</f>
        <v>187.5</v>
      </c>
      <c r="F679" s="72">
        <f>F678*1.2+25</f>
        <v>175</v>
      </c>
      <c r="G679" s="72">
        <f>G678*1.2+25</f>
        <v>175</v>
      </c>
      <c r="H679" s="72">
        <f>H678*1.2+25</f>
        <v>175</v>
      </c>
      <c r="I679" s="72">
        <v>150</v>
      </c>
      <c r="J679" s="72">
        <v>150</v>
      </c>
      <c r="K679" s="72">
        <v>150</v>
      </c>
      <c r="L679" s="90">
        <v>150</v>
      </c>
    </row>
    <row r="680" spans="1:12" x14ac:dyDescent="0.2">
      <c r="A680" s="68" t="s">
        <v>19</v>
      </c>
      <c r="B680" s="252"/>
      <c r="C680" s="253" t="s">
        <v>333</v>
      </c>
      <c r="D680" s="253" t="s">
        <v>334</v>
      </c>
      <c r="E680" s="253" t="s">
        <v>334</v>
      </c>
      <c r="F680" s="253" t="s">
        <v>335</v>
      </c>
      <c r="G680" s="253" t="s">
        <v>335</v>
      </c>
      <c r="H680" s="253" t="s">
        <v>335</v>
      </c>
      <c r="I680" s="253" t="s">
        <v>587</v>
      </c>
      <c r="J680" s="253" t="s">
        <v>587</v>
      </c>
      <c r="K680" s="253" t="s">
        <v>587</v>
      </c>
      <c r="L680" s="90" t="s">
        <v>587</v>
      </c>
    </row>
    <row r="681" spans="1:12" x14ac:dyDescent="0.2">
      <c r="A681" s="68" t="s">
        <v>20</v>
      </c>
      <c r="B681" s="69"/>
      <c r="C681" s="72">
        <v>41.9</v>
      </c>
      <c r="D681" s="72">
        <v>25.21</v>
      </c>
      <c r="E681" s="72">
        <v>16.8</v>
      </c>
      <c r="F681" s="72">
        <v>46.8</v>
      </c>
      <c r="G681" s="72">
        <v>101.46</v>
      </c>
      <c r="H681" s="72">
        <v>17.2</v>
      </c>
      <c r="I681" s="72">
        <v>0</v>
      </c>
      <c r="J681" s="72">
        <v>23.78</v>
      </c>
      <c r="K681" s="72">
        <v>2.4434</v>
      </c>
      <c r="L681" s="90">
        <v>65.12</v>
      </c>
    </row>
    <row r="682" spans="1:12" x14ac:dyDescent="0.2">
      <c r="A682" s="68" t="s">
        <v>21</v>
      </c>
      <c r="B682" s="69"/>
      <c r="C682" s="72">
        <f t="shared" ref="C682:L682" si="31">C679-C681</f>
        <v>120.6</v>
      </c>
      <c r="D682" s="72">
        <f t="shared" si="31"/>
        <v>162.29</v>
      </c>
      <c r="E682" s="72">
        <f t="shared" si="31"/>
        <v>170.7</v>
      </c>
      <c r="F682" s="72">
        <f t="shared" si="31"/>
        <v>128.19999999999999</v>
      </c>
      <c r="G682" s="72">
        <f t="shared" si="31"/>
        <v>73.540000000000006</v>
      </c>
      <c r="H682" s="72">
        <f t="shared" si="31"/>
        <v>157.80000000000001</v>
      </c>
      <c r="I682" s="72">
        <f t="shared" si="31"/>
        <v>150</v>
      </c>
      <c r="J682" s="72">
        <f t="shared" si="31"/>
        <v>126.22</v>
      </c>
      <c r="K682" s="72">
        <f t="shared" si="31"/>
        <v>147.5566</v>
      </c>
      <c r="L682" s="72">
        <f t="shared" si="31"/>
        <v>84.88</v>
      </c>
    </row>
    <row r="683" spans="1:12" x14ac:dyDescent="0.2">
      <c r="A683" s="73" t="s">
        <v>22</v>
      </c>
      <c r="B683" s="74"/>
      <c r="C683" s="255">
        <v>2017</v>
      </c>
      <c r="D683" s="255">
        <v>2018</v>
      </c>
      <c r="E683" s="255">
        <v>2019</v>
      </c>
      <c r="F683" s="255">
        <v>2020</v>
      </c>
      <c r="G683" s="255">
        <v>2021</v>
      </c>
      <c r="H683" s="255">
        <v>2022</v>
      </c>
      <c r="I683" s="255">
        <v>2023</v>
      </c>
      <c r="J683" s="255">
        <v>2024</v>
      </c>
      <c r="K683" s="255">
        <v>2025</v>
      </c>
      <c r="L683" s="250">
        <v>2026</v>
      </c>
    </row>
    <row r="684" spans="1:12" ht="12.75" customHeight="1" x14ac:dyDescent="0.2">
      <c r="A684" s="92" t="s">
        <v>331</v>
      </c>
      <c r="B684" s="259"/>
      <c r="C684" s="259"/>
      <c r="D684" s="259"/>
      <c r="E684" s="259"/>
      <c r="F684" s="259"/>
      <c r="G684" s="259"/>
      <c r="H684" s="259"/>
      <c r="I684" s="19"/>
      <c r="J684" s="19"/>
      <c r="K684" s="19"/>
      <c r="L684" s="63"/>
    </row>
    <row r="685" spans="1:12" x14ac:dyDescent="0.2">
      <c r="A685" s="109" t="s">
        <v>332</v>
      </c>
      <c r="B685" s="138"/>
      <c r="C685" s="138"/>
      <c r="D685" s="138"/>
      <c r="E685" s="138"/>
      <c r="F685" s="138"/>
      <c r="G685" s="138"/>
      <c r="L685" s="64"/>
    </row>
    <row r="686" spans="1:12" ht="13.15" customHeight="1" x14ac:dyDescent="0.2">
      <c r="A686" s="109" t="s">
        <v>330</v>
      </c>
      <c r="B686" s="138"/>
      <c r="C686" s="138"/>
      <c r="D686" s="138"/>
      <c r="E686" s="138"/>
      <c r="F686" s="138"/>
      <c r="G686" s="138"/>
      <c r="L686" s="64"/>
    </row>
    <row r="687" spans="1:12" x14ac:dyDescent="0.2">
      <c r="A687" s="260"/>
      <c r="B687" s="261"/>
      <c r="C687" s="261"/>
      <c r="D687" s="261"/>
      <c r="E687" s="261"/>
      <c r="F687" s="261"/>
      <c r="G687" s="261"/>
      <c r="H687" s="34"/>
      <c r="I687" s="34"/>
      <c r="J687" s="34"/>
      <c r="K687" s="34"/>
      <c r="L687" s="48"/>
    </row>
    <row r="688" spans="1:12" x14ac:dyDescent="0.2">
      <c r="A688" s="138"/>
      <c r="B688" s="138"/>
      <c r="C688" s="138"/>
      <c r="D688" s="138"/>
      <c r="E688" s="138"/>
      <c r="F688" s="138"/>
      <c r="G688" s="138"/>
    </row>
    <row r="689" spans="1:16" x14ac:dyDescent="0.2">
      <c r="A689" s="138"/>
      <c r="B689" s="138"/>
      <c r="C689" s="138"/>
      <c r="D689" s="138"/>
      <c r="E689" s="138"/>
      <c r="F689" s="138"/>
      <c r="G689" s="138"/>
    </row>
    <row r="690" spans="1:16" x14ac:dyDescent="0.2">
      <c r="A690" s="6" t="s">
        <v>12</v>
      </c>
      <c r="B690" s="174" t="s">
        <v>603</v>
      </c>
    </row>
    <row r="691" spans="1:16" x14ac:dyDescent="0.2">
      <c r="A691" s="262" t="s">
        <v>14</v>
      </c>
      <c r="B691" s="263" t="s">
        <v>74</v>
      </c>
      <c r="C691" s="264" t="s">
        <v>152</v>
      </c>
      <c r="D691" s="8"/>
      <c r="E691" s="8"/>
      <c r="F691" s="8"/>
      <c r="G691" s="8"/>
    </row>
    <row r="692" spans="1:16" x14ac:dyDescent="0.2">
      <c r="A692" s="68" t="s">
        <v>16</v>
      </c>
      <c r="B692" s="265">
        <v>2016</v>
      </c>
      <c r="C692" s="265">
        <v>2017</v>
      </c>
      <c r="D692" s="265">
        <v>2018</v>
      </c>
      <c r="E692" s="265">
        <v>2019</v>
      </c>
      <c r="F692" s="265">
        <v>2020</v>
      </c>
      <c r="G692" s="265">
        <v>2021</v>
      </c>
      <c r="H692" s="265">
        <v>2022</v>
      </c>
      <c r="I692" s="265">
        <v>2023</v>
      </c>
      <c r="J692" s="265">
        <v>2024</v>
      </c>
      <c r="K692" s="265">
        <v>2025</v>
      </c>
      <c r="L692" s="265">
        <v>2026</v>
      </c>
      <c r="M692" s="265">
        <v>2027</v>
      </c>
      <c r="N692" s="265">
        <v>2028</v>
      </c>
      <c r="O692" s="265">
        <v>2029</v>
      </c>
      <c r="P692" s="265">
        <v>2030</v>
      </c>
    </row>
    <row r="693" spans="1:16" x14ac:dyDescent="0.2">
      <c r="A693" s="68" t="s">
        <v>17</v>
      </c>
      <c r="B693" s="72">
        <v>10</v>
      </c>
      <c r="C693" s="72">
        <v>10</v>
      </c>
      <c r="D693" s="72">
        <v>10</v>
      </c>
      <c r="E693" s="72">
        <v>10</v>
      </c>
      <c r="F693" s="72">
        <v>10</v>
      </c>
      <c r="G693" s="72">
        <v>10</v>
      </c>
      <c r="H693" s="72">
        <v>10</v>
      </c>
      <c r="I693" s="72">
        <v>10</v>
      </c>
      <c r="J693" s="72">
        <v>10</v>
      </c>
      <c r="K693" s="72">
        <v>10</v>
      </c>
      <c r="L693" s="72">
        <v>10</v>
      </c>
      <c r="M693" s="72">
        <v>10</v>
      </c>
      <c r="N693" s="72">
        <v>10</v>
      </c>
      <c r="O693" s="72">
        <v>10</v>
      </c>
      <c r="P693" s="72">
        <v>10</v>
      </c>
    </row>
    <row r="694" spans="1:16" x14ac:dyDescent="0.2">
      <c r="A694" s="68" t="s">
        <v>18</v>
      </c>
      <c r="B694" s="72"/>
      <c r="C694" s="72"/>
      <c r="D694" s="72">
        <f>C697+D693</f>
        <v>-28</v>
      </c>
      <c r="E694" s="72">
        <f>D697+E693</f>
        <v>-20.3</v>
      </c>
      <c r="F694" s="72">
        <f>E697+F693</f>
        <v>-30.6</v>
      </c>
      <c r="G694" s="72">
        <f>F697+G693</f>
        <v>-20.6</v>
      </c>
      <c r="H694" s="72">
        <f>-2.53+H693</f>
        <v>7.4700000000000006</v>
      </c>
      <c r="I694" s="72">
        <f>-2.5+I693</f>
        <v>7.5</v>
      </c>
      <c r="J694" s="72">
        <f t="shared" ref="J694:P694" si="32">-2.5+J693</f>
        <v>7.5</v>
      </c>
      <c r="K694" s="72">
        <f t="shared" si="32"/>
        <v>7.5</v>
      </c>
      <c r="L694" s="72">
        <f t="shared" si="32"/>
        <v>7.5</v>
      </c>
      <c r="M694" s="72">
        <f t="shared" si="32"/>
        <v>7.5</v>
      </c>
      <c r="N694" s="72">
        <f t="shared" si="32"/>
        <v>7.5</v>
      </c>
      <c r="O694" s="72">
        <f t="shared" si="32"/>
        <v>7.5</v>
      </c>
      <c r="P694" s="72">
        <f t="shared" si="32"/>
        <v>7.5</v>
      </c>
    </row>
    <row r="695" spans="1:16" x14ac:dyDescent="0.2">
      <c r="A695" s="68" t="s">
        <v>19</v>
      </c>
      <c r="B695" s="266"/>
      <c r="C695" s="266"/>
      <c r="D695" s="266"/>
      <c r="E695" s="266"/>
      <c r="F695" s="266"/>
      <c r="G695" s="266"/>
      <c r="H695" s="267" t="s">
        <v>543</v>
      </c>
      <c r="I695" s="267" t="s">
        <v>543</v>
      </c>
      <c r="J695" s="267" t="s">
        <v>543</v>
      </c>
      <c r="K695" s="267" t="s">
        <v>543</v>
      </c>
      <c r="L695" s="267" t="s">
        <v>543</v>
      </c>
      <c r="M695" s="267" t="s">
        <v>543</v>
      </c>
      <c r="N695" s="267" t="s">
        <v>543</v>
      </c>
      <c r="O695" s="267" t="s">
        <v>543</v>
      </c>
      <c r="P695" s="267" t="s">
        <v>543</v>
      </c>
    </row>
    <row r="696" spans="1:16" x14ac:dyDescent="0.2">
      <c r="A696" s="68" t="s">
        <v>20</v>
      </c>
      <c r="B696" s="72">
        <v>0</v>
      </c>
      <c r="C696" s="72">
        <v>48</v>
      </c>
      <c r="D696" s="72">
        <v>2.2999999999999998</v>
      </c>
      <c r="E696" s="72">
        <v>20.3</v>
      </c>
      <c r="F696" s="72">
        <v>0</v>
      </c>
      <c r="G696" s="72">
        <v>1.9330000000000001</v>
      </c>
      <c r="H696" s="72">
        <v>6.29</v>
      </c>
      <c r="I696" s="72">
        <v>0.80700000000000005</v>
      </c>
      <c r="J696" s="72"/>
      <c r="K696" s="72"/>
      <c r="L696" s="72"/>
      <c r="M696" s="72"/>
      <c r="N696" s="72"/>
      <c r="O696" s="72"/>
      <c r="P696" s="72"/>
    </row>
    <row r="697" spans="1:16" x14ac:dyDescent="0.2">
      <c r="A697" s="68" t="s">
        <v>21</v>
      </c>
      <c r="B697" s="72">
        <f>B693-B696</f>
        <v>10</v>
      </c>
      <c r="C697" s="72">
        <f>C693-C696</f>
        <v>-38</v>
      </c>
      <c r="D697" s="72">
        <f t="shared" ref="D697:I697" si="33">D694-D696</f>
        <v>-30.3</v>
      </c>
      <c r="E697" s="72">
        <f t="shared" si="33"/>
        <v>-40.6</v>
      </c>
      <c r="F697" s="72">
        <f t="shared" si="33"/>
        <v>-30.6</v>
      </c>
      <c r="G697" s="72">
        <f t="shared" si="33"/>
        <v>-22.533000000000001</v>
      </c>
      <c r="H697" s="72">
        <f t="shared" si="33"/>
        <v>1.1800000000000006</v>
      </c>
      <c r="I697" s="72">
        <f t="shared" si="33"/>
        <v>6.6929999999999996</v>
      </c>
      <c r="J697" s="72"/>
      <c r="K697" s="72"/>
      <c r="L697" s="72"/>
      <c r="M697" s="72"/>
      <c r="N697" s="72"/>
      <c r="O697" s="72"/>
      <c r="P697" s="72"/>
    </row>
    <row r="698" spans="1:16" x14ac:dyDescent="0.2">
      <c r="A698" s="73" t="s">
        <v>22</v>
      </c>
      <c r="B698" s="74">
        <v>2017</v>
      </c>
      <c r="C698" s="74">
        <v>2018</v>
      </c>
      <c r="D698" s="74">
        <v>2019</v>
      </c>
      <c r="E698" s="74">
        <v>2020</v>
      </c>
      <c r="F698" s="74">
        <v>2021</v>
      </c>
      <c r="G698" s="74">
        <v>2022</v>
      </c>
      <c r="H698" s="74">
        <v>2023</v>
      </c>
      <c r="I698" s="74">
        <v>2024</v>
      </c>
      <c r="J698" s="74">
        <v>2025</v>
      </c>
      <c r="K698" s="74">
        <v>2026</v>
      </c>
      <c r="L698" s="74">
        <v>2027</v>
      </c>
      <c r="M698" s="74">
        <v>2028</v>
      </c>
      <c r="N698" s="74">
        <v>2029</v>
      </c>
      <c r="O698" s="74">
        <v>2030</v>
      </c>
      <c r="P698" s="74">
        <v>2031</v>
      </c>
    </row>
    <row r="699" spans="1:16" x14ac:dyDescent="0.2">
      <c r="A699" s="73" t="s">
        <v>429</v>
      </c>
      <c r="B699" s="75"/>
      <c r="C699" s="75"/>
      <c r="D699" s="75"/>
      <c r="E699" s="75"/>
      <c r="F699" s="75"/>
      <c r="G699" s="75"/>
      <c r="H699" s="75"/>
      <c r="I699" s="46"/>
      <c r="J699" s="46"/>
      <c r="K699" s="46"/>
      <c r="L699" s="46"/>
      <c r="M699" s="46"/>
      <c r="N699" s="46"/>
      <c r="O699" s="46"/>
      <c r="P699" s="47"/>
    </row>
    <row r="700" spans="1:16" x14ac:dyDescent="0.2">
      <c r="A700" s="693" t="s">
        <v>935</v>
      </c>
      <c r="B700" s="694"/>
      <c r="C700" s="694"/>
      <c r="D700" s="694"/>
      <c r="E700" s="694"/>
      <c r="F700" s="694"/>
      <c r="G700" s="694"/>
      <c r="H700" s="694"/>
      <c r="I700" s="34"/>
      <c r="J700" s="34"/>
      <c r="K700" s="34"/>
      <c r="L700" s="34"/>
      <c r="M700" s="34"/>
      <c r="N700" s="34"/>
      <c r="O700" s="34"/>
      <c r="P700" s="48"/>
    </row>
    <row r="702" spans="1:16" x14ac:dyDescent="0.2">
      <c r="A702" s="138"/>
      <c r="B702" s="138"/>
      <c r="C702" s="138"/>
      <c r="D702" s="138"/>
      <c r="E702" s="138"/>
      <c r="F702" s="138"/>
      <c r="G702" s="138"/>
    </row>
    <row r="703" spans="1:16" x14ac:dyDescent="0.2">
      <c r="A703" s="6" t="s">
        <v>12</v>
      </c>
      <c r="B703" s="174" t="s">
        <v>707</v>
      </c>
    </row>
    <row r="704" spans="1:16" x14ac:dyDescent="0.2">
      <c r="A704" s="103" t="s">
        <v>14</v>
      </c>
      <c r="B704" s="104" t="s">
        <v>1017</v>
      </c>
      <c r="C704" s="66" t="s">
        <v>152</v>
      </c>
      <c r="D704" s="8"/>
      <c r="E704" s="8"/>
      <c r="F704" s="8"/>
      <c r="G704" s="8"/>
    </row>
    <row r="705" spans="1:8" x14ac:dyDescent="0.2">
      <c r="A705" s="95" t="s">
        <v>16</v>
      </c>
      <c r="B705" s="265"/>
      <c r="C705" s="265">
        <v>2022</v>
      </c>
      <c r="D705" s="265">
        <v>2023</v>
      </c>
      <c r="E705" s="265">
        <v>2024</v>
      </c>
      <c r="F705" s="90">
        <v>2025</v>
      </c>
    </row>
    <row r="706" spans="1:8" x14ac:dyDescent="0.2">
      <c r="A706" s="68" t="s">
        <v>17</v>
      </c>
      <c r="B706" s="72"/>
      <c r="C706" s="72">
        <v>177.27</v>
      </c>
      <c r="D706" s="72">
        <v>150.27000000000001</v>
      </c>
      <c r="E706" s="72">
        <v>150.27000000000001</v>
      </c>
      <c r="F706" s="90">
        <v>150.27000000000001</v>
      </c>
    </row>
    <row r="707" spans="1:8" x14ac:dyDescent="0.2">
      <c r="A707" s="68" t="s">
        <v>18</v>
      </c>
      <c r="B707" s="72"/>
      <c r="C707" s="72"/>
      <c r="D707" s="72"/>
      <c r="E707" s="72">
        <f>E706+D710</f>
        <v>136.54000000000002</v>
      </c>
      <c r="F707" s="130">
        <f>F706+E710</f>
        <v>141.54000000000002</v>
      </c>
    </row>
    <row r="708" spans="1:8" x14ac:dyDescent="0.2">
      <c r="A708" s="68" t="s">
        <v>19</v>
      </c>
      <c r="B708" s="266"/>
      <c r="C708" s="266"/>
      <c r="D708" s="266"/>
      <c r="E708" s="267" t="s">
        <v>543</v>
      </c>
      <c r="F708" s="90" t="s">
        <v>543</v>
      </c>
    </row>
    <row r="709" spans="1:8" x14ac:dyDescent="0.2">
      <c r="A709" s="68" t="s">
        <v>20</v>
      </c>
      <c r="B709" s="72"/>
      <c r="C709" s="72">
        <v>177</v>
      </c>
      <c r="D709" s="72">
        <v>164</v>
      </c>
      <c r="E709" s="72">
        <v>159</v>
      </c>
      <c r="F709" s="90"/>
    </row>
    <row r="710" spans="1:8" x14ac:dyDescent="0.2">
      <c r="A710" s="68" t="s">
        <v>21</v>
      </c>
      <c r="B710" s="72"/>
      <c r="C710" s="72">
        <f>C706-C709</f>
        <v>0.27000000000001023</v>
      </c>
      <c r="D710" s="72">
        <f>D706-D709</f>
        <v>-13.72999999999999</v>
      </c>
      <c r="E710" s="268">
        <f>E706-E709</f>
        <v>-8.7299999999999898</v>
      </c>
      <c r="F710" s="90"/>
    </row>
    <row r="711" spans="1:8" x14ac:dyDescent="0.2">
      <c r="A711" s="73" t="s">
        <v>22</v>
      </c>
      <c r="B711" s="74"/>
      <c r="C711" s="74"/>
      <c r="D711" s="74">
        <v>2024</v>
      </c>
      <c r="E711" s="74">
        <v>2025</v>
      </c>
      <c r="F711" s="90">
        <v>2026</v>
      </c>
    </row>
    <row r="712" spans="1:8" ht="13.15" customHeight="1" x14ac:dyDescent="0.2">
      <c r="A712" s="269" t="s">
        <v>23</v>
      </c>
      <c r="B712" s="269"/>
      <c r="C712" s="269"/>
      <c r="D712" s="269"/>
      <c r="E712" s="269"/>
      <c r="F712" s="90"/>
    </row>
    <row r="713" spans="1:8" ht="13.15" customHeight="1" x14ac:dyDescent="0.2">
      <c r="A713" s="92" t="s">
        <v>1018</v>
      </c>
      <c r="B713" s="259"/>
      <c r="C713" s="259"/>
      <c r="D713" s="259"/>
      <c r="E713" s="259"/>
      <c r="F713" s="63"/>
    </row>
    <row r="714" spans="1:8" x14ac:dyDescent="0.2">
      <c r="A714" s="110"/>
      <c r="B714" s="261"/>
      <c r="C714" s="261"/>
      <c r="D714" s="261"/>
      <c r="E714" s="122"/>
      <c r="F714" s="270"/>
      <c r="G714" s="119"/>
      <c r="H714" s="119"/>
    </row>
    <row r="715" spans="1:8" x14ac:dyDescent="0.2">
      <c r="A715" s="110"/>
      <c r="B715" s="261"/>
      <c r="C715" s="261"/>
      <c r="D715" s="138"/>
      <c r="E715" s="119"/>
      <c r="F715" s="119"/>
      <c r="G715" s="119"/>
      <c r="H715" s="119"/>
    </row>
    <row r="716" spans="1:8" x14ac:dyDescent="0.2">
      <c r="A716" s="103" t="s">
        <v>14</v>
      </c>
      <c r="B716" s="104" t="s">
        <v>642</v>
      </c>
      <c r="C716" s="66" t="s">
        <v>152</v>
      </c>
      <c r="D716" s="8"/>
      <c r="E716" s="8"/>
      <c r="F716" s="8"/>
      <c r="G716" s="8"/>
    </row>
    <row r="717" spans="1:8" x14ac:dyDescent="0.2">
      <c r="A717" s="95" t="s">
        <v>16</v>
      </c>
      <c r="B717" s="265"/>
      <c r="C717" s="265">
        <v>2021</v>
      </c>
      <c r="D717" s="265">
        <v>2022</v>
      </c>
      <c r="E717" s="265">
        <v>2023</v>
      </c>
      <c r="F717" s="265">
        <v>2024</v>
      </c>
      <c r="G717" s="265">
        <v>2025</v>
      </c>
    </row>
    <row r="718" spans="1:8" x14ac:dyDescent="0.2">
      <c r="A718" s="68" t="s">
        <v>17</v>
      </c>
      <c r="B718" s="72"/>
      <c r="C718" s="72">
        <v>330</v>
      </c>
      <c r="D718" s="72">
        <v>330</v>
      </c>
      <c r="E718" s="72">
        <v>513</v>
      </c>
      <c r="F718" s="72">
        <v>513</v>
      </c>
      <c r="G718" s="72">
        <v>513</v>
      </c>
    </row>
    <row r="719" spans="1:8" x14ac:dyDescent="0.2">
      <c r="A719" s="68" t="s">
        <v>18</v>
      </c>
      <c r="B719" s="72"/>
      <c r="C719" s="72"/>
      <c r="D719" s="72">
        <f>D718-259.62</f>
        <v>70.38</v>
      </c>
      <c r="E719" s="72">
        <f>E718-507.87</f>
        <v>5.1299999999999955</v>
      </c>
      <c r="F719" s="72">
        <f>F718-507.87</f>
        <v>5.1299999999999955</v>
      </c>
      <c r="G719" s="72">
        <f>G718-507.87</f>
        <v>5.1299999999999955</v>
      </c>
      <c r="H719" s="271"/>
    </row>
    <row r="720" spans="1:8" x14ac:dyDescent="0.2">
      <c r="A720" s="68" t="s">
        <v>19</v>
      </c>
      <c r="B720" s="266"/>
      <c r="C720" s="266"/>
      <c r="D720" s="266"/>
      <c r="E720" s="266"/>
      <c r="F720" s="266"/>
      <c r="G720" s="266"/>
    </row>
    <row r="721" spans="1:9" x14ac:dyDescent="0.2">
      <c r="A721" s="68" t="s">
        <v>20</v>
      </c>
      <c r="B721" s="72"/>
      <c r="C721" s="72">
        <v>326.61</v>
      </c>
      <c r="D721" s="72">
        <v>67.08</v>
      </c>
      <c r="E721" s="72">
        <v>0</v>
      </c>
      <c r="F721" s="72">
        <v>0</v>
      </c>
      <c r="G721" s="72"/>
    </row>
    <row r="722" spans="1:9" x14ac:dyDescent="0.2">
      <c r="A722" s="68" t="s">
        <v>21</v>
      </c>
      <c r="B722" s="72"/>
      <c r="C722" s="72">
        <f>C718-C721</f>
        <v>3.3899999999999864</v>
      </c>
      <c r="D722" s="72">
        <f>D719-D721</f>
        <v>3.2999999999999972</v>
      </c>
      <c r="E722" s="72">
        <f>E719-E721</f>
        <v>5.1299999999999955</v>
      </c>
      <c r="F722" s="72">
        <f>F719-F721</f>
        <v>5.1299999999999955</v>
      </c>
      <c r="G722" s="72"/>
    </row>
    <row r="723" spans="1:9" x14ac:dyDescent="0.2">
      <c r="A723" s="73" t="s">
        <v>22</v>
      </c>
      <c r="B723" s="74"/>
      <c r="C723" s="74"/>
      <c r="D723" s="74"/>
      <c r="E723" s="74"/>
      <c r="F723" s="74"/>
      <c r="G723" s="74"/>
    </row>
    <row r="724" spans="1:9" ht="13.15" customHeight="1" x14ac:dyDescent="0.2">
      <c r="A724" s="269" t="s">
        <v>23</v>
      </c>
      <c r="B724" s="269"/>
      <c r="C724" s="269"/>
      <c r="D724" s="269"/>
      <c r="E724" s="269"/>
      <c r="F724" s="269"/>
      <c r="G724" s="269"/>
    </row>
    <row r="725" spans="1:9" x14ac:dyDescent="0.2">
      <c r="A725" s="73" t="s">
        <v>660</v>
      </c>
      <c r="B725" s="75"/>
      <c r="C725" s="75"/>
      <c r="D725" s="75"/>
      <c r="E725" s="272"/>
      <c r="F725" s="47"/>
    </row>
    <row r="726" spans="1:9" ht="12.75" customHeight="1" x14ac:dyDescent="0.2">
      <c r="A726" s="94" t="s">
        <v>1016</v>
      </c>
      <c r="B726" s="8"/>
      <c r="C726" s="8"/>
      <c r="D726" s="8"/>
      <c r="E726" s="119"/>
      <c r="F726" s="64"/>
    </row>
    <row r="727" spans="1:9" x14ac:dyDescent="0.2">
      <c r="A727" s="110" t="s">
        <v>959</v>
      </c>
      <c r="B727" s="261"/>
      <c r="C727" s="261"/>
      <c r="D727" s="261"/>
      <c r="E727" s="122"/>
      <c r="F727" s="270"/>
      <c r="G727" s="119"/>
      <c r="H727" s="119"/>
    </row>
    <row r="728" spans="1:9" x14ac:dyDescent="0.2">
      <c r="A728" s="80"/>
      <c r="B728" s="138"/>
      <c r="C728" s="138"/>
      <c r="D728" s="138"/>
      <c r="E728" s="119"/>
      <c r="F728" s="119"/>
      <c r="G728" s="119"/>
      <c r="H728" s="119"/>
    </row>
    <row r="730" spans="1:9" x14ac:dyDescent="0.2">
      <c r="A730" s="6" t="s">
        <v>12</v>
      </c>
      <c r="B730" s="174" t="s">
        <v>259</v>
      </c>
    </row>
    <row r="731" spans="1:9" x14ac:dyDescent="0.2">
      <c r="A731" s="103" t="s">
        <v>14</v>
      </c>
      <c r="B731" s="104" t="s">
        <v>66</v>
      </c>
      <c r="C731" s="66" t="s">
        <v>152</v>
      </c>
      <c r="D731" s="8"/>
      <c r="E731" s="8"/>
      <c r="F731" s="8"/>
      <c r="G731" s="8"/>
    </row>
    <row r="732" spans="1:9" x14ac:dyDescent="0.2">
      <c r="A732" s="95" t="s">
        <v>16</v>
      </c>
      <c r="B732" s="273" t="s">
        <v>243</v>
      </c>
      <c r="C732" s="265" t="s">
        <v>244</v>
      </c>
      <c r="D732" s="265" t="s">
        <v>286</v>
      </c>
      <c r="E732" s="265" t="s">
        <v>594</v>
      </c>
      <c r="F732" s="265" t="s">
        <v>789</v>
      </c>
      <c r="G732" s="274" t="s">
        <v>1180</v>
      </c>
      <c r="H732" s="274" t="s">
        <v>1181</v>
      </c>
      <c r="I732" s="274" t="s">
        <v>1182</v>
      </c>
    </row>
    <row r="733" spans="1:9" x14ac:dyDescent="0.2">
      <c r="A733" s="68" t="s">
        <v>17</v>
      </c>
      <c r="B733" s="72" t="s">
        <v>47</v>
      </c>
      <c r="C733" s="72" t="s">
        <v>47</v>
      </c>
      <c r="D733" s="72">
        <v>1552.77</v>
      </c>
      <c r="E733" s="72">
        <v>1527.9256800000001</v>
      </c>
      <c r="F733" s="72">
        <v>1540.3478400000001</v>
      </c>
      <c r="G733" s="131">
        <v>1540.3478400000001</v>
      </c>
      <c r="H733" s="131">
        <v>1553</v>
      </c>
      <c r="I733" s="131">
        <v>1980</v>
      </c>
    </row>
    <row r="734" spans="1:9" x14ac:dyDescent="0.2">
      <c r="A734" s="68" t="s">
        <v>18</v>
      </c>
      <c r="B734" s="72" t="s">
        <v>47</v>
      </c>
      <c r="C734" s="72" t="s">
        <v>47</v>
      </c>
      <c r="D734" s="72"/>
      <c r="E734" s="72"/>
      <c r="F734" s="72"/>
      <c r="G734" s="90"/>
      <c r="H734" s="90"/>
      <c r="I734" s="90"/>
    </row>
    <row r="735" spans="1:9" x14ac:dyDescent="0.2">
      <c r="A735" s="68" t="s">
        <v>19</v>
      </c>
      <c r="B735" s="266"/>
      <c r="C735" s="266"/>
      <c r="D735" s="266"/>
      <c r="E735" s="266"/>
      <c r="F735" s="266"/>
      <c r="G735" s="90"/>
      <c r="H735" s="90"/>
      <c r="I735" s="90"/>
    </row>
    <row r="736" spans="1:9" x14ac:dyDescent="0.2">
      <c r="A736" s="68" t="s">
        <v>20</v>
      </c>
      <c r="B736" s="72">
        <v>2633.56</v>
      </c>
      <c r="C736" s="72">
        <v>2463.83</v>
      </c>
      <c r="D736" s="72">
        <v>1518</v>
      </c>
      <c r="E736" s="72">
        <v>1491.84</v>
      </c>
      <c r="F736" s="72">
        <v>1499.98</v>
      </c>
      <c r="G736" s="72">
        <v>1396.63</v>
      </c>
      <c r="H736" s="90">
        <v>1542.47</v>
      </c>
      <c r="I736" s="90"/>
    </row>
    <row r="737" spans="1:13" x14ac:dyDescent="0.2">
      <c r="A737" s="68" t="s">
        <v>21</v>
      </c>
      <c r="B737" s="72" t="s">
        <v>47</v>
      </c>
      <c r="C737" s="72" t="s">
        <v>47</v>
      </c>
      <c r="D737" s="72">
        <f>D733-D736</f>
        <v>34.769999999999982</v>
      </c>
      <c r="E737" s="72">
        <f>E733-E736</f>
        <v>36.085680000000139</v>
      </c>
      <c r="F737" s="72">
        <f>F733-F736</f>
        <v>40.367840000000115</v>
      </c>
      <c r="G737" s="72">
        <f t="shared" ref="G737:I737" si="34">G733-G736</f>
        <v>143.71784000000002</v>
      </c>
      <c r="H737" s="72">
        <f t="shared" si="34"/>
        <v>10.529999999999973</v>
      </c>
      <c r="I737" s="72">
        <f t="shared" si="34"/>
        <v>1980</v>
      </c>
    </row>
    <row r="738" spans="1:13" x14ac:dyDescent="0.2">
      <c r="A738" s="92" t="s">
        <v>22</v>
      </c>
      <c r="B738" s="275"/>
      <c r="C738" s="275"/>
      <c r="D738" s="275"/>
      <c r="E738" s="275"/>
      <c r="F738" s="275"/>
      <c r="G738" s="62"/>
      <c r="H738" s="62"/>
      <c r="I738" s="62"/>
    </row>
    <row r="739" spans="1:13" x14ac:dyDescent="0.2">
      <c r="A739" s="689" t="s">
        <v>787</v>
      </c>
      <c r="B739" s="690"/>
      <c r="C739" s="690"/>
      <c r="D739" s="690"/>
      <c r="E739" s="690"/>
      <c r="F739" s="259"/>
      <c r="G739" s="259"/>
      <c r="H739" s="259"/>
      <c r="I739" s="63"/>
    </row>
    <row r="740" spans="1:13" x14ac:dyDescent="0.2">
      <c r="A740" s="39" t="s">
        <v>788</v>
      </c>
      <c r="I740" s="64"/>
    </row>
    <row r="741" spans="1:13" x14ac:dyDescent="0.2">
      <c r="A741" s="41" t="s">
        <v>790</v>
      </c>
      <c r="B741" s="34"/>
      <c r="C741" s="34"/>
      <c r="D741" s="34"/>
      <c r="E741" s="34"/>
      <c r="F741" s="34"/>
      <c r="G741" s="34"/>
      <c r="H741" s="34"/>
      <c r="I741" s="48"/>
    </row>
    <row r="743" spans="1:13" ht="13.15" customHeight="1" x14ac:dyDescent="0.2"/>
    <row r="744" spans="1:13" x14ac:dyDescent="0.2">
      <c r="A744" s="6" t="s">
        <v>12</v>
      </c>
      <c r="B744" s="174" t="s">
        <v>39</v>
      </c>
    </row>
    <row r="745" spans="1:13" x14ac:dyDescent="0.2">
      <c r="A745" s="152" t="s">
        <v>14</v>
      </c>
      <c r="B745" s="276" t="s">
        <v>624</v>
      </c>
      <c r="C745" s="7" t="s">
        <v>15</v>
      </c>
    </row>
    <row r="746" spans="1:13" x14ac:dyDescent="0.2">
      <c r="A746" s="41" t="s">
        <v>16</v>
      </c>
      <c r="B746" s="277">
        <v>2014</v>
      </c>
      <c r="C746" s="155">
        <v>2015</v>
      </c>
      <c r="D746" s="155">
        <v>2016</v>
      </c>
      <c r="E746" s="155">
        <v>2017</v>
      </c>
      <c r="F746" s="155">
        <v>2018</v>
      </c>
      <c r="G746" s="155">
        <v>2019</v>
      </c>
      <c r="H746" s="155">
        <v>2020</v>
      </c>
      <c r="I746" s="155">
        <v>2021</v>
      </c>
      <c r="J746" s="155">
        <v>2022</v>
      </c>
      <c r="K746" s="155">
        <v>2023</v>
      </c>
      <c r="L746" s="155">
        <v>2024</v>
      </c>
      <c r="M746" s="155">
        <v>2025</v>
      </c>
    </row>
    <row r="747" spans="1:13" x14ac:dyDescent="0.2">
      <c r="A747" s="10" t="s">
        <v>17</v>
      </c>
      <c r="B747" s="278">
        <v>21551.3</v>
      </c>
      <c r="C747" s="278">
        <v>21551.3</v>
      </c>
      <c r="D747" s="278">
        <v>21551.3</v>
      </c>
      <c r="E747" s="278">
        <v>21551.3</v>
      </c>
      <c r="F747" s="278">
        <v>25861.599999999999</v>
      </c>
      <c r="G747" s="278">
        <v>25861.599999999999</v>
      </c>
      <c r="H747" s="278">
        <v>25861.599999999999</v>
      </c>
      <c r="I747" s="12">
        <v>29095.1</v>
      </c>
      <c r="J747" s="12">
        <v>29095.1</v>
      </c>
      <c r="K747" s="12">
        <v>29095.1</v>
      </c>
      <c r="L747" s="12">
        <v>35815.9</v>
      </c>
      <c r="M747" s="12">
        <v>35815.9</v>
      </c>
    </row>
    <row r="748" spans="1:13" x14ac:dyDescent="0.2">
      <c r="A748" s="10" t="s">
        <v>18</v>
      </c>
      <c r="B748" s="278">
        <v>26534.959999999999</v>
      </c>
      <c r="C748" s="278">
        <v>26939.13</v>
      </c>
      <c r="D748" s="278">
        <v>24541.7</v>
      </c>
      <c r="E748" s="278">
        <v>26939.125</v>
      </c>
      <c r="F748" s="278">
        <v>26094.649999999998</v>
      </c>
      <c r="G748" s="278">
        <v>29536.849000000002</v>
      </c>
      <c r="H748" s="278">
        <v>26869.420999999995</v>
      </c>
      <c r="I748" s="12">
        <f>I747+G751-434.04</f>
        <v>28121.021000000001</v>
      </c>
      <c r="J748" s="12">
        <f>J747+H751-0.0152*J747</f>
        <v>29941.571479999991</v>
      </c>
      <c r="K748" s="12">
        <f>K747+I751-0.0152*I747</f>
        <v>30678.782479999994</v>
      </c>
      <c r="L748" s="12">
        <f>L747+J751</f>
        <v>38912.721479999993</v>
      </c>
      <c r="M748" s="12">
        <f>M747+K751</f>
        <v>43134.292479999996</v>
      </c>
    </row>
    <row r="749" spans="1:13" ht="51" x14ac:dyDescent="0.2">
      <c r="A749" s="10" t="s">
        <v>19</v>
      </c>
      <c r="B749" s="279" t="s">
        <v>40</v>
      </c>
      <c r="C749" s="279" t="s">
        <v>41</v>
      </c>
      <c r="D749" s="279" t="s">
        <v>42</v>
      </c>
      <c r="E749" s="280" t="s">
        <v>43</v>
      </c>
      <c r="F749" s="280" t="s">
        <v>44</v>
      </c>
      <c r="G749" s="280" t="s">
        <v>45</v>
      </c>
      <c r="H749" s="280" t="s">
        <v>46</v>
      </c>
      <c r="I749" s="281" t="s">
        <v>471</v>
      </c>
      <c r="J749" s="281" t="s">
        <v>472</v>
      </c>
      <c r="K749" s="281" t="s">
        <v>634</v>
      </c>
      <c r="L749" s="281" t="s">
        <v>1006</v>
      </c>
      <c r="M749" s="281" t="s">
        <v>1128</v>
      </c>
    </row>
    <row r="750" spans="1:13" ht="12.6" customHeight="1" x14ac:dyDescent="0.2">
      <c r="A750" s="10" t="s">
        <v>20</v>
      </c>
      <c r="B750" s="12">
        <v>23544.560000000001</v>
      </c>
      <c r="C750" s="12">
        <v>20891.8</v>
      </c>
      <c r="D750" s="12">
        <v>24308.65</v>
      </c>
      <c r="E750" s="12">
        <v>23263.875999999997</v>
      </c>
      <c r="F750" s="12">
        <v>25086.829000000002</v>
      </c>
      <c r="G750" s="12">
        <v>30076.887999999999</v>
      </c>
      <c r="H750" s="12">
        <v>25580.704000000002</v>
      </c>
      <c r="I750" s="12">
        <v>26095.093000000004</v>
      </c>
      <c r="J750" s="12">
        <v>26844.75</v>
      </c>
      <c r="K750" s="12">
        <v>23360.39</v>
      </c>
      <c r="L750" s="12">
        <v>19901.083999999999</v>
      </c>
      <c r="M750" s="12"/>
    </row>
    <row r="751" spans="1:13" x14ac:dyDescent="0.2">
      <c r="A751" s="10" t="s">
        <v>21</v>
      </c>
      <c r="B751" s="12">
        <v>2990.4</v>
      </c>
      <c r="C751" s="12">
        <v>6047.33</v>
      </c>
      <c r="D751" s="12">
        <v>233.04999999999927</v>
      </c>
      <c r="E751" s="12">
        <v>3675.2490000000034</v>
      </c>
      <c r="F751" s="12">
        <v>1007.8209999999963</v>
      </c>
      <c r="G751" s="12">
        <f t="shared" ref="G751:L751" si="35">G748-G750</f>
        <v>-540.03899999999703</v>
      </c>
      <c r="H751" s="12">
        <f t="shared" si="35"/>
        <v>1288.7169999999933</v>
      </c>
      <c r="I751" s="12">
        <f t="shared" si="35"/>
        <v>2025.9279999999962</v>
      </c>
      <c r="J751" s="12">
        <f t="shared" si="35"/>
        <v>3096.8214799999914</v>
      </c>
      <c r="K751" s="12">
        <f t="shared" si="35"/>
        <v>7318.392479999995</v>
      </c>
      <c r="L751" s="12">
        <f t="shared" si="35"/>
        <v>19011.637479999994</v>
      </c>
      <c r="M751" s="12"/>
    </row>
    <row r="752" spans="1:13" x14ac:dyDescent="0.2">
      <c r="A752" s="16" t="s">
        <v>22</v>
      </c>
      <c r="B752" s="160">
        <v>2016</v>
      </c>
      <c r="C752" s="160">
        <v>2017</v>
      </c>
      <c r="D752" s="160">
        <v>2018</v>
      </c>
      <c r="E752" s="160">
        <v>2019</v>
      </c>
      <c r="F752" s="160">
        <v>2020</v>
      </c>
      <c r="G752" s="160">
        <v>2021</v>
      </c>
      <c r="H752" s="160">
        <v>2022</v>
      </c>
      <c r="I752" s="160">
        <v>2023</v>
      </c>
      <c r="J752" s="160">
        <v>2024</v>
      </c>
      <c r="K752" s="160">
        <v>2025</v>
      </c>
      <c r="L752" s="160">
        <v>2026</v>
      </c>
      <c r="M752" s="160">
        <v>2027</v>
      </c>
    </row>
    <row r="753" spans="1:14" x14ac:dyDescent="0.2">
      <c r="A753" s="18" t="s">
        <v>469</v>
      </c>
      <c r="B753" s="282"/>
      <c r="C753" s="282"/>
      <c r="D753" s="282"/>
      <c r="E753" s="282"/>
      <c r="F753" s="282"/>
      <c r="G753" s="282"/>
      <c r="H753" s="282"/>
      <c r="I753" s="282"/>
      <c r="J753" s="19"/>
      <c r="K753" s="19"/>
      <c r="L753" s="19"/>
      <c r="M753" s="63"/>
    </row>
    <row r="754" spans="1:14" x14ac:dyDescent="0.2">
      <c r="A754" s="39" t="s">
        <v>470</v>
      </c>
      <c r="B754" s="283"/>
      <c r="C754" s="283"/>
      <c r="D754" s="283"/>
      <c r="E754" s="283"/>
      <c r="F754" s="283"/>
      <c r="G754" s="283"/>
      <c r="H754" s="283"/>
      <c r="I754" s="283"/>
      <c r="M754" s="64"/>
    </row>
    <row r="755" spans="1:14" x14ac:dyDescent="0.2">
      <c r="A755" s="39" t="s">
        <v>473</v>
      </c>
      <c r="B755" s="283"/>
      <c r="C755" s="283"/>
      <c r="D755" s="283"/>
      <c r="E755" s="283"/>
      <c r="F755" s="283"/>
      <c r="G755" s="283"/>
      <c r="H755" s="283"/>
      <c r="I755" s="283"/>
      <c r="M755" s="64"/>
    </row>
    <row r="756" spans="1:14" x14ac:dyDescent="0.2">
      <c r="A756" s="39" t="s">
        <v>474</v>
      </c>
      <c r="B756" s="283"/>
      <c r="C756" s="283"/>
      <c r="D756" s="283"/>
      <c r="E756" s="283"/>
      <c r="F756" s="283"/>
      <c r="G756" s="283"/>
      <c r="H756" s="283"/>
      <c r="I756" s="283"/>
      <c r="M756" s="64"/>
    </row>
    <row r="757" spans="1:14" x14ac:dyDescent="0.2">
      <c r="A757" s="41" t="s">
        <v>635</v>
      </c>
      <c r="B757" s="284"/>
      <c r="C757" s="284"/>
      <c r="D757" s="284"/>
      <c r="E757" s="284"/>
      <c r="F757" s="284"/>
      <c r="G757" s="284"/>
      <c r="H757" s="284"/>
      <c r="I757" s="284"/>
      <c r="J757" s="34"/>
      <c r="K757" s="34"/>
      <c r="L757" s="34"/>
      <c r="M757" s="48"/>
    </row>
    <row r="759" spans="1:14" x14ac:dyDescent="0.2">
      <c r="A759" s="6" t="s">
        <v>14</v>
      </c>
      <c r="B759" s="174" t="s">
        <v>638</v>
      </c>
      <c r="C759" s="7" t="s">
        <v>15</v>
      </c>
    </row>
    <row r="760" spans="1:14" x14ac:dyDescent="0.2">
      <c r="A760" s="41" t="s">
        <v>16</v>
      </c>
      <c r="B760" s="277">
        <v>2014</v>
      </c>
      <c r="C760" s="155">
        <v>2015</v>
      </c>
      <c r="D760" s="155">
        <v>2016</v>
      </c>
      <c r="E760" s="155">
        <v>2017</v>
      </c>
      <c r="F760" s="155">
        <v>2018</v>
      </c>
      <c r="G760" s="155">
        <v>2019</v>
      </c>
      <c r="H760" s="155">
        <v>2020</v>
      </c>
      <c r="I760" s="155">
        <v>2021</v>
      </c>
      <c r="J760" s="155">
        <v>2022</v>
      </c>
      <c r="K760" s="155">
        <v>2023</v>
      </c>
      <c r="L760" s="155">
        <v>2024</v>
      </c>
      <c r="M760" s="155">
        <v>2025</v>
      </c>
      <c r="N760" s="155">
        <v>2026</v>
      </c>
    </row>
    <row r="761" spans="1:14" x14ac:dyDescent="0.2">
      <c r="A761" s="10" t="s">
        <v>17</v>
      </c>
      <c r="B761" s="278">
        <v>1470</v>
      </c>
      <c r="C761" s="278">
        <v>1470</v>
      </c>
      <c r="D761" s="278">
        <v>1470</v>
      </c>
      <c r="E761" s="278">
        <v>1470</v>
      </c>
      <c r="F761" s="278">
        <v>1470</v>
      </c>
      <c r="G761" s="278">
        <v>1470</v>
      </c>
      <c r="H761" s="278">
        <v>1470</v>
      </c>
      <c r="I761" s="12">
        <v>1470</v>
      </c>
      <c r="J761" s="12">
        <v>1470</v>
      </c>
      <c r="K761" s="12">
        <v>1765</v>
      </c>
      <c r="L761" s="12">
        <v>1765</v>
      </c>
      <c r="M761" s="12">
        <v>1765</v>
      </c>
      <c r="N761" s="12">
        <v>1765</v>
      </c>
    </row>
    <row r="762" spans="1:14" x14ac:dyDescent="0.2">
      <c r="A762" s="10" t="s">
        <v>18</v>
      </c>
      <c r="B762" s="278">
        <v>1470</v>
      </c>
      <c r="C762" s="278">
        <v>1719</v>
      </c>
      <c r="D762" s="278">
        <v>1837.5</v>
      </c>
      <c r="E762" s="278">
        <v>1837.5</v>
      </c>
      <c r="F762" s="278">
        <v>1837.5</v>
      </c>
      <c r="G762" s="278">
        <v>1837.5</v>
      </c>
      <c r="H762" s="278">
        <v>1837.5</v>
      </c>
      <c r="I762" s="278">
        <f>+I761+G761*0.25</f>
        <v>1837.5</v>
      </c>
      <c r="J762" s="278">
        <f>+J761+H761*0.25</f>
        <v>1837.5</v>
      </c>
      <c r="K762" s="278">
        <f>K761+I761*0.25</f>
        <v>2132.5</v>
      </c>
      <c r="L762" s="278">
        <v>2132.5</v>
      </c>
      <c r="M762" s="278">
        <f>M761+0.25*K761</f>
        <v>2206.25</v>
      </c>
      <c r="N762" s="278">
        <f>N761+0.25*L761</f>
        <v>2206.25</v>
      </c>
    </row>
    <row r="763" spans="1:14" ht="25.5" x14ac:dyDescent="0.2">
      <c r="A763" s="10" t="s">
        <v>19</v>
      </c>
      <c r="B763" s="279" t="s">
        <v>47</v>
      </c>
      <c r="C763" s="279" t="s">
        <v>48</v>
      </c>
      <c r="D763" s="279" t="s">
        <v>49</v>
      </c>
      <c r="E763" s="280" t="s">
        <v>43</v>
      </c>
      <c r="F763" s="280" t="s">
        <v>50</v>
      </c>
      <c r="G763" s="280" t="s">
        <v>51</v>
      </c>
      <c r="H763" s="280" t="s">
        <v>52</v>
      </c>
      <c r="I763" s="281" t="s">
        <v>263</v>
      </c>
      <c r="J763" s="281" t="s">
        <v>478</v>
      </c>
      <c r="K763" s="281" t="s">
        <v>711</v>
      </c>
      <c r="L763" s="285" t="s">
        <v>543</v>
      </c>
      <c r="M763" s="281" t="s">
        <v>1108</v>
      </c>
      <c r="N763" s="281" t="s">
        <v>1134</v>
      </c>
    </row>
    <row r="764" spans="1:14" x14ac:dyDescent="0.2">
      <c r="A764" s="10" t="s">
        <v>20</v>
      </c>
      <c r="B764" s="12">
        <v>335.36</v>
      </c>
      <c r="C764" s="12">
        <v>472.71</v>
      </c>
      <c r="D764" s="12">
        <v>54.77</v>
      </c>
      <c r="E764" s="12">
        <v>178.2</v>
      </c>
      <c r="F764" s="12">
        <v>102.81099999999999</v>
      </c>
      <c r="G764" s="280">
        <v>81.733813276999982</v>
      </c>
      <c r="H764" s="12">
        <v>60.466000000000008</v>
      </c>
      <c r="I764" s="12">
        <v>70.94</v>
      </c>
      <c r="J764" s="12">
        <v>71.53</v>
      </c>
      <c r="K764" s="12">
        <v>41.71</v>
      </c>
      <c r="L764" s="12">
        <v>67.03</v>
      </c>
      <c r="M764" s="12"/>
      <c r="N764" s="12"/>
    </row>
    <row r="765" spans="1:14" x14ac:dyDescent="0.2">
      <c r="A765" s="10" t="s">
        <v>21</v>
      </c>
      <c r="B765" s="12">
        <v>1135</v>
      </c>
      <c r="C765" s="12">
        <v>1246.29</v>
      </c>
      <c r="D765" s="12">
        <v>1782.73</v>
      </c>
      <c r="E765" s="12">
        <v>1659.3</v>
      </c>
      <c r="F765" s="12">
        <v>1734.6890000000001</v>
      </c>
      <c r="G765" s="280">
        <f t="shared" ref="G765:L765" si="36">G762-G764</f>
        <v>1755.7661867229999</v>
      </c>
      <c r="H765" s="12">
        <f t="shared" si="36"/>
        <v>1777.0340000000001</v>
      </c>
      <c r="I765" s="12">
        <f t="shared" si="36"/>
        <v>1766.56</v>
      </c>
      <c r="J765" s="12">
        <f t="shared" si="36"/>
        <v>1765.97</v>
      </c>
      <c r="K765" s="12">
        <f t="shared" si="36"/>
        <v>2090.79</v>
      </c>
      <c r="L765" s="12">
        <f t="shared" si="36"/>
        <v>2065.4699999999998</v>
      </c>
      <c r="M765" s="12"/>
      <c r="N765" s="12"/>
    </row>
    <row r="766" spans="1:14" x14ac:dyDescent="0.2">
      <c r="A766" s="16" t="s">
        <v>22</v>
      </c>
      <c r="B766" s="160">
        <v>2016</v>
      </c>
      <c r="C766" s="160">
        <v>2017</v>
      </c>
      <c r="D766" s="160">
        <v>2018</v>
      </c>
      <c r="E766" s="160">
        <v>2019</v>
      </c>
      <c r="F766" s="160">
        <v>2020</v>
      </c>
      <c r="G766" s="160">
        <v>2021</v>
      </c>
      <c r="H766" s="160">
        <v>2022</v>
      </c>
      <c r="I766" s="160">
        <v>2023</v>
      </c>
      <c r="J766" s="160">
        <v>2024</v>
      </c>
      <c r="K766" s="160">
        <v>2025</v>
      </c>
      <c r="L766" s="160">
        <v>2026</v>
      </c>
      <c r="M766" s="160">
        <v>2027</v>
      </c>
      <c r="N766" s="160">
        <v>2028</v>
      </c>
    </row>
    <row r="767" spans="1:14" x14ac:dyDescent="0.2">
      <c r="A767" s="18" t="s">
        <v>476</v>
      </c>
      <c r="B767" s="282"/>
      <c r="C767" s="282"/>
      <c r="D767" s="282"/>
      <c r="E767" s="282"/>
      <c r="F767" s="282"/>
      <c r="G767" s="282"/>
      <c r="H767" s="282"/>
      <c r="I767" s="282"/>
      <c r="J767" s="19"/>
      <c r="K767" s="19"/>
      <c r="L767" s="19"/>
      <c r="M767" s="19"/>
      <c r="N767" s="63"/>
    </row>
    <row r="768" spans="1:14" x14ac:dyDescent="0.2">
      <c r="A768" s="39" t="s">
        <v>475</v>
      </c>
      <c r="N768" s="64"/>
    </row>
    <row r="769" spans="1:14" x14ac:dyDescent="0.2">
      <c r="A769" s="39" t="s">
        <v>477</v>
      </c>
      <c r="N769" s="64"/>
    </row>
    <row r="770" spans="1:14" x14ac:dyDescent="0.2">
      <c r="A770" s="39" t="s">
        <v>712</v>
      </c>
      <c r="N770" s="64"/>
    </row>
    <row r="771" spans="1:14" x14ac:dyDescent="0.2">
      <c r="A771" s="39" t="s">
        <v>1031</v>
      </c>
      <c r="N771" s="64"/>
    </row>
    <row r="772" spans="1:14" x14ac:dyDescent="0.2">
      <c r="A772" s="41" t="s">
        <v>1109</v>
      </c>
      <c r="B772" s="34"/>
      <c r="C772" s="34"/>
      <c r="D772" s="34"/>
      <c r="E772" s="34"/>
      <c r="F772" s="34"/>
      <c r="G772" s="34"/>
      <c r="H772" s="34"/>
      <c r="I772" s="34"/>
      <c r="J772" s="34"/>
      <c r="K772" s="34"/>
      <c r="L772" s="34"/>
      <c r="M772" s="34"/>
      <c r="N772" s="48"/>
    </row>
    <row r="774" spans="1:14" x14ac:dyDescent="0.2">
      <c r="A774" s="6" t="s">
        <v>14</v>
      </c>
      <c r="B774" s="174" t="s">
        <v>623</v>
      </c>
      <c r="C774" s="7" t="s">
        <v>15</v>
      </c>
    </row>
    <row r="775" spans="1:14" x14ac:dyDescent="0.2">
      <c r="A775" s="41" t="s">
        <v>16</v>
      </c>
      <c r="B775" s="277">
        <v>2014</v>
      </c>
      <c r="C775" s="155">
        <v>2015</v>
      </c>
      <c r="D775" s="155">
        <v>2016</v>
      </c>
      <c r="E775" s="155">
        <v>2017</v>
      </c>
      <c r="F775" s="155">
        <v>2018</v>
      </c>
      <c r="G775" s="155">
        <v>2019</v>
      </c>
      <c r="H775" s="155">
        <v>2020</v>
      </c>
      <c r="I775" s="155">
        <v>2021</v>
      </c>
      <c r="J775" s="155">
        <v>2022</v>
      </c>
      <c r="K775" s="155">
        <v>2023</v>
      </c>
      <c r="L775" s="155">
        <v>2024</v>
      </c>
      <c r="M775" s="286">
        <v>2025</v>
      </c>
    </row>
    <row r="776" spans="1:14" x14ac:dyDescent="0.2">
      <c r="A776" s="10" t="s">
        <v>17</v>
      </c>
      <c r="B776" s="278">
        <v>6718</v>
      </c>
      <c r="C776" s="278">
        <v>6718</v>
      </c>
      <c r="D776" s="278">
        <v>6718</v>
      </c>
      <c r="E776" s="278">
        <v>6718</v>
      </c>
      <c r="F776" s="278">
        <v>6718</v>
      </c>
      <c r="G776" s="278">
        <v>6718</v>
      </c>
      <c r="H776" s="278">
        <v>6718</v>
      </c>
      <c r="I776" s="12">
        <v>6718</v>
      </c>
      <c r="J776" s="12">
        <v>6718</v>
      </c>
      <c r="K776" s="12">
        <v>6717.33</v>
      </c>
      <c r="L776" s="12">
        <v>6717.33</v>
      </c>
      <c r="M776" s="90">
        <v>7408.33</v>
      </c>
    </row>
    <row r="777" spans="1:14" x14ac:dyDescent="0.2">
      <c r="A777" s="10" t="s">
        <v>18</v>
      </c>
      <c r="B777" s="278">
        <v>7887.5</v>
      </c>
      <c r="C777" s="278">
        <v>7897.5</v>
      </c>
      <c r="D777" s="278">
        <v>7390.7</v>
      </c>
      <c r="E777" s="278">
        <v>7425.7</v>
      </c>
      <c r="F777" s="278">
        <v>7385.7</v>
      </c>
      <c r="G777" s="278">
        <v>7385.7</v>
      </c>
      <c r="H777" s="278">
        <f>H776+F776*0.15-100-40</f>
        <v>7585.7</v>
      </c>
      <c r="I777" s="278">
        <f>I776+0.15*G776-40-200-0.67</f>
        <v>7485.03</v>
      </c>
      <c r="J777" s="278">
        <f>J776+0.15*H776-40-250-0.0001*J776</f>
        <v>7435.0281999999997</v>
      </c>
      <c r="K777" s="278">
        <f>K776+0.15*I776-327</f>
        <v>7398.03</v>
      </c>
      <c r="L777" s="278">
        <f>L776+0.15*J776-280-40</f>
        <v>7405.03</v>
      </c>
      <c r="M777" s="90">
        <v>7302.37</v>
      </c>
    </row>
    <row r="778" spans="1:14" ht="38.25" x14ac:dyDescent="0.2">
      <c r="A778" s="10" t="s">
        <v>19</v>
      </c>
      <c r="B778" s="279" t="s">
        <v>53</v>
      </c>
      <c r="C778" s="279" t="s">
        <v>54</v>
      </c>
      <c r="D778" s="279" t="s">
        <v>55</v>
      </c>
      <c r="E778" s="280" t="s">
        <v>56</v>
      </c>
      <c r="F778" s="280" t="s">
        <v>57</v>
      </c>
      <c r="G778" s="280" t="s">
        <v>58</v>
      </c>
      <c r="H778" s="280" t="s">
        <v>517</v>
      </c>
      <c r="I778" s="287" t="s">
        <v>518</v>
      </c>
      <c r="J778" s="287" t="s">
        <v>637</v>
      </c>
      <c r="K778" s="287" t="s">
        <v>1007</v>
      </c>
      <c r="L778" s="287" t="s">
        <v>1183</v>
      </c>
      <c r="M778" s="288" t="s">
        <v>1184</v>
      </c>
    </row>
    <row r="779" spans="1:14" s="271" customFormat="1" x14ac:dyDescent="0.2">
      <c r="A779" s="289" t="s">
        <v>20</v>
      </c>
      <c r="B779" s="12">
        <v>5020.43</v>
      </c>
      <c r="C779" s="12">
        <v>5449.08</v>
      </c>
      <c r="D779" s="12">
        <v>5765.63</v>
      </c>
      <c r="E779" s="12">
        <v>5573.6610000000001</v>
      </c>
      <c r="F779" s="12">
        <v>4966.4159999999993</v>
      </c>
      <c r="G779" s="12">
        <v>5740.2240000000002</v>
      </c>
      <c r="H779" s="12">
        <v>5960.2599999999993</v>
      </c>
      <c r="I779" s="12">
        <v>5522.9264400000002</v>
      </c>
      <c r="J779" s="12">
        <v>5527.68</v>
      </c>
      <c r="K779" s="12">
        <v>7263.99</v>
      </c>
      <c r="L779" s="12">
        <v>6685.085</v>
      </c>
      <c r="M779" s="131"/>
    </row>
    <row r="780" spans="1:14" x14ac:dyDescent="0.2">
      <c r="A780" s="10" t="s">
        <v>21</v>
      </c>
      <c r="B780" s="12">
        <v>2867.0699999999997</v>
      </c>
      <c r="C780" s="12">
        <v>2448.42</v>
      </c>
      <c r="D780" s="12">
        <v>1625.0699999999997</v>
      </c>
      <c r="E780" s="12">
        <v>1852.039</v>
      </c>
      <c r="F780" s="12">
        <v>2419.2840000000006</v>
      </c>
      <c r="G780" s="12">
        <v>1645.4759999999997</v>
      </c>
      <c r="H780" s="12">
        <f>H777-H779</f>
        <v>1625.4400000000005</v>
      </c>
      <c r="I780" s="12">
        <f>I777-I779</f>
        <v>1962.1035599999996</v>
      </c>
      <c r="J780" s="12">
        <f>J777-J779</f>
        <v>1907.3481999999995</v>
      </c>
      <c r="K780" s="12">
        <f>K777-K779</f>
        <v>134.03999999999996</v>
      </c>
      <c r="L780" s="12">
        <f>L777-L779</f>
        <v>719.94499999999971</v>
      </c>
      <c r="M780" s="90"/>
    </row>
    <row r="781" spans="1:14" x14ac:dyDescent="0.2">
      <c r="A781" s="16" t="s">
        <v>22</v>
      </c>
      <c r="B781" s="160">
        <v>2016</v>
      </c>
      <c r="C781" s="160">
        <v>2017</v>
      </c>
      <c r="D781" s="160">
        <v>2018</v>
      </c>
      <c r="E781" s="160">
        <v>2019</v>
      </c>
      <c r="F781" s="160">
        <v>2020</v>
      </c>
      <c r="G781" s="160">
        <v>2021</v>
      </c>
      <c r="H781" s="160">
        <v>2022</v>
      </c>
      <c r="I781" s="160">
        <v>2023</v>
      </c>
      <c r="J781" s="160">
        <v>2024</v>
      </c>
      <c r="K781" s="160">
        <v>2025</v>
      </c>
      <c r="L781" s="160">
        <v>2025</v>
      </c>
      <c r="M781" s="90">
        <v>2025</v>
      </c>
    </row>
    <row r="782" spans="1:14" x14ac:dyDescent="0.2">
      <c r="A782" s="18" t="s">
        <v>479</v>
      </c>
      <c r="B782" s="290"/>
      <c r="C782" s="290"/>
      <c r="D782" s="290"/>
      <c r="E782" s="290"/>
      <c r="F782" s="290"/>
      <c r="G782" s="290"/>
      <c r="H782" s="290"/>
      <c r="I782" s="290"/>
      <c r="J782" s="19"/>
      <c r="K782" s="19"/>
      <c r="L782" s="19"/>
      <c r="M782" s="63"/>
    </row>
    <row r="783" spans="1:14" x14ac:dyDescent="0.2">
      <c r="A783" s="39" t="s">
        <v>519</v>
      </c>
      <c r="B783" s="2"/>
      <c r="C783" s="2"/>
      <c r="D783" s="2"/>
      <c r="E783" s="2"/>
      <c r="F783" s="2"/>
      <c r="G783" s="2"/>
      <c r="H783" s="2"/>
      <c r="I783" s="2"/>
      <c r="M783" s="64"/>
    </row>
    <row r="784" spans="1:14" x14ac:dyDescent="0.2">
      <c r="A784" s="39" t="s">
        <v>480</v>
      </c>
      <c r="B784" s="2"/>
      <c r="C784" s="2"/>
      <c r="D784" s="2"/>
      <c r="E784" s="2"/>
      <c r="F784" s="2"/>
      <c r="G784" s="2"/>
      <c r="H784" s="2"/>
      <c r="I784" s="2"/>
      <c r="M784" s="64"/>
    </row>
    <row r="785" spans="1:13" x14ac:dyDescent="0.2">
      <c r="A785" s="39" t="s">
        <v>520</v>
      </c>
      <c r="B785" s="2"/>
      <c r="C785" s="2"/>
      <c r="D785" s="2"/>
      <c r="E785" s="2"/>
      <c r="F785" s="2"/>
      <c r="G785" s="2"/>
      <c r="H785" s="2"/>
      <c r="I785" s="2"/>
      <c r="M785" s="64"/>
    </row>
    <row r="786" spans="1:13" x14ac:dyDescent="0.2">
      <c r="A786" s="39" t="s">
        <v>481</v>
      </c>
      <c r="B786" s="2"/>
      <c r="C786" s="2"/>
      <c r="D786" s="2"/>
      <c r="E786" s="2"/>
      <c r="F786" s="2"/>
      <c r="G786" s="2"/>
      <c r="H786" s="2"/>
      <c r="I786" s="2"/>
      <c r="M786" s="64"/>
    </row>
    <row r="787" spans="1:13" x14ac:dyDescent="0.2">
      <c r="A787" s="39" t="s">
        <v>483</v>
      </c>
      <c r="B787" s="2"/>
      <c r="C787" s="2"/>
      <c r="D787" s="2"/>
      <c r="E787" s="2"/>
      <c r="F787" s="2"/>
      <c r="G787" s="2"/>
      <c r="H787" s="2"/>
      <c r="I787" s="2"/>
      <c r="M787" s="64"/>
    </row>
    <row r="788" spans="1:13" x14ac:dyDescent="0.2">
      <c r="A788" s="39" t="s">
        <v>482</v>
      </c>
      <c r="B788" s="2"/>
      <c r="C788" s="2"/>
      <c r="D788" s="2"/>
      <c r="E788" s="2"/>
      <c r="F788" s="2"/>
      <c r="G788" s="2"/>
      <c r="H788" s="2"/>
      <c r="I788" s="2"/>
      <c r="M788" s="64"/>
    </row>
    <row r="789" spans="1:13" ht="44.25" customHeight="1" x14ac:dyDescent="0.2">
      <c r="A789" s="651" t="s">
        <v>636</v>
      </c>
      <c r="B789" s="652"/>
      <c r="C789" s="652"/>
      <c r="D789" s="652"/>
      <c r="E789" s="652"/>
      <c r="F789" s="652"/>
      <c r="G789" s="652"/>
      <c r="H789" s="652"/>
      <c r="I789" s="652"/>
      <c r="J789" s="652"/>
      <c r="K789" s="652"/>
      <c r="L789" s="652"/>
      <c r="M789" s="64"/>
    </row>
    <row r="790" spans="1:13" x14ac:dyDescent="0.2">
      <c r="A790" s="162" t="s">
        <v>1005</v>
      </c>
      <c r="B790" s="32"/>
      <c r="C790" s="32"/>
      <c r="D790" s="32"/>
      <c r="E790" s="32"/>
      <c r="F790" s="32"/>
      <c r="G790" s="32"/>
      <c r="H790" s="32"/>
      <c r="I790" s="32"/>
      <c r="J790" s="32"/>
      <c r="M790" s="64"/>
    </row>
    <row r="791" spans="1:13" x14ac:dyDescent="0.2">
      <c r="A791" s="291" t="s">
        <v>1008</v>
      </c>
      <c r="B791" s="292"/>
      <c r="C791" s="292"/>
      <c r="D791" s="292"/>
      <c r="E791" s="292"/>
      <c r="F791" s="292"/>
      <c r="G791" s="292"/>
      <c r="H791" s="292"/>
      <c r="I791" s="292"/>
      <c r="J791" s="34"/>
      <c r="K791" s="34"/>
      <c r="L791" s="34"/>
      <c r="M791" s="48"/>
    </row>
    <row r="793" spans="1:13" x14ac:dyDescent="0.2">
      <c r="A793" s="6" t="s">
        <v>14</v>
      </c>
      <c r="B793" s="174" t="s">
        <v>641</v>
      </c>
      <c r="C793" s="7" t="s">
        <v>15</v>
      </c>
    </row>
    <row r="794" spans="1:13" x14ac:dyDescent="0.2">
      <c r="A794" s="41" t="s">
        <v>16</v>
      </c>
      <c r="B794" s="277">
        <v>2014</v>
      </c>
      <c r="C794" s="155">
        <v>2015</v>
      </c>
      <c r="D794" s="155">
        <v>2016</v>
      </c>
      <c r="E794" s="155">
        <v>2017</v>
      </c>
      <c r="F794" s="155">
        <v>2018</v>
      </c>
      <c r="G794" s="155">
        <v>2019</v>
      </c>
      <c r="H794" s="155">
        <v>2020</v>
      </c>
      <c r="I794" s="155">
        <v>2021</v>
      </c>
      <c r="J794" s="155">
        <v>2022</v>
      </c>
      <c r="K794" s="155">
        <v>2023</v>
      </c>
      <c r="L794" s="155">
        <v>2024</v>
      </c>
      <c r="M794" s="155">
        <v>2025</v>
      </c>
    </row>
    <row r="795" spans="1:13" x14ac:dyDescent="0.2">
      <c r="A795" s="10" t="s">
        <v>17</v>
      </c>
      <c r="B795" s="278">
        <v>4824</v>
      </c>
      <c r="C795" s="278">
        <v>4824</v>
      </c>
      <c r="D795" s="278">
        <v>4824</v>
      </c>
      <c r="E795" s="278">
        <v>4824</v>
      </c>
      <c r="F795" s="278">
        <v>4824</v>
      </c>
      <c r="G795" s="278">
        <v>4824</v>
      </c>
      <c r="H795" s="278">
        <v>4824</v>
      </c>
      <c r="I795" s="278">
        <v>4824</v>
      </c>
      <c r="J795" s="278">
        <v>4824</v>
      </c>
      <c r="K795" s="278">
        <v>4824</v>
      </c>
      <c r="L795" s="278">
        <v>4824</v>
      </c>
      <c r="M795" s="293">
        <v>4824</v>
      </c>
    </row>
    <row r="796" spans="1:13" x14ac:dyDescent="0.2">
      <c r="A796" s="10" t="s">
        <v>18</v>
      </c>
      <c r="B796" s="278">
        <v>5141.7</v>
      </c>
      <c r="C796" s="278">
        <v>5695.4</v>
      </c>
      <c r="D796" s="278">
        <v>5601.06</v>
      </c>
      <c r="E796" s="278">
        <v>5224.38</v>
      </c>
      <c r="F796" s="278">
        <v>4963.5200000000004</v>
      </c>
      <c r="G796" s="278">
        <v>4928.1499999999996</v>
      </c>
      <c r="H796" s="278">
        <v>5011.2030000000004</v>
      </c>
      <c r="I796" s="278">
        <f>I795+G799</f>
        <v>5243.19</v>
      </c>
      <c r="J796" s="278">
        <f>J795+H799</f>
        <v>5085.0014400000018</v>
      </c>
      <c r="K796" s="278">
        <f>K795+0.1*I795</f>
        <v>5306.4</v>
      </c>
      <c r="L796" s="278">
        <f>L795+0.1*J795</f>
        <v>5306.4</v>
      </c>
      <c r="M796" s="293">
        <f>K799+M795</f>
        <v>4852.4709999999995</v>
      </c>
    </row>
    <row r="797" spans="1:13" ht="25.5" x14ac:dyDescent="0.2">
      <c r="A797" s="10" t="s">
        <v>19</v>
      </c>
      <c r="B797" s="279" t="s">
        <v>59</v>
      </c>
      <c r="C797" s="279" t="s">
        <v>60</v>
      </c>
      <c r="D797" s="279" t="s">
        <v>61</v>
      </c>
      <c r="E797" s="294" t="s">
        <v>62</v>
      </c>
      <c r="F797" s="294" t="s">
        <v>63</v>
      </c>
      <c r="G797" s="294" t="s">
        <v>64</v>
      </c>
      <c r="H797" s="294" t="s">
        <v>65</v>
      </c>
      <c r="I797" s="196" t="s">
        <v>264</v>
      </c>
      <c r="J797" s="196" t="s">
        <v>487</v>
      </c>
      <c r="K797" s="196" t="s">
        <v>882</v>
      </c>
      <c r="L797" s="196" t="s">
        <v>1010</v>
      </c>
      <c r="M797" s="295" t="s">
        <v>1185</v>
      </c>
    </row>
    <row r="798" spans="1:13" s="271" customFormat="1" x14ac:dyDescent="0.2">
      <c r="A798" s="289" t="s">
        <v>20</v>
      </c>
      <c r="B798" s="12">
        <v>4364.6400000000003</v>
      </c>
      <c r="C798" s="12">
        <v>5295.02</v>
      </c>
      <c r="D798" s="12">
        <v>5461.54</v>
      </c>
      <c r="E798" s="12">
        <v>5120.2</v>
      </c>
      <c r="F798" s="12">
        <v>4776.317</v>
      </c>
      <c r="G798" s="12">
        <v>4508.96</v>
      </c>
      <c r="H798" s="12">
        <v>4750.2015599999986</v>
      </c>
      <c r="I798" s="12">
        <v>4695.1249299999999</v>
      </c>
      <c r="J798" s="12">
        <v>3802.12</v>
      </c>
      <c r="K798" s="12">
        <v>5277.9290000000001</v>
      </c>
      <c r="L798" s="12">
        <v>4818.67</v>
      </c>
      <c r="M798" s="296"/>
    </row>
    <row r="799" spans="1:13" x14ac:dyDescent="0.2">
      <c r="A799" s="10" t="s">
        <v>21</v>
      </c>
      <c r="B799" s="12">
        <v>777.06</v>
      </c>
      <c r="C799" s="12">
        <v>400.38</v>
      </c>
      <c r="D799" s="12">
        <v>139.52000000000001</v>
      </c>
      <c r="E799" s="12">
        <v>104.2</v>
      </c>
      <c r="F799" s="12">
        <v>187.20300000000043</v>
      </c>
      <c r="G799" s="12">
        <v>419.1899999999996</v>
      </c>
      <c r="H799" s="12">
        <v>261.00144000000182</v>
      </c>
      <c r="I799" s="12">
        <f>I796-I798</f>
        <v>548.06506999999965</v>
      </c>
      <c r="J799" s="12">
        <f>J796-J798</f>
        <v>1282.8814400000019</v>
      </c>
      <c r="K799" s="12">
        <f>K796-K798</f>
        <v>28.470999999999549</v>
      </c>
      <c r="L799" s="12">
        <f>L796-L798</f>
        <v>487.72999999999956</v>
      </c>
      <c r="M799" s="297"/>
    </row>
    <row r="800" spans="1:13" x14ac:dyDescent="0.2">
      <c r="A800" s="16" t="s">
        <v>22</v>
      </c>
      <c r="B800" s="160">
        <v>2016</v>
      </c>
      <c r="C800" s="160">
        <v>2017</v>
      </c>
      <c r="D800" s="160">
        <v>2018</v>
      </c>
      <c r="E800" s="160">
        <v>2019</v>
      </c>
      <c r="F800" s="160">
        <v>2020</v>
      </c>
      <c r="G800" s="160">
        <v>2021</v>
      </c>
      <c r="H800" s="160">
        <v>2022</v>
      </c>
      <c r="I800" s="160">
        <v>2023</v>
      </c>
      <c r="J800" s="160">
        <v>2024</v>
      </c>
      <c r="K800" s="160">
        <v>2025</v>
      </c>
      <c r="L800" s="160">
        <v>2026</v>
      </c>
      <c r="M800" s="298">
        <v>2027</v>
      </c>
    </row>
    <row r="801" spans="1:13" x14ac:dyDescent="0.2">
      <c r="A801" s="18" t="s">
        <v>484</v>
      </c>
      <c r="B801" s="282"/>
      <c r="C801" s="282"/>
      <c r="D801" s="282"/>
      <c r="E801" s="282"/>
      <c r="F801" s="282"/>
      <c r="G801" s="282"/>
      <c r="H801" s="282"/>
      <c r="I801" s="282"/>
      <c r="J801" s="19"/>
      <c r="K801" s="19"/>
      <c r="L801" s="19"/>
      <c r="M801" s="63"/>
    </row>
    <row r="802" spans="1:13" x14ac:dyDescent="0.2">
      <c r="A802" s="39" t="s">
        <v>485</v>
      </c>
      <c r="B802" s="283"/>
      <c r="C802" s="283"/>
      <c r="D802" s="283"/>
      <c r="E802" s="283"/>
      <c r="F802" s="283"/>
      <c r="G802" s="283"/>
      <c r="H802" s="283"/>
      <c r="I802" s="283"/>
      <c r="M802" s="64"/>
    </row>
    <row r="803" spans="1:13" x14ac:dyDescent="0.2">
      <c r="A803" s="39" t="s">
        <v>486</v>
      </c>
      <c r="B803" s="283"/>
      <c r="C803" s="283"/>
      <c r="D803" s="283"/>
      <c r="E803" s="283"/>
      <c r="F803" s="283"/>
      <c r="G803" s="283"/>
      <c r="H803" s="283"/>
      <c r="I803" s="283"/>
      <c r="M803" s="64"/>
    </row>
    <row r="804" spans="1:13" x14ac:dyDescent="0.2">
      <c r="A804" s="691" t="s">
        <v>881</v>
      </c>
      <c r="B804" s="692"/>
      <c r="C804" s="692"/>
      <c r="D804" s="692"/>
      <c r="E804" s="692"/>
      <c r="F804" s="692"/>
      <c r="G804" s="692"/>
      <c r="H804" s="692"/>
      <c r="I804" s="692"/>
      <c r="J804" s="692"/>
      <c r="M804" s="64"/>
    </row>
    <row r="805" spans="1:13" x14ac:dyDescent="0.2">
      <c r="A805" s="299" t="s">
        <v>1009</v>
      </c>
      <c r="B805" s="300"/>
      <c r="C805" s="300"/>
      <c r="D805" s="300"/>
      <c r="E805" s="300"/>
      <c r="F805" s="300"/>
      <c r="G805" s="300"/>
      <c r="H805" s="300"/>
      <c r="I805" s="300"/>
      <c r="J805" s="300"/>
      <c r="K805" s="34"/>
      <c r="L805" s="34"/>
      <c r="M805" s="48"/>
    </row>
    <row r="806" spans="1:13" s="50" customFormat="1" ht="15" x14ac:dyDescent="0.25">
      <c r="A806" s="3"/>
      <c r="B806" s="3"/>
      <c r="C806" s="3"/>
      <c r="D806" s="3"/>
      <c r="E806" s="3"/>
      <c r="F806" s="3"/>
      <c r="G806" s="3"/>
      <c r="H806" s="3"/>
      <c r="I806" s="3"/>
      <c r="J806" s="3"/>
      <c r="K806" s="3"/>
    </row>
    <row r="807" spans="1:13" s="50" customFormat="1" ht="15" x14ac:dyDescent="0.25">
      <c r="A807" s="6" t="s">
        <v>14</v>
      </c>
      <c r="B807" s="174" t="s">
        <v>642</v>
      </c>
      <c r="C807" s="7" t="s">
        <v>15</v>
      </c>
      <c r="D807" s="3"/>
      <c r="E807" s="3"/>
      <c r="F807" s="3"/>
      <c r="G807" s="3"/>
      <c r="H807" s="3"/>
      <c r="I807" s="3"/>
      <c r="J807" s="3"/>
      <c r="K807" s="3"/>
    </row>
    <row r="808" spans="1:13" s="50" customFormat="1" ht="15" x14ac:dyDescent="0.25">
      <c r="A808" s="41" t="s">
        <v>16</v>
      </c>
      <c r="B808" s="277">
        <v>2020</v>
      </c>
      <c r="C808" s="155">
        <v>2021</v>
      </c>
      <c r="D808" s="155">
        <v>2022</v>
      </c>
      <c r="E808" s="155">
        <v>2023</v>
      </c>
      <c r="F808" s="155">
        <v>2024</v>
      </c>
      <c r="G808" s="155">
        <v>2025</v>
      </c>
      <c r="H808" s="155">
        <v>2026</v>
      </c>
      <c r="I808" s="155"/>
      <c r="J808" s="155"/>
      <c r="K808" s="3"/>
    </row>
    <row r="809" spans="1:13" s="50" customFormat="1" ht="15" x14ac:dyDescent="0.25">
      <c r="A809" s="10" t="s">
        <v>17</v>
      </c>
      <c r="B809" s="301">
        <v>19460</v>
      </c>
      <c r="C809" s="301">
        <v>19460</v>
      </c>
      <c r="D809" s="301">
        <v>19460</v>
      </c>
      <c r="E809" s="278">
        <v>21503</v>
      </c>
      <c r="F809" s="278">
        <v>21503</v>
      </c>
      <c r="G809" s="278">
        <v>21503</v>
      </c>
      <c r="H809" s="278">
        <v>21503</v>
      </c>
      <c r="I809" s="11"/>
      <c r="J809" s="11"/>
      <c r="K809" s="3"/>
    </row>
    <row r="810" spans="1:13" s="50" customFormat="1" ht="15" x14ac:dyDescent="0.25">
      <c r="A810" s="10" t="s">
        <v>18</v>
      </c>
      <c r="B810" s="278"/>
      <c r="C810" s="278">
        <f>C809+B813-48.4</f>
        <v>19737.565544000001</v>
      </c>
      <c r="D810" s="12">
        <f>D809+C813-19360*0.0025</f>
        <v>19985.500093000002</v>
      </c>
      <c r="E810" s="278">
        <f>E809+0.05*D809</f>
        <v>22476</v>
      </c>
      <c r="F810" s="278">
        <f>F809+0.05*E809</f>
        <v>22578.15</v>
      </c>
      <c r="G810" s="278">
        <f>G809+0.05*F809</f>
        <v>22578.15</v>
      </c>
      <c r="H810" s="278">
        <f>H809+0.05*G809</f>
        <v>22578.15</v>
      </c>
      <c r="I810" s="12"/>
      <c r="J810" s="12"/>
      <c r="K810" s="3"/>
    </row>
    <row r="811" spans="1:13" s="50" customFormat="1" ht="26.25" x14ac:dyDescent="0.25">
      <c r="A811" s="10" t="s">
        <v>19</v>
      </c>
      <c r="B811" s="294"/>
      <c r="C811" s="196" t="s">
        <v>876</v>
      </c>
      <c r="D811" s="302" t="s">
        <v>877</v>
      </c>
      <c r="E811" s="294" t="s">
        <v>954</v>
      </c>
      <c r="F811" s="294" t="s">
        <v>1011</v>
      </c>
      <c r="G811" s="294" t="s">
        <v>1142</v>
      </c>
      <c r="H811" s="294" t="s">
        <v>1133</v>
      </c>
      <c r="I811" s="196"/>
      <c r="J811" s="196"/>
      <c r="K811" s="3"/>
    </row>
    <row r="812" spans="1:13" s="50" customFormat="1" ht="15" x14ac:dyDescent="0.25">
      <c r="A812" s="289" t="s">
        <v>20</v>
      </c>
      <c r="B812" s="12">
        <v>19134.034455999998</v>
      </c>
      <c r="C812" s="12">
        <v>19163.665450999997</v>
      </c>
      <c r="D812" s="12">
        <v>18950.900000000001</v>
      </c>
      <c r="E812" s="12">
        <v>21104.23</v>
      </c>
      <c r="F812" s="12">
        <v>20865.420999999998</v>
      </c>
      <c r="G812" s="12"/>
      <c r="H812" s="12"/>
      <c r="I812" s="12"/>
      <c r="J812" s="12"/>
      <c r="K812" s="3"/>
    </row>
    <row r="813" spans="1:13" s="50" customFormat="1" ht="15" x14ac:dyDescent="0.25">
      <c r="A813" s="289" t="s">
        <v>21</v>
      </c>
      <c r="B813" s="12">
        <f>B809-B812</f>
        <v>325.96554400000241</v>
      </c>
      <c r="C813" s="12">
        <f>C810-C812</f>
        <v>573.90009300000384</v>
      </c>
      <c r="D813" s="12">
        <f>D810-D812</f>
        <v>1034.6000930000009</v>
      </c>
      <c r="E813" s="12">
        <f>E810-E812</f>
        <v>1371.7700000000004</v>
      </c>
      <c r="F813" s="12">
        <f>F810-F812</f>
        <v>1712.729000000003</v>
      </c>
      <c r="G813" s="12"/>
      <c r="H813" s="12"/>
      <c r="I813" s="12"/>
      <c r="J813" s="12"/>
      <c r="K813" s="3"/>
    </row>
    <row r="814" spans="1:13" s="50" customFormat="1" ht="15" x14ac:dyDescent="0.25">
      <c r="A814" s="16" t="s">
        <v>22</v>
      </c>
      <c r="B814" s="160">
        <v>2021</v>
      </c>
      <c r="C814" s="160">
        <v>2022</v>
      </c>
      <c r="D814" s="160">
        <v>2023</v>
      </c>
      <c r="E814" s="303"/>
      <c r="F814" s="303"/>
      <c r="G814" s="303"/>
      <c r="H814" s="303"/>
      <c r="I814" s="303"/>
      <c r="J814" s="303"/>
      <c r="K814" s="3"/>
    </row>
    <row r="815" spans="1:13" s="50" customFormat="1" ht="15" x14ac:dyDescent="0.25">
      <c r="A815" s="18" t="s">
        <v>875</v>
      </c>
      <c r="B815" s="282"/>
      <c r="C815" s="282"/>
      <c r="D815" s="282"/>
      <c r="E815" s="282"/>
      <c r="F815" s="282"/>
      <c r="G815" s="282"/>
      <c r="H815" s="282"/>
      <c r="I815" s="282"/>
      <c r="J815" s="304"/>
      <c r="K815" s="3"/>
    </row>
    <row r="816" spans="1:13" s="50" customFormat="1" ht="15" x14ac:dyDescent="0.25">
      <c r="A816" s="39" t="s">
        <v>878</v>
      </c>
      <c r="B816" s="283"/>
      <c r="C816" s="283"/>
      <c r="D816" s="283"/>
      <c r="E816" s="283"/>
      <c r="F816" s="283"/>
      <c r="G816" s="283"/>
      <c r="H816" s="283"/>
      <c r="I816" s="283"/>
      <c r="J816" s="305"/>
      <c r="K816" s="3"/>
    </row>
    <row r="817" spans="1:13" s="50" customFormat="1" ht="15" x14ac:dyDescent="0.25">
      <c r="A817" s="39" t="s">
        <v>495</v>
      </c>
      <c r="B817" s="283"/>
      <c r="C817" s="283"/>
      <c r="D817" s="283"/>
      <c r="E817" s="283"/>
      <c r="F817" s="283"/>
      <c r="G817" s="283"/>
      <c r="H817" s="283"/>
      <c r="I817" s="283"/>
      <c r="J817" s="305"/>
      <c r="K817" s="3"/>
    </row>
    <row r="818" spans="1:13" s="50" customFormat="1" ht="15" x14ac:dyDescent="0.25">
      <c r="A818" s="39" t="s">
        <v>496</v>
      </c>
      <c r="B818" s="283"/>
      <c r="C818" s="283"/>
      <c r="D818" s="283"/>
      <c r="E818" s="283"/>
      <c r="F818" s="283"/>
      <c r="G818" s="283"/>
      <c r="H818" s="283"/>
      <c r="I818" s="283"/>
      <c r="J818" s="305"/>
      <c r="K818" s="3"/>
    </row>
    <row r="819" spans="1:13" s="50" customFormat="1" ht="15" x14ac:dyDescent="0.25">
      <c r="A819" s="39" t="s">
        <v>879</v>
      </c>
      <c r="B819" s="283"/>
      <c r="C819" s="283"/>
      <c r="D819" s="283"/>
      <c r="E819" s="283"/>
      <c r="F819" s="283"/>
      <c r="G819" s="283"/>
      <c r="H819" s="283"/>
      <c r="I819" s="283"/>
      <c r="J819" s="305"/>
      <c r="K819" s="3"/>
    </row>
    <row r="820" spans="1:13" s="50" customFormat="1" ht="15" x14ac:dyDescent="0.25">
      <c r="A820" s="306" t="s">
        <v>1012</v>
      </c>
      <c r="B820" s="307"/>
      <c r="C820" s="307"/>
      <c r="D820" s="307"/>
      <c r="E820" s="307"/>
      <c r="F820" s="307"/>
      <c r="G820" s="307"/>
      <c r="H820" s="307"/>
      <c r="I820" s="307"/>
      <c r="J820" s="308"/>
      <c r="K820" s="3"/>
    </row>
    <row r="821" spans="1:13" s="50" customFormat="1" ht="15" x14ac:dyDescent="0.25">
      <c r="A821" s="306" t="s">
        <v>1013</v>
      </c>
      <c r="B821" s="307"/>
      <c r="C821" s="307"/>
      <c r="D821" s="307"/>
      <c r="E821" s="307"/>
      <c r="F821" s="307"/>
      <c r="G821" s="307"/>
      <c r="H821" s="307"/>
      <c r="I821" s="307"/>
      <c r="J821" s="308"/>
      <c r="K821" s="3"/>
    </row>
    <row r="822" spans="1:13" s="59" customFormat="1" ht="15" x14ac:dyDescent="0.25">
      <c r="A822" s="309" t="s">
        <v>1186</v>
      </c>
      <c r="B822" s="310"/>
      <c r="C822" s="310"/>
      <c r="D822" s="310"/>
      <c r="E822" s="310"/>
      <c r="F822" s="310"/>
      <c r="G822" s="310"/>
      <c r="H822" s="310"/>
      <c r="I822" s="310"/>
      <c r="J822" s="311"/>
      <c r="K822" s="34"/>
    </row>
    <row r="824" spans="1:13" x14ac:dyDescent="0.2">
      <c r="A824" s="6" t="s">
        <v>14</v>
      </c>
      <c r="B824" s="174" t="s">
        <v>66</v>
      </c>
      <c r="C824" s="7" t="s">
        <v>15</v>
      </c>
    </row>
    <row r="825" spans="1:13" x14ac:dyDescent="0.2">
      <c r="A825" s="41" t="s">
        <v>16</v>
      </c>
      <c r="B825" s="277">
        <v>2014</v>
      </c>
      <c r="C825" s="155">
        <v>2015</v>
      </c>
      <c r="D825" s="155">
        <v>2016</v>
      </c>
      <c r="E825" s="155">
        <v>2017</v>
      </c>
      <c r="F825" s="155">
        <v>2018</v>
      </c>
      <c r="G825" s="155">
        <v>2019</v>
      </c>
      <c r="H825" s="155">
        <v>2020</v>
      </c>
      <c r="I825" s="155">
        <v>2021</v>
      </c>
      <c r="J825" s="155">
        <v>2022</v>
      </c>
      <c r="K825" s="155">
        <v>2023</v>
      </c>
      <c r="L825" s="155">
        <v>2024</v>
      </c>
      <c r="M825" s="155">
        <v>2025</v>
      </c>
    </row>
    <row r="826" spans="1:13" x14ac:dyDescent="0.2">
      <c r="A826" s="10" t="s">
        <v>17</v>
      </c>
      <c r="B826" s="278">
        <v>22667</v>
      </c>
      <c r="C826" s="278">
        <v>22667</v>
      </c>
      <c r="D826" s="278">
        <v>16989</v>
      </c>
      <c r="E826" s="278">
        <v>16989</v>
      </c>
      <c r="F826" s="278">
        <v>16989</v>
      </c>
      <c r="G826" s="278">
        <v>16989</v>
      </c>
      <c r="H826" s="312">
        <v>13421.3</v>
      </c>
      <c r="I826" s="11">
        <v>13206.57</v>
      </c>
      <c r="J826" s="11">
        <v>13313.94</v>
      </c>
      <c r="K826" s="11">
        <v>13313.94</v>
      </c>
      <c r="L826" s="12">
        <v>13313.93952</v>
      </c>
      <c r="M826" s="11">
        <v>13576.29</v>
      </c>
    </row>
    <row r="827" spans="1:13" x14ac:dyDescent="0.2">
      <c r="A827" s="10" t="s">
        <v>18</v>
      </c>
      <c r="B827" s="278">
        <v>29467.1</v>
      </c>
      <c r="C827" s="278">
        <v>29467.1</v>
      </c>
      <c r="D827" s="278">
        <v>23789.1</v>
      </c>
      <c r="E827" s="278">
        <v>20389.099999999999</v>
      </c>
      <c r="F827" s="278">
        <v>19537.400000000001</v>
      </c>
      <c r="G827" s="278">
        <v>17157.5</v>
      </c>
      <c r="H827" s="278">
        <f>H826+F830+300</f>
        <v>15842.646000000001</v>
      </c>
      <c r="I827" s="12">
        <f>I826+G830</f>
        <v>13453.544999999998</v>
      </c>
      <c r="J827" s="12">
        <f>J826+0.1*H826</f>
        <v>14656.07</v>
      </c>
      <c r="K827" s="12">
        <f>K826+0.1*I826</f>
        <v>14634.597000000002</v>
      </c>
      <c r="L827" s="12">
        <f>L826+0.1*J826</f>
        <v>14645.33352</v>
      </c>
      <c r="M827" s="12">
        <f>M826+0.1*K826</f>
        <v>14907.684000000001</v>
      </c>
    </row>
    <row r="828" spans="1:13" ht="25.5" x14ac:dyDescent="0.2">
      <c r="A828" s="10" t="s">
        <v>19</v>
      </c>
      <c r="B828" s="279" t="s">
        <v>67</v>
      </c>
      <c r="C828" s="279" t="s">
        <v>67</v>
      </c>
      <c r="D828" s="279" t="s">
        <v>68</v>
      </c>
      <c r="E828" s="294" t="s">
        <v>69</v>
      </c>
      <c r="F828" s="294" t="s">
        <v>70</v>
      </c>
      <c r="G828" s="294" t="s">
        <v>71</v>
      </c>
      <c r="H828" s="294" t="s">
        <v>265</v>
      </c>
      <c r="I828" s="196" t="s">
        <v>266</v>
      </c>
      <c r="J828" s="196" t="s">
        <v>582</v>
      </c>
      <c r="K828" s="196" t="s">
        <v>880</v>
      </c>
      <c r="L828" s="196" t="s">
        <v>1014</v>
      </c>
      <c r="M828" s="196" t="s">
        <v>1239</v>
      </c>
    </row>
    <row r="829" spans="1:13" x14ac:dyDescent="0.2">
      <c r="A829" s="289" t="s">
        <v>20</v>
      </c>
      <c r="B829" s="12">
        <v>18152.900000000001</v>
      </c>
      <c r="C829" s="12">
        <v>15741.23</v>
      </c>
      <c r="D829" s="12">
        <v>18059.400000000001</v>
      </c>
      <c r="E829" s="12">
        <v>20220.53</v>
      </c>
      <c r="F829" s="12">
        <v>17416.054</v>
      </c>
      <c r="G829" s="12">
        <v>16910.525000000001</v>
      </c>
      <c r="H829" s="12">
        <v>11285.478270000007</v>
      </c>
      <c r="I829" s="12">
        <v>11445.933670000008</v>
      </c>
      <c r="J829" s="12">
        <v>12588.91</v>
      </c>
      <c r="K829" s="12">
        <v>11864.06</v>
      </c>
      <c r="L829" s="12">
        <v>9157.4519999999993</v>
      </c>
      <c r="M829" s="12"/>
    </row>
    <row r="830" spans="1:13" x14ac:dyDescent="0.2">
      <c r="A830" s="313" t="s">
        <v>21</v>
      </c>
      <c r="B830" s="314">
        <v>11314.2</v>
      </c>
      <c r="C830" s="314">
        <v>13725.87</v>
      </c>
      <c r="D830" s="314">
        <v>5729.68</v>
      </c>
      <c r="E830" s="314">
        <v>168.52</v>
      </c>
      <c r="F830" s="314">
        <v>2121.3460000000014</v>
      </c>
      <c r="G830" s="314">
        <f t="shared" ref="G830:L830" si="37">G827-G829</f>
        <v>246.97499999999854</v>
      </c>
      <c r="H830" s="314">
        <f t="shared" si="37"/>
        <v>4557.1677299999938</v>
      </c>
      <c r="I830" s="314">
        <f t="shared" si="37"/>
        <v>2007.6113299999906</v>
      </c>
      <c r="J830" s="314">
        <f t="shared" si="37"/>
        <v>2067.16</v>
      </c>
      <c r="K830" s="314">
        <f t="shared" si="37"/>
        <v>2770.5370000000021</v>
      </c>
      <c r="L830" s="314">
        <f t="shared" si="37"/>
        <v>5487.8815200000008</v>
      </c>
      <c r="M830" s="314"/>
    </row>
    <row r="831" spans="1:13" x14ac:dyDescent="0.2">
      <c r="A831" s="17" t="s">
        <v>22</v>
      </c>
      <c r="B831" s="160">
        <v>2016</v>
      </c>
      <c r="C831" s="160">
        <v>2017</v>
      </c>
      <c r="D831" s="160">
        <v>2018</v>
      </c>
      <c r="E831" s="160">
        <v>2019</v>
      </c>
      <c r="F831" s="160" t="s">
        <v>72</v>
      </c>
      <c r="G831" s="160" t="s">
        <v>73</v>
      </c>
      <c r="H831" s="160">
        <v>2022</v>
      </c>
      <c r="I831" s="160">
        <v>2023</v>
      </c>
      <c r="J831" s="160">
        <v>2024</v>
      </c>
      <c r="K831" s="160">
        <v>2025</v>
      </c>
      <c r="L831" s="160">
        <v>2026</v>
      </c>
      <c r="M831" s="198">
        <v>2027</v>
      </c>
    </row>
    <row r="832" spans="1:13" x14ac:dyDescent="0.2">
      <c r="A832" s="18" t="s">
        <v>488</v>
      </c>
      <c r="B832" s="282"/>
      <c r="C832" s="282"/>
      <c r="D832" s="282"/>
      <c r="E832" s="282"/>
      <c r="F832" s="282"/>
      <c r="G832" s="282"/>
      <c r="H832" s="282"/>
      <c r="I832" s="282"/>
      <c r="J832" s="19"/>
      <c r="K832" s="19"/>
      <c r="L832" s="19"/>
      <c r="M832" s="63"/>
    </row>
    <row r="833" spans="1:13" x14ac:dyDescent="0.2">
      <c r="A833" s="39" t="s">
        <v>489</v>
      </c>
      <c r="B833" s="283"/>
      <c r="C833" s="283"/>
      <c r="D833" s="283"/>
      <c r="E833" s="283"/>
      <c r="F833" s="283"/>
      <c r="G833" s="283"/>
      <c r="H833" s="283"/>
      <c r="I833" s="283"/>
      <c r="M833" s="64"/>
    </row>
    <row r="834" spans="1:13" ht="15" x14ac:dyDescent="0.2">
      <c r="A834" s="39" t="s">
        <v>733</v>
      </c>
      <c r="B834" s="283"/>
      <c r="C834" s="283"/>
      <c r="D834" s="283"/>
      <c r="E834" s="283"/>
      <c r="F834" s="283"/>
      <c r="G834" s="283"/>
      <c r="H834" s="283"/>
      <c r="I834" s="283"/>
      <c r="M834" s="64"/>
    </row>
    <row r="835" spans="1:13" x14ac:dyDescent="0.2">
      <c r="A835" s="41" t="s">
        <v>583</v>
      </c>
      <c r="B835" s="284"/>
      <c r="C835" s="284"/>
      <c r="D835" s="284"/>
      <c r="E835" s="284"/>
      <c r="F835" s="284"/>
      <c r="G835" s="284"/>
      <c r="H835" s="284"/>
      <c r="I835" s="284"/>
      <c r="J835" s="34"/>
      <c r="K835" s="34"/>
      <c r="L835" s="34"/>
      <c r="M835" s="48"/>
    </row>
    <row r="836" spans="1:13" x14ac:dyDescent="0.2">
      <c r="B836" s="4"/>
      <c r="C836" s="4"/>
      <c r="D836" s="4"/>
      <c r="E836" s="4"/>
      <c r="F836" s="4"/>
      <c r="G836" s="4"/>
      <c r="H836" s="4"/>
      <c r="I836" s="4"/>
    </row>
    <row r="838" spans="1:13" x14ac:dyDescent="0.2">
      <c r="A838" s="6" t="s">
        <v>14</v>
      </c>
      <c r="B838" s="174" t="s">
        <v>74</v>
      </c>
      <c r="C838" s="7" t="s">
        <v>15</v>
      </c>
    </row>
    <row r="839" spans="1:13" x14ac:dyDescent="0.2">
      <c r="A839" s="41" t="s">
        <v>16</v>
      </c>
      <c r="B839" s="277">
        <v>2014</v>
      </c>
      <c r="C839" s="155">
        <v>2015</v>
      </c>
      <c r="D839" s="155">
        <v>2016</v>
      </c>
      <c r="E839" s="155">
        <v>2017</v>
      </c>
      <c r="F839" s="155">
        <v>2018</v>
      </c>
      <c r="G839" s="155">
        <v>2019</v>
      </c>
      <c r="H839" s="155">
        <v>2020</v>
      </c>
      <c r="I839" s="155">
        <v>2021</v>
      </c>
      <c r="J839" s="155">
        <v>2022</v>
      </c>
      <c r="K839" s="155">
        <v>2023</v>
      </c>
      <c r="L839" s="155">
        <v>2024</v>
      </c>
      <c r="M839" s="155">
        <v>2025</v>
      </c>
    </row>
    <row r="840" spans="1:13" x14ac:dyDescent="0.2">
      <c r="A840" s="10" t="s">
        <v>17</v>
      </c>
      <c r="B840" s="278">
        <v>480</v>
      </c>
      <c r="C840" s="278">
        <v>480</v>
      </c>
      <c r="D840" s="278">
        <v>480</v>
      </c>
      <c r="E840" s="278">
        <v>480</v>
      </c>
      <c r="F840" s="278">
        <v>480</v>
      </c>
      <c r="G840" s="278">
        <v>480</v>
      </c>
      <c r="H840" s="301">
        <v>403.8</v>
      </c>
      <c r="I840" s="11">
        <v>403.8</v>
      </c>
      <c r="J840" s="11">
        <v>403.8</v>
      </c>
      <c r="K840" s="11">
        <v>403.8</v>
      </c>
      <c r="L840" s="11">
        <v>403.8</v>
      </c>
      <c r="M840" s="90">
        <v>403.8</v>
      </c>
    </row>
    <row r="841" spans="1:13" x14ac:dyDescent="0.2">
      <c r="A841" s="10" t="s">
        <v>18</v>
      </c>
      <c r="B841" s="278">
        <v>480</v>
      </c>
      <c r="C841" s="278">
        <v>528</v>
      </c>
      <c r="D841" s="278">
        <v>407.63</v>
      </c>
      <c r="E841" s="278">
        <v>414.75</v>
      </c>
      <c r="F841" s="278">
        <v>462.75</v>
      </c>
      <c r="G841" s="278">
        <v>528</v>
      </c>
      <c r="H841" s="278">
        <v>449.8</v>
      </c>
      <c r="I841" s="11">
        <f>I840+0.1*G840-2</f>
        <v>449.8</v>
      </c>
      <c r="J841" s="11">
        <v>401.8</v>
      </c>
      <c r="K841" s="11">
        <v>401.8</v>
      </c>
      <c r="L841" s="11">
        <v>401.8</v>
      </c>
      <c r="M841" s="90">
        <v>401.8</v>
      </c>
    </row>
    <row r="842" spans="1:13" ht="25.5" x14ac:dyDescent="0.2">
      <c r="A842" s="10" t="s">
        <v>19</v>
      </c>
      <c r="B842" s="279">
        <v>480</v>
      </c>
      <c r="C842" s="279">
        <v>528</v>
      </c>
      <c r="D842" s="279" t="s">
        <v>75</v>
      </c>
      <c r="E842" s="294" t="s">
        <v>76</v>
      </c>
      <c r="F842" s="294" t="s">
        <v>77</v>
      </c>
      <c r="G842" s="294" t="s">
        <v>78</v>
      </c>
      <c r="H842" s="294" t="s">
        <v>267</v>
      </c>
      <c r="I842" s="302" t="s">
        <v>268</v>
      </c>
      <c r="J842" s="302" t="s">
        <v>490</v>
      </c>
      <c r="K842" s="302" t="s">
        <v>883</v>
      </c>
      <c r="L842" s="302" t="s">
        <v>1015</v>
      </c>
      <c r="M842" s="90" t="s">
        <v>1187</v>
      </c>
    </row>
    <row r="843" spans="1:13" x14ac:dyDescent="0.2">
      <c r="A843" s="10" t="s">
        <v>20</v>
      </c>
      <c r="B843" s="12">
        <v>552.37</v>
      </c>
      <c r="C843" s="12">
        <v>658.51</v>
      </c>
      <c r="D843" s="12">
        <v>355.07</v>
      </c>
      <c r="E843" s="12">
        <v>338.75</v>
      </c>
      <c r="F843" s="12">
        <v>120.791</v>
      </c>
      <c r="G843" s="12">
        <v>79.62</v>
      </c>
      <c r="H843" s="12">
        <v>138.81700000000001</v>
      </c>
      <c r="I843" s="11">
        <v>105.06</v>
      </c>
      <c r="J843" s="11">
        <v>282.19</v>
      </c>
      <c r="K843" s="11">
        <v>191.54</v>
      </c>
      <c r="L843" s="11">
        <v>135.71</v>
      </c>
      <c r="M843" s="90"/>
    </row>
    <row r="844" spans="1:13" x14ac:dyDescent="0.2">
      <c r="A844" s="10" t="s">
        <v>21</v>
      </c>
      <c r="B844" s="12">
        <v>-72.37</v>
      </c>
      <c r="C844" s="12">
        <v>-130.51</v>
      </c>
      <c r="D844" s="12">
        <f>D841-D843</f>
        <v>52.56</v>
      </c>
      <c r="E844" s="12">
        <f>E841-E843</f>
        <v>76</v>
      </c>
      <c r="F844" s="12">
        <v>341.959</v>
      </c>
      <c r="G844" s="12">
        <f t="shared" ref="G844:L844" si="38">G841-G843</f>
        <v>448.38</v>
      </c>
      <c r="H844" s="12">
        <f t="shared" si="38"/>
        <v>310.983</v>
      </c>
      <c r="I844" s="11">
        <f t="shared" si="38"/>
        <v>344.74</v>
      </c>
      <c r="J844" s="11">
        <f t="shared" si="38"/>
        <v>119.61000000000001</v>
      </c>
      <c r="K844" s="11">
        <f t="shared" si="38"/>
        <v>210.26000000000002</v>
      </c>
      <c r="L844" s="11">
        <f t="shared" si="38"/>
        <v>266.09000000000003</v>
      </c>
      <c r="M844" s="90"/>
    </row>
    <row r="845" spans="1:13" x14ac:dyDescent="0.2">
      <c r="A845" s="16" t="s">
        <v>22</v>
      </c>
      <c r="B845" s="160">
        <v>2016</v>
      </c>
      <c r="C845" s="160">
        <v>2017</v>
      </c>
      <c r="D845" s="160">
        <v>2018</v>
      </c>
      <c r="E845" s="160">
        <v>2019</v>
      </c>
      <c r="F845" s="160" t="s">
        <v>72</v>
      </c>
      <c r="G845" s="160" t="s">
        <v>73</v>
      </c>
      <c r="H845" s="160" t="s">
        <v>161</v>
      </c>
      <c r="I845" s="160" t="s">
        <v>161</v>
      </c>
      <c r="J845" s="160" t="s">
        <v>161</v>
      </c>
      <c r="K845" s="160" t="s">
        <v>161</v>
      </c>
      <c r="L845" s="160" t="s">
        <v>161</v>
      </c>
      <c r="M845" s="181" t="s">
        <v>161</v>
      </c>
    </row>
    <row r="846" spans="1:13" x14ac:dyDescent="0.2">
      <c r="A846" s="18" t="s">
        <v>491</v>
      </c>
      <c r="B846" s="282"/>
      <c r="C846" s="282"/>
      <c r="D846" s="282"/>
      <c r="E846" s="282"/>
      <c r="F846" s="282"/>
      <c r="G846" s="282"/>
      <c r="H846" s="282"/>
      <c r="I846" s="282"/>
      <c r="J846" s="282"/>
      <c r="K846" s="282"/>
      <c r="L846" s="282"/>
      <c r="M846" s="63"/>
    </row>
    <row r="847" spans="1:13" x14ac:dyDescent="0.2">
      <c r="A847" s="39" t="s">
        <v>492</v>
      </c>
      <c r="B847" s="283"/>
      <c r="C847" s="283"/>
      <c r="D847" s="283"/>
      <c r="E847" s="283"/>
      <c r="F847" s="283"/>
      <c r="G847" s="283"/>
      <c r="H847" s="283"/>
      <c r="I847" s="283"/>
      <c r="J847" s="283"/>
      <c r="K847" s="283"/>
      <c r="L847" s="283"/>
      <c r="M847" s="64"/>
    </row>
    <row r="848" spans="1:13" x14ac:dyDescent="0.2">
      <c r="A848" s="315" t="s">
        <v>1072</v>
      </c>
      <c r="B848" s="316"/>
      <c r="C848" s="316"/>
      <c r="D848" s="316"/>
      <c r="E848" s="316"/>
      <c r="F848" s="316"/>
      <c r="G848" s="316"/>
      <c r="H848" s="316"/>
      <c r="I848" s="34"/>
      <c r="J848" s="34"/>
      <c r="K848" s="34"/>
      <c r="L848" s="34"/>
      <c r="M848" s="48"/>
    </row>
    <row r="850" spans="1:12" x14ac:dyDescent="0.2">
      <c r="A850" s="6" t="s">
        <v>14</v>
      </c>
      <c r="B850" s="174" t="s">
        <v>79</v>
      </c>
      <c r="C850" s="7" t="s">
        <v>15</v>
      </c>
    </row>
    <row r="851" spans="1:12" x14ac:dyDescent="0.2">
      <c r="A851" s="41" t="s">
        <v>16</v>
      </c>
      <c r="B851" s="277">
        <v>2014</v>
      </c>
      <c r="C851" s="155">
        <v>2015</v>
      </c>
      <c r="D851" s="155">
        <v>2016</v>
      </c>
      <c r="E851" s="155">
        <v>2017</v>
      </c>
      <c r="F851" s="155">
        <v>2018</v>
      </c>
      <c r="G851" s="155">
        <v>2019</v>
      </c>
      <c r="H851" s="155">
        <v>2020</v>
      </c>
      <c r="I851" s="155">
        <v>2021</v>
      </c>
      <c r="J851" s="155">
        <v>2022</v>
      </c>
    </row>
    <row r="852" spans="1:12" x14ac:dyDescent="0.2">
      <c r="A852" s="10" t="s">
        <v>17</v>
      </c>
      <c r="B852" s="278">
        <v>50</v>
      </c>
      <c r="C852" s="278">
        <v>50</v>
      </c>
      <c r="D852" s="278">
        <v>50</v>
      </c>
      <c r="E852" s="278">
        <v>50</v>
      </c>
      <c r="F852" s="278">
        <v>50</v>
      </c>
      <c r="G852" s="278">
        <v>50</v>
      </c>
      <c r="H852" s="301">
        <v>50</v>
      </c>
      <c r="I852" s="12">
        <v>50</v>
      </c>
      <c r="J852" s="12">
        <v>50</v>
      </c>
    </row>
    <row r="853" spans="1:12" x14ac:dyDescent="0.2">
      <c r="A853" s="10" t="s">
        <v>18</v>
      </c>
      <c r="B853" s="278">
        <v>50</v>
      </c>
      <c r="C853" s="278">
        <v>52.5</v>
      </c>
      <c r="D853" s="278">
        <v>23.9</v>
      </c>
      <c r="E853" s="278">
        <v>23.9</v>
      </c>
      <c r="F853" s="278">
        <v>27.6</v>
      </c>
      <c r="G853" s="278">
        <v>27.6</v>
      </c>
      <c r="H853" s="278">
        <v>32.6</v>
      </c>
      <c r="I853" s="12">
        <v>55</v>
      </c>
      <c r="J853" s="12">
        <v>50</v>
      </c>
    </row>
    <row r="854" spans="1:12" ht="25.5" x14ac:dyDescent="0.2">
      <c r="A854" s="10" t="s">
        <v>19</v>
      </c>
      <c r="B854" s="317">
        <v>50</v>
      </c>
      <c r="C854" s="317">
        <v>52.5</v>
      </c>
      <c r="D854" s="279" t="s">
        <v>80</v>
      </c>
      <c r="E854" s="294" t="s">
        <v>81</v>
      </c>
      <c r="F854" s="294" t="s">
        <v>82</v>
      </c>
      <c r="G854" s="294" t="s">
        <v>83</v>
      </c>
      <c r="H854" s="294" t="s">
        <v>84</v>
      </c>
      <c r="I854" s="196" t="s">
        <v>269</v>
      </c>
      <c r="J854" s="196" t="s">
        <v>572</v>
      </c>
    </row>
    <row r="855" spans="1:12" x14ac:dyDescent="0.2">
      <c r="A855" s="10" t="s">
        <v>20</v>
      </c>
      <c r="B855" s="12">
        <v>102.21</v>
      </c>
      <c r="C855" s="12">
        <v>119.69</v>
      </c>
      <c r="D855" s="12">
        <v>101.54</v>
      </c>
      <c r="E855" s="12">
        <v>14.67</v>
      </c>
      <c r="F855" s="12">
        <v>0.17</v>
      </c>
      <c r="G855" s="12">
        <v>0.7</v>
      </c>
      <c r="H855" s="12">
        <v>3.0670000000000002</v>
      </c>
      <c r="I855" s="12">
        <v>14.32</v>
      </c>
      <c r="J855" s="12">
        <v>1.1000000000000001</v>
      </c>
    </row>
    <row r="856" spans="1:12" x14ac:dyDescent="0.2">
      <c r="A856" s="10" t="s">
        <v>21</v>
      </c>
      <c r="B856" s="12">
        <v>-52.21</v>
      </c>
      <c r="C856" s="12">
        <v>-67.19</v>
      </c>
      <c r="D856" s="12">
        <v>-77.640000000000015</v>
      </c>
      <c r="E856" s="12">
        <f t="shared" ref="E856:J856" si="39">E853-E855</f>
        <v>9.2299999999999986</v>
      </c>
      <c r="F856" s="12">
        <f t="shared" si="39"/>
        <v>27.43</v>
      </c>
      <c r="G856" s="12">
        <f t="shared" si="39"/>
        <v>26.900000000000002</v>
      </c>
      <c r="H856" s="12">
        <f t="shared" si="39"/>
        <v>29.533000000000001</v>
      </c>
      <c r="I856" s="12">
        <f t="shared" si="39"/>
        <v>40.68</v>
      </c>
      <c r="J856" s="12">
        <f t="shared" si="39"/>
        <v>48.9</v>
      </c>
    </row>
    <row r="857" spans="1:12" x14ac:dyDescent="0.2">
      <c r="A857" s="16" t="s">
        <v>22</v>
      </c>
      <c r="B857" s="160">
        <v>2016</v>
      </c>
      <c r="C857" s="160">
        <v>2017</v>
      </c>
      <c r="D857" s="160">
        <v>2018</v>
      </c>
      <c r="E857" s="160">
        <v>2019</v>
      </c>
      <c r="F857" s="160" t="s">
        <v>72</v>
      </c>
      <c r="G857" s="160" t="s">
        <v>73</v>
      </c>
      <c r="H857" s="160" t="s">
        <v>161</v>
      </c>
      <c r="I857" s="160" t="s">
        <v>161</v>
      </c>
      <c r="J857" s="160" t="s">
        <v>161</v>
      </c>
    </row>
    <row r="858" spans="1:12" x14ac:dyDescent="0.2">
      <c r="A858" s="16" t="s">
        <v>493</v>
      </c>
      <c r="B858" s="179"/>
      <c r="C858" s="179"/>
      <c r="D858" s="179"/>
      <c r="E858" s="179"/>
      <c r="F858" s="179"/>
      <c r="G858" s="179"/>
      <c r="H858" s="179"/>
      <c r="I858" s="179"/>
      <c r="J858" s="180"/>
    </row>
    <row r="859" spans="1:12" x14ac:dyDescent="0.2">
      <c r="A859" s="315" t="s">
        <v>494</v>
      </c>
      <c r="B859" s="316"/>
      <c r="C859" s="316"/>
      <c r="D859" s="316"/>
      <c r="E859" s="316"/>
      <c r="F859" s="316"/>
      <c r="G859" s="316"/>
      <c r="H859" s="316"/>
      <c r="I859" s="316"/>
      <c r="J859" s="48"/>
    </row>
    <row r="860" spans="1:12" x14ac:dyDescent="0.2">
      <c r="A860" s="318"/>
      <c r="B860" s="318"/>
      <c r="C860" s="318"/>
      <c r="D860" s="318"/>
      <c r="E860" s="318"/>
      <c r="F860" s="318"/>
      <c r="G860" s="318"/>
      <c r="H860" s="318"/>
      <c r="I860" s="318"/>
    </row>
    <row r="862" spans="1:12" x14ac:dyDescent="0.2">
      <c r="A862" s="6" t="s">
        <v>11</v>
      </c>
      <c r="B862" s="7" t="s">
        <v>361</v>
      </c>
      <c r="C862" s="2"/>
    </row>
    <row r="863" spans="1:12" x14ac:dyDescent="0.2">
      <c r="A863" s="152" t="s">
        <v>1</v>
      </c>
      <c r="B863" s="24" t="s">
        <v>624</v>
      </c>
      <c r="C863" s="9" t="s">
        <v>2</v>
      </c>
    </row>
    <row r="864" spans="1:12" x14ac:dyDescent="0.2">
      <c r="A864" s="10" t="s">
        <v>3</v>
      </c>
      <c r="B864" s="155">
        <v>2015</v>
      </c>
      <c r="C864" s="155">
        <v>2016</v>
      </c>
      <c r="D864" s="173">
        <v>2017</v>
      </c>
      <c r="E864" s="155">
        <v>2018</v>
      </c>
      <c r="F864" s="155">
        <v>2019</v>
      </c>
      <c r="G864" s="155">
        <v>2020</v>
      </c>
      <c r="H864" s="155">
        <v>2021</v>
      </c>
      <c r="I864" s="155">
        <v>2022</v>
      </c>
      <c r="J864" s="155">
        <v>2023</v>
      </c>
      <c r="K864" s="155">
        <v>2024</v>
      </c>
      <c r="L864" s="155">
        <v>2025</v>
      </c>
    </row>
    <row r="865" spans="1:12" x14ac:dyDescent="0.2">
      <c r="A865" s="10" t="s">
        <v>4</v>
      </c>
      <c r="B865" s="157">
        <v>200</v>
      </c>
      <c r="C865" s="175">
        <v>200</v>
      </c>
      <c r="D865" s="157">
        <v>200</v>
      </c>
      <c r="E865" s="176">
        <v>200</v>
      </c>
      <c r="F865" s="176">
        <v>215</v>
      </c>
      <c r="G865" s="176">
        <v>215</v>
      </c>
      <c r="H865" s="176">
        <v>242</v>
      </c>
      <c r="I865" s="176">
        <v>242</v>
      </c>
      <c r="J865" s="176">
        <v>242</v>
      </c>
      <c r="K865" s="176">
        <v>302</v>
      </c>
      <c r="L865" s="176">
        <v>302</v>
      </c>
    </row>
    <row r="866" spans="1:12" x14ac:dyDescent="0.2">
      <c r="A866" s="10" t="s">
        <v>5</v>
      </c>
      <c r="B866" s="157">
        <f>200+(200*25%)</f>
        <v>250</v>
      </c>
      <c r="C866" s="157">
        <f>200+(200*25%)</f>
        <v>250</v>
      </c>
      <c r="D866" s="157">
        <f>200+(200*25%)</f>
        <v>250</v>
      </c>
      <c r="E866" s="157">
        <f>200+(200*25%)</f>
        <v>250</v>
      </c>
      <c r="F866" s="176">
        <f t="shared" ref="F866:L866" si="40">F865+0.25*E865</f>
        <v>265</v>
      </c>
      <c r="G866" s="176">
        <f t="shared" si="40"/>
        <v>268.75</v>
      </c>
      <c r="H866" s="176">
        <f t="shared" si="40"/>
        <v>295.75</v>
      </c>
      <c r="I866" s="176">
        <f t="shared" si="40"/>
        <v>302.5</v>
      </c>
      <c r="J866" s="176">
        <f t="shared" si="40"/>
        <v>302.5</v>
      </c>
      <c r="K866" s="176">
        <f t="shared" si="40"/>
        <v>362.5</v>
      </c>
      <c r="L866" s="176">
        <f t="shared" si="40"/>
        <v>377.5</v>
      </c>
    </row>
    <row r="867" spans="1:12" x14ac:dyDescent="0.2">
      <c r="A867" s="10" t="s">
        <v>6</v>
      </c>
      <c r="B867" s="13">
        <v>2</v>
      </c>
      <c r="C867" s="319">
        <v>3</v>
      </c>
      <c r="D867" s="13">
        <v>4</v>
      </c>
      <c r="E867" s="320">
        <v>5</v>
      </c>
      <c r="F867" s="320">
        <v>6</v>
      </c>
      <c r="G867" s="13">
        <v>7</v>
      </c>
      <c r="H867" s="13">
        <v>8</v>
      </c>
      <c r="I867" s="13">
        <v>9</v>
      </c>
      <c r="J867" s="13">
        <v>10</v>
      </c>
      <c r="K867" s="13">
        <v>11</v>
      </c>
      <c r="L867" s="13"/>
    </row>
    <row r="868" spans="1:12" x14ac:dyDescent="0.2">
      <c r="A868" s="10" t="s">
        <v>7</v>
      </c>
      <c r="B868" s="12">
        <v>0</v>
      </c>
      <c r="C868" s="189">
        <v>0</v>
      </c>
      <c r="D868" s="12">
        <v>0</v>
      </c>
      <c r="E868" s="190">
        <v>0</v>
      </c>
      <c r="F868" s="190">
        <v>0</v>
      </c>
      <c r="G868" s="12">
        <v>0</v>
      </c>
      <c r="H868" s="12">
        <v>0</v>
      </c>
      <c r="I868" s="12">
        <v>0</v>
      </c>
      <c r="J868" s="12">
        <v>0</v>
      </c>
      <c r="K868" s="12">
        <v>0</v>
      </c>
      <c r="L868" s="12"/>
    </row>
    <row r="869" spans="1:12" x14ac:dyDescent="0.2">
      <c r="A869" s="10" t="s">
        <v>8</v>
      </c>
      <c r="B869" s="157">
        <f>B866-B868</f>
        <v>250</v>
      </c>
      <c r="C869" s="157">
        <f>C866-C868</f>
        <v>250</v>
      </c>
      <c r="D869" s="157">
        <f>D866-D868</f>
        <v>250</v>
      </c>
      <c r="E869" s="176">
        <v>250</v>
      </c>
      <c r="F869" s="176">
        <f t="shared" ref="F869:K869" si="41">F866-F868</f>
        <v>265</v>
      </c>
      <c r="G869" s="176">
        <f t="shared" si="41"/>
        <v>268.75</v>
      </c>
      <c r="H869" s="176">
        <f t="shared" si="41"/>
        <v>295.75</v>
      </c>
      <c r="I869" s="176">
        <f t="shared" si="41"/>
        <v>302.5</v>
      </c>
      <c r="J869" s="176">
        <f t="shared" si="41"/>
        <v>302.5</v>
      </c>
      <c r="K869" s="176">
        <f t="shared" si="41"/>
        <v>362.5</v>
      </c>
      <c r="L869" s="176"/>
    </row>
    <row r="870" spans="1:12" x14ac:dyDescent="0.2">
      <c r="A870" s="10" t="s">
        <v>9</v>
      </c>
      <c r="B870" s="321">
        <v>2016</v>
      </c>
      <c r="C870" s="321">
        <v>2017</v>
      </c>
      <c r="D870" s="321">
        <v>2018</v>
      </c>
      <c r="E870" s="321">
        <v>2019</v>
      </c>
      <c r="F870" s="321">
        <v>2020</v>
      </c>
      <c r="G870" s="321">
        <v>2021</v>
      </c>
      <c r="H870" s="321">
        <v>2022</v>
      </c>
      <c r="I870" s="321">
        <v>2023</v>
      </c>
      <c r="J870" s="321">
        <v>2024</v>
      </c>
      <c r="K870" s="321">
        <v>2025</v>
      </c>
      <c r="L870" s="322">
        <v>2026</v>
      </c>
    </row>
    <row r="871" spans="1:12" x14ac:dyDescent="0.2">
      <c r="A871" s="16" t="s">
        <v>10</v>
      </c>
      <c r="B871" s="16"/>
      <c r="C871" s="46"/>
      <c r="D871" s="46"/>
      <c r="E871" s="46"/>
      <c r="F871" s="46"/>
      <c r="G871" s="47"/>
      <c r="H871" s="47"/>
      <c r="I871" s="47"/>
      <c r="J871" s="47"/>
      <c r="K871" s="47"/>
      <c r="L871" s="90"/>
    </row>
    <row r="872" spans="1:12" x14ac:dyDescent="0.2">
      <c r="A872" s="18" t="s">
        <v>362</v>
      </c>
      <c r="B872" s="19"/>
      <c r="C872" s="19"/>
      <c r="D872" s="19"/>
      <c r="E872" s="19"/>
      <c r="F872" s="19"/>
      <c r="G872" s="19"/>
      <c r="H872" s="19"/>
      <c r="I872" s="19"/>
      <c r="J872" s="19"/>
      <c r="K872" s="19"/>
      <c r="L872" s="63"/>
    </row>
    <row r="873" spans="1:12" x14ac:dyDescent="0.2">
      <c r="A873" s="39" t="s">
        <v>794</v>
      </c>
      <c r="L873" s="64"/>
    </row>
    <row r="874" spans="1:12" x14ac:dyDescent="0.2">
      <c r="A874" s="39" t="s">
        <v>795</v>
      </c>
      <c r="L874" s="64"/>
    </row>
    <row r="875" spans="1:12" x14ac:dyDescent="0.2">
      <c r="A875" s="39" t="s">
        <v>796</v>
      </c>
      <c r="L875" s="64"/>
    </row>
    <row r="876" spans="1:12" x14ac:dyDescent="0.2">
      <c r="A876" s="39" t="s">
        <v>797</v>
      </c>
      <c r="L876" s="64"/>
    </row>
    <row r="877" spans="1:12" x14ac:dyDescent="0.2">
      <c r="A877" s="39" t="s">
        <v>798</v>
      </c>
      <c r="L877" s="64"/>
    </row>
    <row r="878" spans="1:12" x14ac:dyDescent="0.2">
      <c r="A878" s="39" t="s">
        <v>799</v>
      </c>
      <c r="L878" s="64"/>
    </row>
    <row r="879" spans="1:12" x14ac:dyDescent="0.2">
      <c r="A879" s="39" t="s">
        <v>800</v>
      </c>
      <c r="L879" s="64"/>
    </row>
    <row r="880" spans="1:12" x14ac:dyDescent="0.2">
      <c r="A880" s="39" t="s">
        <v>801</v>
      </c>
      <c r="L880" s="64"/>
    </row>
    <row r="881" spans="1:12" x14ac:dyDescent="0.2">
      <c r="A881" s="39" t="s">
        <v>802</v>
      </c>
      <c r="L881" s="64"/>
    </row>
    <row r="882" spans="1:12" x14ac:dyDescent="0.2">
      <c r="A882" s="39" t="s">
        <v>972</v>
      </c>
      <c r="L882" s="64"/>
    </row>
    <row r="883" spans="1:12" x14ac:dyDescent="0.2">
      <c r="A883" s="41"/>
      <c r="B883" s="34"/>
      <c r="C883" s="34"/>
      <c r="D883" s="34"/>
      <c r="E883" s="34"/>
      <c r="F883" s="34"/>
      <c r="G883" s="34"/>
      <c r="H883" s="34"/>
      <c r="I883" s="34"/>
      <c r="J883" s="34"/>
      <c r="K883" s="34"/>
      <c r="L883" s="48"/>
    </row>
    <row r="885" spans="1:12" s="4" customFormat="1" x14ac:dyDescent="0.2">
      <c r="A885" s="323" t="s">
        <v>1</v>
      </c>
      <c r="B885" s="324" t="s">
        <v>623</v>
      </c>
      <c r="C885" s="325" t="s">
        <v>2</v>
      </c>
    </row>
    <row r="886" spans="1:12" s="4" customFormat="1" x14ac:dyDescent="0.2">
      <c r="A886" s="326" t="s">
        <v>3</v>
      </c>
      <c r="B886" s="327">
        <v>2015</v>
      </c>
      <c r="C886" s="327">
        <v>2016</v>
      </c>
      <c r="D886" s="328">
        <v>2017</v>
      </c>
      <c r="E886" s="327">
        <v>2018</v>
      </c>
      <c r="F886" s="327">
        <v>2019</v>
      </c>
      <c r="G886" s="327">
        <v>2020</v>
      </c>
      <c r="H886" s="327">
        <v>2021</v>
      </c>
      <c r="I886" s="327">
        <v>2022</v>
      </c>
      <c r="J886" s="327">
        <v>2023</v>
      </c>
      <c r="K886" s="327">
        <v>2024</v>
      </c>
    </row>
    <row r="887" spans="1:12" s="4" customFormat="1" x14ac:dyDescent="0.2">
      <c r="A887" s="326" t="s">
        <v>4</v>
      </c>
      <c r="B887" s="287">
        <v>40</v>
      </c>
      <c r="C887" s="287">
        <v>40</v>
      </c>
      <c r="D887" s="329">
        <v>40</v>
      </c>
      <c r="E887" s="287">
        <v>40</v>
      </c>
      <c r="F887" s="330">
        <v>40</v>
      </c>
      <c r="G887" s="330">
        <v>40</v>
      </c>
      <c r="H887" s="330">
        <v>40</v>
      </c>
      <c r="I887" s="330">
        <v>40</v>
      </c>
      <c r="J887" s="330">
        <v>40</v>
      </c>
      <c r="K887" s="330">
        <v>40</v>
      </c>
    </row>
    <row r="888" spans="1:12" s="4" customFormat="1" x14ac:dyDescent="0.2">
      <c r="A888" s="326" t="s">
        <v>5</v>
      </c>
      <c r="B888" s="287">
        <f>40+(40*50%)+40</f>
        <v>100</v>
      </c>
      <c r="C888" s="287">
        <f>40+(40*50%)+40</f>
        <v>100</v>
      </c>
      <c r="D888" s="287">
        <v>112.75</v>
      </c>
      <c r="E888" s="287">
        <v>108.75</v>
      </c>
      <c r="F888" s="287">
        <v>108.75</v>
      </c>
      <c r="G888" s="287">
        <v>108.75</v>
      </c>
      <c r="H888" s="287">
        <v>108.75</v>
      </c>
      <c r="I888" s="287">
        <f>I887+0.4*G887+40</f>
        <v>96</v>
      </c>
      <c r="J888" s="331">
        <v>96</v>
      </c>
      <c r="K888" s="287">
        <f>K887+0.4*I887+40</f>
        <v>96</v>
      </c>
    </row>
    <row r="889" spans="1:12" s="4" customFormat="1" x14ac:dyDescent="0.2">
      <c r="A889" s="326" t="s">
        <v>6</v>
      </c>
      <c r="B889" s="196">
        <v>1</v>
      </c>
      <c r="C889" s="196">
        <v>2</v>
      </c>
      <c r="D889" s="332">
        <v>3</v>
      </c>
      <c r="E889" s="196">
        <v>4</v>
      </c>
      <c r="F889" s="333">
        <v>5</v>
      </c>
      <c r="G889" s="196">
        <v>6</v>
      </c>
      <c r="H889" s="196">
        <v>7</v>
      </c>
      <c r="I889" s="196">
        <v>8</v>
      </c>
      <c r="J889" s="196">
        <v>9</v>
      </c>
      <c r="K889" s="196">
        <v>10</v>
      </c>
    </row>
    <row r="890" spans="1:12" s="4" customFormat="1" x14ac:dyDescent="0.2">
      <c r="A890" s="326" t="s">
        <v>7</v>
      </c>
      <c r="B890" s="287">
        <v>0</v>
      </c>
      <c r="C890" s="287">
        <v>0</v>
      </c>
      <c r="D890" s="329">
        <v>0</v>
      </c>
      <c r="E890" s="287">
        <v>0</v>
      </c>
      <c r="F890" s="330">
        <v>0</v>
      </c>
      <c r="G890" s="287">
        <v>0</v>
      </c>
      <c r="H890" s="287">
        <v>0</v>
      </c>
      <c r="I890" s="287">
        <v>78</v>
      </c>
      <c r="J890" s="287">
        <v>0</v>
      </c>
      <c r="K890" s="287">
        <v>0</v>
      </c>
    </row>
    <row r="891" spans="1:12" s="4" customFormat="1" x14ac:dyDescent="0.2">
      <c r="A891" s="326" t="s">
        <v>8</v>
      </c>
      <c r="B891" s="287">
        <f t="shared" ref="B891:G891" si="42">B888-B890</f>
        <v>100</v>
      </c>
      <c r="C891" s="287">
        <f t="shared" si="42"/>
        <v>100</v>
      </c>
      <c r="D891" s="287">
        <f t="shared" si="42"/>
        <v>112.75</v>
      </c>
      <c r="E891" s="287">
        <f t="shared" si="42"/>
        <v>108.75</v>
      </c>
      <c r="F891" s="287">
        <f t="shared" si="42"/>
        <v>108.75</v>
      </c>
      <c r="G891" s="287">
        <f t="shared" si="42"/>
        <v>108.75</v>
      </c>
      <c r="H891" s="287">
        <v>108.75</v>
      </c>
      <c r="I891" s="287">
        <f>I888-I890</f>
        <v>18</v>
      </c>
      <c r="J891" s="287">
        <f>J888-J890</f>
        <v>96</v>
      </c>
      <c r="K891" s="287">
        <f>K888-K890</f>
        <v>96</v>
      </c>
    </row>
    <row r="892" spans="1:12" s="4" customFormat="1" x14ac:dyDescent="0.2">
      <c r="A892" s="334" t="s">
        <v>9</v>
      </c>
      <c r="B892" s="335">
        <v>2017</v>
      </c>
      <c r="C892" s="335">
        <v>2018</v>
      </c>
      <c r="D892" s="335">
        <v>2019</v>
      </c>
      <c r="E892" s="335">
        <v>2020</v>
      </c>
      <c r="F892" s="335">
        <v>2021</v>
      </c>
      <c r="G892" s="335">
        <v>2022</v>
      </c>
      <c r="H892" s="335">
        <v>2023</v>
      </c>
      <c r="I892" s="335">
        <v>2024</v>
      </c>
      <c r="J892" s="335">
        <v>2025</v>
      </c>
      <c r="K892" s="335">
        <v>2026</v>
      </c>
    </row>
    <row r="893" spans="1:12" s="4" customFormat="1" x14ac:dyDescent="0.2">
      <c r="A893" s="653" t="s">
        <v>10</v>
      </c>
      <c r="B893" s="654"/>
      <c r="C893" s="654"/>
      <c r="D893" s="654"/>
      <c r="E893" s="654"/>
      <c r="F893" s="654"/>
      <c r="G893" s="336"/>
      <c r="H893" s="336"/>
      <c r="I893" s="336"/>
      <c r="J893" s="337"/>
      <c r="K893" s="337"/>
    </row>
    <row r="894" spans="1:12" s="4" customFormat="1" x14ac:dyDescent="0.2">
      <c r="A894" s="334" t="s">
        <v>362</v>
      </c>
      <c r="B894" s="336"/>
      <c r="C894" s="336"/>
      <c r="D894" s="336"/>
      <c r="E894" s="336"/>
      <c r="F894" s="336"/>
      <c r="G894" s="336"/>
      <c r="H894" s="336"/>
      <c r="I894" s="336"/>
      <c r="J894" s="336"/>
      <c r="K894" s="337"/>
    </row>
    <row r="895" spans="1:12" s="4" customFormat="1" x14ac:dyDescent="0.2">
      <c r="A895" s="651" t="s">
        <v>363</v>
      </c>
      <c r="B895" s="652"/>
      <c r="C895" s="652"/>
      <c r="D895" s="652"/>
      <c r="E895" s="652"/>
      <c r="F895" s="652"/>
      <c r="K895" s="338"/>
    </row>
    <row r="896" spans="1:12" s="4" customFormat="1" x14ac:dyDescent="0.2">
      <c r="A896" s="651" t="s">
        <v>364</v>
      </c>
      <c r="B896" s="652"/>
      <c r="C896" s="652"/>
      <c r="D896" s="652"/>
      <c r="E896" s="652"/>
      <c r="F896" s="652"/>
      <c r="K896" s="338"/>
    </row>
    <row r="897" spans="1:11" s="4" customFormat="1" ht="45" customHeight="1" x14ac:dyDescent="0.2">
      <c r="A897" s="651" t="s">
        <v>365</v>
      </c>
      <c r="B897" s="652"/>
      <c r="C897" s="652"/>
      <c r="D897" s="652"/>
      <c r="E897" s="652"/>
      <c r="F897" s="652"/>
      <c r="G897" s="652"/>
      <c r="K897" s="338"/>
    </row>
    <row r="898" spans="1:11" s="4" customFormat="1" ht="30" customHeight="1" x14ac:dyDescent="0.2">
      <c r="A898" s="651" t="s">
        <v>977</v>
      </c>
      <c r="B898" s="652"/>
      <c r="C898" s="652"/>
      <c r="D898" s="652"/>
      <c r="E898" s="652"/>
      <c r="F898" s="652"/>
      <c r="G898" s="652"/>
      <c r="K898" s="338"/>
    </row>
    <row r="899" spans="1:11" s="4" customFormat="1" ht="30" customHeight="1" x14ac:dyDescent="0.2">
      <c r="A899" s="651" t="s">
        <v>976</v>
      </c>
      <c r="B899" s="652"/>
      <c r="C899" s="652"/>
      <c r="D899" s="652"/>
      <c r="E899" s="652"/>
      <c r="F899" s="652"/>
      <c r="G899" s="652"/>
      <c r="K899" s="338"/>
    </row>
    <row r="900" spans="1:11" s="4" customFormat="1" ht="30" customHeight="1" x14ac:dyDescent="0.2">
      <c r="A900" s="651" t="s">
        <v>975</v>
      </c>
      <c r="B900" s="652"/>
      <c r="C900" s="652"/>
      <c r="D900" s="652"/>
      <c r="E900" s="652"/>
      <c r="F900" s="652"/>
      <c r="G900" s="652"/>
      <c r="K900" s="338"/>
    </row>
    <row r="901" spans="1:11" s="4" customFormat="1" ht="30" customHeight="1" x14ac:dyDescent="0.2">
      <c r="A901" s="651" t="s">
        <v>974</v>
      </c>
      <c r="B901" s="652"/>
      <c r="C901" s="652"/>
      <c r="D901" s="652"/>
      <c r="E901" s="652"/>
      <c r="F901" s="652"/>
      <c r="G901" s="652"/>
      <c r="K901" s="338"/>
    </row>
    <row r="902" spans="1:11" s="4" customFormat="1" ht="30" customHeight="1" x14ac:dyDescent="0.2">
      <c r="A902" s="162" t="s">
        <v>973</v>
      </c>
      <c r="B902" s="32"/>
      <c r="C902" s="32"/>
      <c r="D902" s="32"/>
      <c r="E902" s="32"/>
      <c r="F902" s="32"/>
      <c r="G902" s="32"/>
      <c r="K902" s="338"/>
    </row>
    <row r="903" spans="1:11" s="341" customFormat="1" ht="30" customHeight="1" x14ac:dyDescent="0.2">
      <c r="A903" s="339" t="s">
        <v>1154</v>
      </c>
      <c r="B903" s="340"/>
      <c r="C903" s="340"/>
      <c r="D903" s="340"/>
      <c r="E903" s="340"/>
      <c r="F903" s="340"/>
      <c r="G903" s="340"/>
      <c r="K903" s="342"/>
    </row>
    <row r="904" spans="1:11" s="4" customFormat="1" ht="30" customHeight="1" x14ac:dyDescent="0.2">
      <c r="A904" s="655" t="s">
        <v>978</v>
      </c>
      <c r="B904" s="656"/>
      <c r="C904" s="656"/>
      <c r="D904" s="656"/>
      <c r="E904" s="656"/>
      <c r="F904" s="656"/>
      <c r="G904" s="656"/>
      <c r="H904" s="343"/>
      <c r="I904" s="343"/>
      <c r="J904" s="343"/>
      <c r="K904" s="344"/>
    </row>
    <row r="906" spans="1:11" x14ac:dyDescent="0.2">
      <c r="A906" s="6" t="s">
        <v>1</v>
      </c>
      <c r="B906" s="7" t="s">
        <v>645</v>
      </c>
      <c r="C906" s="325" t="s">
        <v>2</v>
      </c>
    </row>
    <row r="907" spans="1:11" x14ac:dyDescent="0.2">
      <c r="A907" s="10" t="s">
        <v>3</v>
      </c>
      <c r="B907" s="155">
        <v>2015</v>
      </c>
      <c r="C907" s="155">
        <v>2016</v>
      </c>
      <c r="D907" s="173">
        <v>2017</v>
      </c>
      <c r="E907" s="155">
        <v>2018</v>
      </c>
      <c r="F907" s="155">
        <v>2019</v>
      </c>
      <c r="G907" s="155">
        <v>2020</v>
      </c>
      <c r="H907" s="155">
        <v>2021</v>
      </c>
      <c r="I907" s="155">
        <v>2022</v>
      </c>
      <c r="J907" s="155">
        <v>2023</v>
      </c>
      <c r="K907" s="155">
        <v>2024</v>
      </c>
    </row>
    <row r="908" spans="1:11" x14ac:dyDescent="0.2">
      <c r="A908" s="10" t="s">
        <v>4</v>
      </c>
      <c r="B908" s="12">
        <v>4.51</v>
      </c>
      <c r="C908" s="12">
        <v>4.51</v>
      </c>
      <c r="D908" s="189">
        <v>4.51</v>
      </c>
      <c r="E908" s="12">
        <v>5.31</v>
      </c>
      <c r="F908" s="190">
        <v>5.31</v>
      </c>
      <c r="G908" s="12">
        <v>5.31</v>
      </c>
      <c r="H908" s="12">
        <v>5.31</v>
      </c>
      <c r="I908" s="12">
        <v>6.18</v>
      </c>
      <c r="J908" s="12">
        <v>6.18</v>
      </c>
      <c r="K908" s="12">
        <v>6.18</v>
      </c>
    </row>
    <row r="909" spans="1:11" x14ac:dyDescent="0.2">
      <c r="A909" s="10" t="s">
        <v>5</v>
      </c>
      <c r="B909" s="12">
        <v>8.51</v>
      </c>
      <c r="C909" s="12">
        <v>9.02</v>
      </c>
      <c r="D909" s="12">
        <v>4.1899999999999995</v>
      </c>
      <c r="E909" s="12">
        <v>9.5</v>
      </c>
      <c r="F909" s="12">
        <f>2*F908-9.62</f>
        <v>1</v>
      </c>
      <c r="G909" s="12">
        <f>G908+F912-4.78</f>
        <v>1.5299999999999994</v>
      </c>
      <c r="H909" s="12">
        <f>H908+G912-4.78</f>
        <v>2.0599999999999987</v>
      </c>
      <c r="I909" s="12">
        <f>I908+H912-4.78</f>
        <v>3.4599999999999982</v>
      </c>
      <c r="J909" s="12">
        <f>J908+I912-5.18</f>
        <v>4.4599999999999973</v>
      </c>
      <c r="K909" s="12">
        <f>K908+J912</f>
        <v>10.639999999999997</v>
      </c>
    </row>
    <row r="910" spans="1:11" x14ac:dyDescent="0.2">
      <c r="A910" s="10" t="s">
        <v>6</v>
      </c>
      <c r="B910" s="11">
        <v>1</v>
      </c>
      <c r="C910" s="11">
        <v>2</v>
      </c>
      <c r="D910" s="36">
        <v>3</v>
      </c>
      <c r="E910" s="11">
        <v>4</v>
      </c>
      <c r="F910" s="37">
        <v>5</v>
      </c>
      <c r="G910" s="11">
        <v>6</v>
      </c>
      <c r="H910" s="11">
        <v>7</v>
      </c>
      <c r="I910" s="11">
        <v>8</v>
      </c>
      <c r="J910" s="11">
        <v>9</v>
      </c>
      <c r="K910" s="11">
        <v>10</v>
      </c>
    </row>
    <row r="911" spans="1:11" x14ac:dyDescent="0.2">
      <c r="A911" s="10" t="s">
        <v>7</v>
      </c>
      <c r="B911" s="12">
        <v>0.17</v>
      </c>
      <c r="C911" s="12">
        <v>9.34</v>
      </c>
      <c r="D911" s="189">
        <v>0</v>
      </c>
      <c r="E911" s="12">
        <v>0</v>
      </c>
      <c r="F911" s="190">
        <v>0</v>
      </c>
      <c r="G911" s="12">
        <v>0</v>
      </c>
      <c r="H911" s="12">
        <v>0</v>
      </c>
      <c r="I911" s="12">
        <v>0</v>
      </c>
      <c r="J911" s="12">
        <v>0</v>
      </c>
      <c r="K911" s="12">
        <v>0</v>
      </c>
    </row>
    <row r="912" spans="1:11" x14ac:dyDescent="0.2">
      <c r="A912" s="10" t="s">
        <v>8</v>
      </c>
      <c r="B912" s="12">
        <v>8.34</v>
      </c>
      <c r="C912" s="12">
        <v>-0.32000000000000028</v>
      </c>
      <c r="D912" s="12">
        <v>4.1899999999999995</v>
      </c>
      <c r="E912" s="12">
        <v>9.5</v>
      </c>
      <c r="F912" s="190">
        <f>F909-F911</f>
        <v>1</v>
      </c>
      <c r="G912" s="12">
        <f>G909</f>
        <v>1.5299999999999994</v>
      </c>
      <c r="H912" s="12">
        <f>H909</f>
        <v>2.0599999999999987</v>
      </c>
      <c r="I912" s="12">
        <f>I909-I911</f>
        <v>3.4599999999999982</v>
      </c>
      <c r="J912" s="12">
        <f>J909-J911</f>
        <v>4.4599999999999973</v>
      </c>
      <c r="K912" s="12">
        <f>K909-K911</f>
        <v>10.639999999999997</v>
      </c>
    </row>
    <row r="913" spans="1:11" x14ac:dyDescent="0.2">
      <c r="A913" s="16" t="s">
        <v>9</v>
      </c>
      <c r="B913" s="17">
        <v>2016</v>
      </c>
      <c r="C913" s="17">
        <v>2017</v>
      </c>
      <c r="D913" s="17">
        <v>2018</v>
      </c>
      <c r="E913" s="17">
        <v>2019</v>
      </c>
      <c r="F913" s="17">
        <v>2020</v>
      </c>
      <c r="G913" s="17">
        <v>2021</v>
      </c>
      <c r="H913" s="17">
        <v>2022</v>
      </c>
      <c r="I913" s="17">
        <v>2023</v>
      </c>
      <c r="J913" s="17">
        <v>2024</v>
      </c>
      <c r="K913" s="17">
        <v>2025</v>
      </c>
    </row>
    <row r="914" spans="1:11" x14ac:dyDescent="0.2">
      <c r="A914" s="16" t="s">
        <v>10</v>
      </c>
      <c r="B914" s="46"/>
      <c r="C914" s="46"/>
      <c r="D914" s="46"/>
      <c r="E914" s="46"/>
      <c r="F914" s="46"/>
      <c r="G914" s="46"/>
      <c r="H914" s="46"/>
      <c r="I914" s="46"/>
      <c r="J914" s="47"/>
      <c r="K914" s="47"/>
    </row>
    <row r="915" spans="1:11" x14ac:dyDescent="0.2">
      <c r="A915" s="16" t="s">
        <v>366</v>
      </c>
      <c r="B915" s="46"/>
      <c r="C915" s="46"/>
      <c r="D915" s="46"/>
      <c r="E915" s="46"/>
      <c r="F915" s="46"/>
      <c r="G915" s="46"/>
      <c r="H915" s="46"/>
      <c r="I915" s="46"/>
      <c r="J915" s="46"/>
      <c r="K915" s="47"/>
    </row>
    <row r="916" spans="1:11" x14ac:dyDescent="0.2">
      <c r="A916" s="39" t="s">
        <v>367</v>
      </c>
      <c r="K916" s="64"/>
    </row>
    <row r="917" spans="1:11" x14ac:dyDescent="0.2">
      <c r="A917" s="39" t="s">
        <v>368</v>
      </c>
      <c r="K917" s="64"/>
    </row>
    <row r="918" spans="1:11" x14ac:dyDescent="0.2">
      <c r="A918" s="39" t="s">
        <v>369</v>
      </c>
      <c r="K918" s="64"/>
    </row>
    <row r="919" spans="1:11" x14ac:dyDescent="0.2">
      <c r="A919" s="39" t="s">
        <v>596</v>
      </c>
      <c r="K919" s="64"/>
    </row>
    <row r="920" spans="1:11" x14ac:dyDescent="0.2">
      <c r="A920" s="39" t="s">
        <v>589</v>
      </c>
      <c r="K920" s="64"/>
    </row>
    <row r="921" spans="1:11" x14ac:dyDescent="0.2">
      <c r="A921" s="39" t="s">
        <v>588</v>
      </c>
      <c r="K921" s="64"/>
    </row>
    <row r="922" spans="1:11" x14ac:dyDescent="0.2">
      <c r="A922" s="39" t="s">
        <v>597</v>
      </c>
      <c r="K922" s="64"/>
    </row>
    <row r="923" spans="1:11" x14ac:dyDescent="0.2">
      <c r="A923" s="39" t="s">
        <v>803</v>
      </c>
      <c r="K923" s="64"/>
    </row>
    <row r="924" spans="1:11" x14ac:dyDescent="0.2">
      <c r="A924" s="41" t="s">
        <v>979</v>
      </c>
      <c r="B924" s="34"/>
      <c r="C924" s="34"/>
      <c r="D924" s="34"/>
      <c r="E924" s="34"/>
      <c r="F924" s="34"/>
      <c r="G924" s="34"/>
      <c r="H924" s="34"/>
      <c r="I924" s="34"/>
      <c r="J924" s="34"/>
      <c r="K924" s="48"/>
    </row>
    <row r="927" spans="1:11" x14ac:dyDescent="0.2">
      <c r="A927" s="98" t="s">
        <v>12</v>
      </c>
      <c r="B927" s="66" t="s">
        <v>249</v>
      </c>
      <c r="C927" s="345"/>
      <c r="D927" s="8"/>
      <c r="E927" s="8"/>
      <c r="F927" s="8"/>
    </row>
    <row r="928" spans="1:11" x14ac:dyDescent="0.2">
      <c r="A928" s="98" t="s">
        <v>14</v>
      </c>
      <c r="B928" s="66" t="s">
        <v>66</v>
      </c>
      <c r="C928" s="67" t="s">
        <v>15</v>
      </c>
      <c r="D928" s="8"/>
      <c r="E928" s="8"/>
      <c r="F928" s="8"/>
    </row>
    <row r="929" spans="1:11" x14ac:dyDescent="0.2">
      <c r="A929" s="68" t="s">
        <v>16</v>
      </c>
      <c r="B929" s="265">
        <v>2015</v>
      </c>
      <c r="C929" s="265">
        <v>2016</v>
      </c>
      <c r="D929" s="346">
        <v>2017</v>
      </c>
      <c r="E929" s="265">
        <v>2018</v>
      </c>
      <c r="F929" s="347">
        <v>2019</v>
      </c>
      <c r="G929" s="347">
        <v>2020</v>
      </c>
      <c r="H929" s="347">
        <v>2021</v>
      </c>
      <c r="I929" s="347">
        <v>2022</v>
      </c>
      <c r="J929" s="347">
        <v>2023</v>
      </c>
      <c r="K929" s="348">
        <v>2024</v>
      </c>
    </row>
    <row r="930" spans="1:11" x14ac:dyDescent="0.2">
      <c r="A930" s="68" t="s">
        <v>17</v>
      </c>
      <c r="B930" s="12">
        <v>4722</v>
      </c>
      <c r="C930" s="12">
        <v>4250</v>
      </c>
      <c r="D930" s="12">
        <v>4250</v>
      </c>
      <c r="E930" s="12">
        <v>4250</v>
      </c>
      <c r="F930" s="12">
        <v>4250</v>
      </c>
      <c r="G930" s="12">
        <v>3968.23</v>
      </c>
      <c r="H930" s="12">
        <v>3904.7383199999999</v>
      </c>
      <c r="I930" s="12">
        <v>3936.48416</v>
      </c>
      <c r="J930" s="12">
        <v>3936.48416</v>
      </c>
      <c r="K930" s="131">
        <v>3936.48416</v>
      </c>
    </row>
    <row r="931" spans="1:11" x14ac:dyDescent="0.2">
      <c r="A931" s="68" t="s">
        <v>18</v>
      </c>
      <c r="B931" s="12">
        <v>6614.6</v>
      </c>
      <c r="C931" s="12">
        <f>C930+70+583-337</f>
        <v>4566</v>
      </c>
      <c r="D931" s="12">
        <f>D930-337+70+B934+C934</f>
        <v>4433.3230000000003</v>
      </c>
      <c r="E931" s="12">
        <f>E930-337+70</f>
        <v>3983</v>
      </c>
      <c r="F931" s="12">
        <f>F930+70+D934</f>
        <v>4667.3230000000003</v>
      </c>
      <c r="G931" s="12">
        <f>G930+E934</f>
        <v>4380.2299999999996</v>
      </c>
      <c r="H931" s="12">
        <f>H930+425</f>
        <v>4329.7383200000004</v>
      </c>
      <c r="I931" s="12">
        <f>I930+396.82</f>
        <v>4333.3041599999997</v>
      </c>
      <c r="J931" s="12">
        <v>4326.9541600000002</v>
      </c>
      <c r="K931" s="131">
        <v>4330.1319999999996</v>
      </c>
    </row>
    <row r="932" spans="1:11" x14ac:dyDescent="0.2">
      <c r="A932" s="68" t="s">
        <v>19</v>
      </c>
      <c r="B932" s="13"/>
      <c r="C932" s="13">
        <v>1</v>
      </c>
      <c r="D932" s="13">
        <v>2</v>
      </c>
      <c r="E932" s="13">
        <v>3</v>
      </c>
      <c r="F932" s="13">
        <v>4</v>
      </c>
      <c r="G932" s="13">
        <v>5</v>
      </c>
      <c r="H932" s="13">
        <v>6</v>
      </c>
      <c r="I932" s="13">
        <v>7</v>
      </c>
      <c r="J932" s="13">
        <v>8</v>
      </c>
      <c r="K932" s="349">
        <v>9</v>
      </c>
    </row>
    <row r="933" spans="1:11" x14ac:dyDescent="0.2">
      <c r="A933" s="68" t="s">
        <v>20</v>
      </c>
      <c r="B933" s="12">
        <v>5917.6769999999997</v>
      </c>
      <c r="C933" s="12">
        <v>4812.6000000000004</v>
      </c>
      <c r="D933" s="12">
        <v>4086</v>
      </c>
      <c r="E933" s="12">
        <v>3571</v>
      </c>
      <c r="F933" s="12">
        <v>2864.5</v>
      </c>
      <c r="G933" s="12">
        <v>2932.5</v>
      </c>
      <c r="H933" s="12">
        <v>1925</v>
      </c>
      <c r="I933" s="12">
        <v>3672</v>
      </c>
      <c r="J933" s="12">
        <v>2371</v>
      </c>
      <c r="K933" s="131">
        <v>2345</v>
      </c>
    </row>
    <row r="934" spans="1:11" x14ac:dyDescent="0.2">
      <c r="A934" s="68" t="s">
        <v>21</v>
      </c>
      <c r="B934" s="12">
        <f t="shared" ref="B934:H934" si="43">B931-B933</f>
        <v>696.92300000000068</v>
      </c>
      <c r="C934" s="12">
        <f t="shared" si="43"/>
        <v>-246.60000000000036</v>
      </c>
      <c r="D934" s="12">
        <f t="shared" si="43"/>
        <v>347.32300000000032</v>
      </c>
      <c r="E934" s="12">
        <f t="shared" si="43"/>
        <v>412</v>
      </c>
      <c r="F934" s="12">
        <f t="shared" si="43"/>
        <v>1802.8230000000003</v>
      </c>
      <c r="G934" s="12">
        <f t="shared" si="43"/>
        <v>1447.7299999999996</v>
      </c>
      <c r="H934" s="12">
        <f t="shared" si="43"/>
        <v>2404.7383200000004</v>
      </c>
      <c r="I934" s="12">
        <f>I931-I933</f>
        <v>661.30415999999968</v>
      </c>
      <c r="J934" s="12">
        <f>J931-J933</f>
        <v>1955.9541600000002</v>
      </c>
      <c r="K934" s="131">
        <f>K931-K933</f>
        <v>1985.1319999999996</v>
      </c>
    </row>
    <row r="935" spans="1:11" x14ac:dyDescent="0.2">
      <c r="A935" s="73" t="s">
        <v>22</v>
      </c>
      <c r="B935" s="350">
        <v>2017</v>
      </c>
      <c r="C935" s="350">
        <v>2018</v>
      </c>
      <c r="D935" s="350">
        <v>2019</v>
      </c>
      <c r="E935" s="350">
        <v>2020</v>
      </c>
      <c r="F935" s="350">
        <v>2021</v>
      </c>
      <c r="G935" s="350">
        <v>2022</v>
      </c>
      <c r="H935" s="350">
        <v>2023</v>
      </c>
      <c r="I935" s="350">
        <v>2024</v>
      </c>
      <c r="J935" s="350">
        <v>2025</v>
      </c>
      <c r="K935" s="351">
        <v>2026</v>
      </c>
    </row>
    <row r="936" spans="1:11" x14ac:dyDescent="0.2">
      <c r="A936" s="352"/>
      <c r="B936" s="19"/>
      <c r="C936" s="353"/>
      <c r="D936" s="19"/>
      <c r="E936" s="19"/>
      <c r="F936" s="19"/>
      <c r="G936" s="19"/>
      <c r="H936" s="19"/>
      <c r="I936" s="19"/>
      <c r="J936" s="19"/>
      <c r="K936" s="63"/>
    </row>
    <row r="937" spans="1:11" x14ac:dyDescent="0.2">
      <c r="A937" s="39" t="s">
        <v>598</v>
      </c>
      <c r="K937" s="64"/>
    </row>
    <row r="938" spans="1:11" x14ac:dyDescent="0.2">
      <c r="A938" s="39" t="s">
        <v>599</v>
      </c>
      <c r="K938" s="64"/>
    </row>
    <row r="939" spans="1:11" x14ac:dyDescent="0.2">
      <c r="A939" s="39" t="s">
        <v>600</v>
      </c>
      <c r="C939" s="354"/>
      <c r="K939" s="64"/>
    </row>
    <row r="940" spans="1:11" x14ac:dyDescent="0.2">
      <c r="A940" s="39" t="s">
        <v>601</v>
      </c>
      <c r="C940" s="354"/>
      <c r="K940" s="64"/>
    </row>
    <row r="941" spans="1:11" x14ac:dyDescent="0.2">
      <c r="A941" s="39" t="s">
        <v>602</v>
      </c>
      <c r="C941" s="354"/>
      <c r="K941" s="64"/>
    </row>
    <row r="942" spans="1:11" x14ac:dyDescent="0.2">
      <c r="A942" s="39" t="s">
        <v>501</v>
      </c>
      <c r="K942" s="64"/>
    </row>
    <row r="943" spans="1:11" x14ac:dyDescent="0.2">
      <c r="A943" s="39" t="s">
        <v>737</v>
      </c>
      <c r="K943" s="64"/>
    </row>
    <row r="944" spans="1:11" x14ac:dyDescent="0.2">
      <c r="A944" s="39" t="s">
        <v>736</v>
      </c>
      <c r="K944" s="64"/>
    </row>
    <row r="945" spans="1:12" x14ac:dyDescent="0.2">
      <c r="A945" s="39" t="s">
        <v>982</v>
      </c>
      <c r="K945" s="64"/>
    </row>
    <row r="946" spans="1:12" x14ac:dyDescent="0.2">
      <c r="A946" s="42" t="s">
        <v>1188</v>
      </c>
      <c r="B946" s="34"/>
      <c r="C946" s="34"/>
      <c r="D946" s="34"/>
      <c r="E946" s="34"/>
      <c r="F946" s="34"/>
      <c r="G946" s="34"/>
      <c r="H946" s="34"/>
      <c r="I946" s="34"/>
      <c r="J946" s="34"/>
      <c r="K946" s="48"/>
    </row>
    <row r="948" spans="1:12" x14ac:dyDescent="0.2">
      <c r="A948" s="1"/>
      <c r="B948" s="2"/>
      <c r="C948" s="2"/>
      <c r="D948" s="2"/>
      <c r="E948" s="2"/>
      <c r="F948" s="1"/>
      <c r="G948" s="2"/>
    </row>
    <row r="949" spans="1:12" x14ac:dyDescent="0.2">
      <c r="A949" s="6" t="s">
        <v>12</v>
      </c>
      <c r="B949" s="7" t="s">
        <v>944</v>
      </c>
      <c r="C949" s="8"/>
    </row>
    <row r="950" spans="1:12" s="50" customFormat="1" ht="15" x14ac:dyDescent="0.25">
      <c r="A950" s="9" t="s">
        <v>14</v>
      </c>
      <c r="B950" s="9" t="s">
        <v>623</v>
      </c>
      <c r="C950" s="9" t="s">
        <v>15</v>
      </c>
      <c r="D950" s="49"/>
      <c r="E950" s="49"/>
      <c r="F950" s="49"/>
      <c r="G950" s="49"/>
      <c r="H950" s="49"/>
      <c r="I950" s="49"/>
      <c r="J950" s="49"/>
      <c r="K950" s="355"/>
      <c r="L950" s="355"/>
    </row>
    <row r="951" spans="1:12" s="50" customFormat="1" ht="15" x14ac:dyDescent="0.25">
      <c r="A951" s="11" t="s">
        <v>16</v>
      </c>
      <c r="B951" s="11">
        <v>2016</v>
      </c>
      <c r="C951" s="51">
        <v>2017</v>
      </c>
      <c r="D951" s="11">
        <v>2018</v>
      </c>
      <c r="E951" s="51">
        <v>2019</v>
      </c>
      <c r="F951" s="11">
        <v>2020</v>
      </c>
      <c r="G951" s="51">
        <v>2021</v>
      </c>
      <c r="H951" s="51">
        <v>2022</v>
      </c>
      <c r="I951" s="51">
        <v>2023</v>
      </c>
      <c r="J951" s="51">
        <v>2024</v>
      </c>
    </row>
    <row r="952" spans="1:12" s="50" customFormat="1" ht="15" x14ac:dyDescent="0.25">
      <c r="A952" s="11" t="s">
        <v>17</v>
      </c>
      <c r="B952" s="12">
        <v>0</v>
      </c>
      <c r="C952" s="12">
        <v>0</v>
      </c>
      <c r="D952" s="12">
        <v>0</v>
      </c>
      <c r="E952" s="12">
        <v>0</v>
      </c>
      <c r="F952" s="12">
        <v>0</v>
      </c>
      <c r="G952" s="12">
        <v>0</v>
      </c>
      <c r="H952" s="12">
        <v>0</v>
      </c>
      <c r="I952" s="12">
        <v>0</v>
      </c>
      <c r="J952" s="12">
        <v>0</v>
      </c>
    </row>
    <row r="953" spans="1:12" s="50" customFormat="1" ht="15" x14ac:dyDescent="0.25">
      <c r="A953" s="11" t="s">
        <v>18</v>
      </c>
      <c r="B953" s="12"/>
      <c r="C953" s="12">
        <f>C952+B956</f>
        <v>-28.55546</v>
      </c>
      <c r="D953" s="12">
        <f>D952+C956</f>
        <v>-64.828410000000005</v>
      </c>
      <c r="E953" s="12">
        <f>E952+D956</f>
        <v>-100.71838</v>
      </c>
      <c r="F953" s="12">
        <f>F952+E956</f>
        <v>-122.58440999999999</v>
      </c>
      <c r="G953" s="12">
        <f>G952+F956</f>
        <v>-137.94472999999999</v>
      </c>
      <c r="H953" s="12">
        <f>H952+(G956)</f>
        <v>-142.25473</v>
      </c>
      <c r="I953" s="12">
        <f>I952+(H956)</f>
        <v>-149.03372999999999</v>
      </c>
      <c r="J953" s="12">
        <f>J952+(I956)</f>
        <v>-165.23183999999998</v>
      </c>
    </row>
    <row r="954" spans="1:12" s="50" customFormat="1" ht="15" x14ac:dyDescent="0.25">
      <c r="A954" s="11" t="s">
        <v>19</v>
      </c>
      <c r="B954" s="11"/>
      <c r="C954" s="11">
        <v>1</v>
      </c>
      <c r="D954" s="11">
        <v>2</v>
      </c>
      <c r="E954" s="11">
        <v>3</v>
      </c>
      <c r="F954" s="11">
        <v>4</v>
      </c>
      <c r="G954" s="11">
        <v>5</v>
      </c>
      <c r="H954" s="11">
        <v>6</v>
      </c>
      <c r="I954" s="11">
        <v>7</v>
      </c>
      <c r="J954" s="11">
        <v>8</v>
      </c>
    </row>
    <row r="955" spans="1:12" s="50" customFormat="1" ht="15.75" x14ac:dyDescent="0.25">
      <c r="A955" s="11" t="s">
        <v>20</v>
      </c>
      <c r="B955" s="356">
        <v>28.55546</v>
      </c>
      <c r="C955" s="356">
        <v>36.272950000000002</v>
      </c>
      <c r="D955" s="356">
        <v>35.889969999999998</v>
      </c>
      <c r="E955" s="356">
        <v>21.866029999999999</v>
      </c>
      <c r="F955" s="356">
        <v>15.36032</v>
      </c>
      <c r="G955" s="356">
        <v>4.3099999999999996</v>
      </c>
      <c r="H955" s="356">
        <v>6.7789999999999999</v>
      </c>
      <c r="I955" s="357">
        <v>16.19811</v>
      </c>
      <c r="J955" s="357"/>
    </row>
    <row r="956" spans="1:12" s="50" customFormat="1" ht="15" x14ac:dyDescent="0.25">
      <c r="A956" s="11" t="s">
        <v>21</v>
      </c>
      <c r="B956" s="12">
        <f>B952-B955</f>
        <v>-28.55546</v>
      </c>
      <c r="C956" s="12">
        <f t="shared" ref="C956:I956" si="44">C953-C955</f>
        <v>-64.828410000000005</v>
      </c>
      <c r="D956" s="12">
        <f t="shared" si="44"/>
        <v>-100.71838</v>
      </c>
      <c r="E956" s="12">
        <f t="shared" si="44"/>
        <v>-122.58440999999999</v>
      </c>
      <c r="F956" s="12">
        <f t="shared" si="44"/>
        <v>-137.94472999999999</v>
      </c>
      <c r="G956" s="12">
        <f t="shared" si="44"/>
        <v>-142.25473</v>
      </c>
      <c r="H956" s="12">
        <f t="shared" si="44"/>
        <v>-149.03372999999999</v>
      </c>
      <c r="I956" s="12">
        <f t="shared" si="44"/>
        <v>-165.23183999999998</v>
      </c>
      <c r="J956" s="12" t="s">
        <v>1189</v>
      </c>
    </row>
    <row r="957" spans="1:12" s="50" customFormat="1" ht="15" x14ac:dyDescent="0.25">
      <c r="A957" s="17" t="s">
        <v>22</v>
      </c>
      <c r="B957" s="17">
        <v>2017</v>
      </c>
      <c r="C957" s="17">
        <v>2018</v>
      </c>
      <c r="D957" s="17">
        <v>2019</v>
      </c>
      <c r="E957" s="17">
        <v>2020</v>
      </c>
      <c r="F957" s="17">
        <v>2021</v>
      </c>
      <c r="G957" s="17">
        <v>2022</v>
      </c>
      <c r="H957" s="17">
        <v>2023</v>
      </c>
      <c r="I957" s="17">
        <v>2024</v>
      </c>
      <c r="J957" s="17">
        <v>2025</v>
      </c>
    </row>
    <row r="958" spans="1:12" s="50" customFormat="1" ht="15" x14ac:dyDescent="0.25">
      <c r="A958" s="16">
        <v>1</v>
      </c>
      <c r="B958" s="61" t="s">
        <v>945</v>
      </c>
      <c r="C958" s="46"/>
      <c r="D958" s="46"/>
      <c r="E958" s="46"/>
      <c r="F958" s="46"/>
      <c r="G958" s="46"/>
      <c r="H958" s="46"/>
      <c r="I958" s="46"/>
      <c r="J958" s="47"/>
      <c r="L958" s="3"/>
    </row>
    <row r="959" spans="1:12" s="50" customFormat="1" ht="15" x14ac:dyDescent="0.25">
      <c r="A959" s="39">
        <v>2</v>
      </c>
      <c r="B959" s="49" t="s">
        <v>946</v>
      </c>
      <c r="C959" s="3"/>
      <c r="D959" s="3"/>
      <c r="E959" s="3"/>
      <c r="F959" s="3"/>
      <c r="G959" s="3"/>
      <c r="H959" s="3"/>
      <c r="I959" s="3"/>
      <c r="J959" s="64"/>
      <c r="L959" s="3"/>
    </row>
    <row r="960" spans="1:12" s="50" customFormat="1" ht="15" x14ac:dyDescent="0.25">
      <c r="A960" s="39">
        <v>3</v>
      </c>
      <c r="B960" s="49" t="s">
        <v>947</v>
      </c>
      <c r="C960" s="3"/>
      <c r="D960" s="3"/>
      <c r="E960" s="3"/>
      <c r="F960" s="3"/>
      <c r="G960" s="3"/>
      <c r="H960" s="3"/>
      <c r="I960" s="3"/>
      <c r="J960" s="64"/>
      <c r="L960" s="3"/>
    </row>
    <row r="961" spans="1:12" s="50" customFormat="1" ht="15" x14ac:dyDescent="0.25">
      <c r="A961" s="39">
        <v>4</v>
      </c>
      <c r="B961" s="49" t="s">
        <v>948</v>
      </c>
      <c r="C961" s="3"/>
      <c r="D961" s="3"/>
      <c r="E961" s="3"/>
      <c r="F961" s="3"/>
      <c r="G961" s="3"/>
      <c r="H961" s="3"/>
      <c r="I961" s="3"/>
      <c r="J961" s="64"/>
      <c r="L961" s="3"/>
    </row>
    <row r="962" spans="1:12" s="50" customFormat="1" ht="15" x14ac:dyDescent="0.25">
      <c r="A962" s="39">
        <v>5</v>
      </c>
      <c r="B962" s="49" t="s">
        <v>949</v>
      </c>
      <c r="C962" s="3"/>
      <c r="D962" s="3"/>
      <c r="E962" s="3"/>
      <c r="F962" s="3"/>
      <c r="G962" s="3"/>
      <c r="H962" s="3"/>
      <c r="I962" s="3"/>
      <c r="J962" s="64"/>
      <c r="L962" s="3"/>
    </row>
    <row r="963" spans="1:12" s="50" customFormat="1" ht="15" x14ac:dyDescent="0.25">
      <c r="A963" s="39">
        <v>6</v>
      </c>
      <c r="B963" s="49" t="s">
        <v>952</v>
      </c>
      <c r="C963" s="3"/>
      <c r="D963" s="3"/>
      <c r="E963" s="3"/>
      <c r="F963" s="3"/>
      <c r="G963" s="3"/>
      <c r="H963" s="3"/>
      <c r="I963" s="3"/>
      <c r="J963" s="64"/>
      <c r="L963" s="3"/>
    </row>
    <row r="964" spans="1:12" s="50" customFormat="1" ht="15" x14ac:dyDescent="0.25">
      <c r="A964" s="39">
        <v>7</v>
      </c>
      <c r="B964" s="49" t="s">
        <v>953</v>
      </c>
      <c r="C964" s="3"/>
      <c r="D964" s="3"/>
      <c r="E964" s="3"/>
      <c r="F964" s="3"/>
      <c r="G964" s="3"/>
      <c r="H964" s="3"/>
      <c r="I964" s="3"/>
      <c r="J964" s="64"/>
      <c r="L964" s="3"/>
    </row>
    <row r="965" spans="1:12" s="50" customFormat="1" ht="15" x14ac:dyDescent="0.25">
      <c r="A965" s="41">
        <v>8</v>
      </c>
      <c r="B965" s="58" t="s">
        <v>1097</v>
      </c>
      <c r="C965" s="34"/>
      <c r="D965" s="34"/>
      <c r="E965" s="34"/>
      <c r="F965" s="34"/>
      <c r="G965" s="34"/>
      <c r="H965" s="34"/>
      <c r="I965" s="34"/>
      <c r="J965" s="48"/>
      <c r="L965" s="3"/>
    </row>
    <row r="967" spans="1:12" s="50" customFormat="1" ht="15" x14ac:dyDescent="0.25">
      <c r="A967" s="9" t="s">
        <v>14</v>
      </c>
      <c r="B967" s="9" t="s">
        <v>74</v>
      </c>
      <c r="C967" s="9" t="s">
        <v>15</v>
      </c>
      <c r="D967" s="49"/>
      <c r="E967" s="49"/>
      <c r="F967" s="49"/>
      <c r="G967" s="49"/>
      <c r="H967" s="49"/>
      <c r="I967" s="49"/>
      <c r="J967" s="49"/>
      <c r="K967" s="355"/>
      <c r="L967" s="355"/>
    </row>
    <row r="968" spans="1:12" s="50" customFormat="1" ht="15" x14ac:dyDescent="0.25">
      <c r="A968" s="11" t="s">
        <v>16</v>
      </c>
      <c r="B968" s="11">
        <v>2016</v>
      </c>
      <c r="C968" s="51">
        <v>2017</v>
      </c>
      <c r="D968" s="11">
        <v>2018</v>
      </c>
      <c r="E968" s="51">
        <v>2019</v>
      </c>
      <c r="F968" s="11">
        <v>2020</v>
      </c>
      <c r="G968" s="51">
        <v>2021</v>
      </c>
      <c r="H968" s="51">
        <v>2022</v>
      </c>
      <c r="I968" s="51">
        <v>2023</v>
      </c>
      <c r="J968" s="51">
        <v>2024</v>
      </c>
      <c r="K968" s="51">
        <v>2025</v>
      </c>
    </row>
    <row r="969" spans="1:12" s="50" customFormat="1" ht="15" x14ac:dyDescent="0.25">
      <c r="A969" s="11" t="s">
        <v>17</v>
      </c>
      <c r="B969" s="12">
        <v>10</v>
      </c>
      <c r="C969" s="12">
        <v>10</v>
      </c>
      <c r="D969" s="12">
        <v>10</v>
      </c>
      <c r="E969" s="12">
        <v>10</v>
      </c>
      <c r="F969" s="12">
        <v>10</v>
      </c>
      <c r="G969" s="12">
        <v>10</v>
      </c>
      <c r="H969" s="12">
        <v>10</v>
      </c>
      <c r="I969" s="12">
        <v>10</v>
      </c>
      <c r="J969" s="12">
        <v>10</v>
      </c>
      <c r="K969" s="12">
        <v>10</v>
      </c>
    </row>
    <row r="970" spans="1:12" s="50" customFormat="1" ht="15" x14ac:dyDescent="0.25">
      <c r="A970" s="11" t="s">
        <v>18</v>
      </c>
      <c r="B970" s="12"/>
      <c r="C970" s="12">
        <f>C969+B973</f>
        <v>-32.61403</v>
      </c>
      <c r="D970" s="12">
        <f>D969+C973</f>
        <v>-76.433140000000009</v>
      </c>
      <c r="E970" s="12">
        <f>E969+D973</f>
        <v>-128.10641000000001</v>
      </c>
      <c r="F970" s="12">
        <f>F969+E973</f>
        <v>-187.27213</v>
      </c>
      <c r="G970" s="12">
        <f>G969+F973</f>
        <v>-226.22134</v>
      </c>
      <c r="H970" s="12">
        <f>H969+(1.25*G973)</f>
        <v>-295.64792499999999</v>
      </c>
      <c r="I970" s="12">
        <f>I969+(H973)</f>
        <v>-304.77292499999999</v>
      </c>
      <c r="J970" s="12">
        <f>J969+(I973)</f>
        <v>-363.07112499999999</v>
      </c>
      <c r="K970" s="12">
        <f>K969+(J973)</f>
        <v>10</v>
      </c>
    </row>
    <row r="971" spans="1:12" s="50" customFormat="1" ht="15" x14ac:dyDescent="0.25">
      <c r="A971" s="11" t="s">
        <v>19</v>
      </c>
      <c r="B971" s="11"/>
      <c r="C971" s="11">
        <v>1</v>
      </c>
      <c r="D971" s="11">
        <v>2</v>
      </c>
      <c r="E971" s="11">
        <v>3</v>
      </c>
      <c r="F971" s="11">
        <v>4</v>
      </c>
      <c r="G971" s="11">
        <v>5</v>
      </c>
      <c r="H971" s="11">
        <v>6</v>
      </c>
      <c r="I971" s="11">
        <v>7</v>
      </c>
      <c r="J971" s="11">
        <v>8</v>
      </c>
      <c r="K971" s="11">
        <v>9</v>
      </c>
    </row>
    <row r="972" spans="1:12" s="50" customFormat="1" ht="15.75" x14ac:dyDescent="0.25">
      <c r="A972" s="11" t="s">
        <v>20</v>
      </c>
      <c r="B972" s="356">
        <v>52.61403</v>
      </c>
      <c r="C972" s="356">
        <v>53.819110000000002</v>
      </c>
      <c r="D972" s="356">
        <v>61.673270000000002</v>
      </c>
      <c r="E972" s="356">
        <v>69.165719999999993</v>
      </c>
      <c r="F972" s="356">
        <v>48.949210000000001</v>
      </c>
      <c r="G972" s="356">
        <v>18.297000000000001</v>
      </c>
      <c r="H972" s="356">
        <v>19.125</v>
      </c>
      <c r="I972" s="357">
        <v>68.298199999999994</v>
      </c>
      <c r="J972" s="357"/>
      <c r="K972" s="357"/>
    </row>
    <row r="973" spans="1:12" s="50" customFormat="1" ht="15" x14ac:dyDescent="0.25">
      <c r="A973" s="11" t="s">
        <v>21</v>
      </c>
      <c r="B973" s="12">
        <f>B969-B972</f>
        <v>-42.61403</v>
      </c>
      <c r="C973" s="12">
        <f>C970-C972</f>
        <v>-86.433140000000009</v>
      </c>
      <c r="D973" s="12">
        <f t="shared" ref="D973:I973" si="45">D970-D972</f>
        <v>-138.10641000000001</v>
      </c>
      <c r="E973" s="12">
        <f t="shared" si="45"/>
        <v>-197.27213</v>
      </c>
      <c r="F973" s="12">
        <f t="shared" si="45"/>
        <v>-236.22134</v>
      </c>
      <c r="G973" s="12">
        <f t="shared" si="45"/>
        <v>-244.51833999999999</v>
      </c>
      <c r="H973" s="12">
        <f t="shared" si="45"/>
        <v>-314.77292499999999</v>
      </c>
      <c r="I973" s="12">
        <f t="shared" si="45"/>
        <v>-373.07112499999999</v>
      </c>
      <c r="J973" s="12"/>
      <c r="K973" s="12"/>
    </row>
    <row r="974" spans="1:12" s="50" customFormat="1" ht="15" x14ac:dyDescent="0.25">
      <c r="A974" s="17" t="s">
        <v>22</v>
      </c>
      <c r="B974" s="17">
        <v>2017</v>
      </c>
      <c r="C974" s="17">
        <v>2018</v>
      </c>
      <c r="D974" s="17">
        <v>2019</v>
      </c>
      <c r="E974" s="17">
        <v>2020</v>
      </c>
      <c r="F974" s="17">
        <v>2021</v>
      </c>
      <c r="G974" s="17">
        <v>2022</v>
      </c>
      <c r="H974" s="17">
        <v>2023</v>
      </c>
      <c r="I974" s="17">
        <v>2024</v>
      </c>
      <c r="J974" s="17">
        <v>2025</v>
      </c>
      <c r="K974" s="17">
        <v>2026</v>
      </c>
    </row>
    <row r="975" spans="1:12" s="50" customFormat="1" ht="15" x14ac:dyDescent="0.25">
      <c r="A975" s="16">
        <v>1</v>
      </c>
      <c r="B975" s="61" t="s">
        <v>945</v>
      </c>
      <c r="C975" s="46"/>
      <c r="D975" s="46"/>
      <c r="E975" s="46"/>
      <c r="F975" s="46"/>
      <c r="G975" s="46"/>
      <c r="H975" s="46"/>
      <c r="I975" s="46"/>
      <c r="J975" s="47"/>
      <c r="L975" s="3"/>
    </row>
    <row r="976" spans="1:12" s="50" customFormat="1" ht="15" x14ac:dyDescent="0.25">
      <c r="A976" s="39">
        <v>2</v>
      </c>
      <c r="B976" s="49" t="s">
        <v>946</v>
      </c>
      <c r="C976" s="3"/>
      <c r="D976" s="3"/>
      <c r="E976" s="3"/>
      <c r="F976" s="3"/>
      <c r="G976" s="3"/>
      <c r="H976" s="3"/>
      <c r="I976" s="3"/>
      <c r="J976" s="64"/>
      <c r="L976" s="3"/>
    </row>
    <row r="977" spans="1:12" s="50" customFormat="1" ht="15" x14ac:dyDescent="0.25">
      <c r="A977" s="39">
        <v>3</v>
      </c>
      <c r="B977" s="49" t="s">
        <v>947</v>
      </c>
      <c r="C977" s="3"/>
      <c r="D977" s="3"/>
      <c r="E977" s="3"/>
      <c r="F977" s="3"/>
      <c r="G977" s="3"/>
      <c r="H977" s="3"/>
      <c r="I977" s="3"/>
      <c r="J977" s="64"/>
      <c r="L977" s="3"/>
    </row>
    <row r="978" spans="1:12" s="50" customFormat="1" ht="15" x14ac:dyDescent="0.25">
      <c r="A978" s="39">
        <v>4</v>
      </c>
      <c r="B978" s="49" t="s">
        <v>948</v>
      </c>
      <c r="C978" s="3"/>
      <c r="D978" s="3"/>
      <c r="E978" s="3"/>
      <c r="F978" s="3"/>
      <c r="G978" s="3"/>
      <c r="H978" s="3"/>
      <c r="I978" s="3"/>
      <c r="J978" s="64"/>
      <c r="L978" s="3"/>
    </row>
    <row r="979" spans="1:12" s="50" customFormat="1" ht="15" x14ac:dyDescent="0.25">
      <c r="A979" s="39">
        <v>5</v>
      </c>
      <c r="B979" s="49" t="s">
        <v>949</v>
      </c>
      <c r="C979" s="3"/>
      <c r="D979" s="3"/>
      <c r="E979" s="3"/>
      <c r="F979" s="3"/>
      <c r="G979" s="3"/>
      <c r="H979" s="3"/>
      <c r="I979" s="3"/>
      <c r="J979" s="64"/>
      <c r="L979" s="3"/>
    </row>
    <row r="980" spans="1:12" s="50" customFormat="1" ht="15" x14ac:dyDescent="0.25">
      <c r="A980" s="39">
        <v>6</v>
      </c>
      <c r="B980" s="49" t="s">
        <v>950</v>
      </c>
      <c r="C980" s="3"/>
      <c r="D980" s="3"/>
      <c r="E980" s="3"/>
      <c r="F980" s="3"/>
      <c r="G980" s="3"/>
      <c r="H980" s="3"/>
      <c r="I980" s="3"/>
      <c r="J980" s="64"/>
      <c r="L980" s="3"/>
    </row>
    <row r="981" spans="1:12" s="50" customFormat="1" ht="15" x14ac:dyDescent="0.25">
      <c r="A981" s="39">
        <v>7</v>
      </c>
      <c r="B981" s="49" t="s">
        <v>953</v>
      </c>
      <c r="C981" s="3"/>
      <c r="D981" s="3"/>
      <c r="E981" s="3"/>
      <c r="F981" s="3"/>
      <c r="G981" s="3"/>
      <c r="H981" s="3"/>
      <c r="I981" s="3"/>
      <c r="J981" s="64"/>
      <c r="L981" s="3"/>
    </row>
    <row r="982" spans="1:12" s="50" customFormat="1" ht="15" x14ac:dyDescent="0.25">
      <c r="A982" s="3">
        <v>8</v>
      </c>
      <c r="B982" s="49" t="s">
        <v>1097</v>
      </c>
      <c r="C982" s="3"/>
      <c r="D982" s="3"/>
      <c r="E982" s="3"/>
      <c r="F982" s="3"/>
      <c r="G982" s="3"/>
      <c r="H982" s="3"/>
      <c r="I982" s="3"/>
      <c r="J982" s="3"/>
      <c r="L982" s="3"/>
    </row>
    <row r="983" spans="1:12" s="59" customFormat="1" ht="15" x14ac:dyDescent="0.25">
      <c r="A983" s="34">
        <v>9</v>
      </c>
      <c r="B983" s="58" t="s">
        <v>1140</v>
      </c>
      <c r="C983" s="34"/>
      <c r="D983" s="34"/>
      <c r="E983" s="34"/>
      <c r="F983" s="34"/>
      <c r="G983" s="34"/>
      <c r="H983" s="34"/>
      <c r="I983" s="34"/>
      <c r="J983" s="34"/>
      <c r="L983" s="34"/>
    </row>
    <row r="985" spans="1:12" s="50" customFormat="1" ht="15" x14ac:dyDescent="0.25">
      <c r="A985" s="9" t="s">
        <v>14</v>
      </c>
      <c r="B985" s="9" t="s">
        <v>79</v>
      </c>
      <c r="C985" s="9" t="s">
        <v>15</v>
      </c>
      <c r="D985" s="49"/>
      <c r="E985" s="49"/>
      <c r="F985" s="49"/>
      <c r="G985" s="49"/>
      <c r="H985" s="49"/>
      <c r="I985" s="49"/>
      <c r="J985" s="49"/>
      <c r="K985" s="355"/>
      <c r="L985" s="355"/>
    </row>
    <row r="986" spans="1:12" s="50" customFormat="1" ht="15" x14ac:dyDescent="0.25">
      <c r="A986" s="11" t="s">
        <v>16</v>
      </c>
      <c r="B986" s="11">
        <v>2016</v>
      </c>
      <c r="C986" s="51">
        <v>2017</v>
      </c>
      <c r="D986" s="11">
        <v>2018</v>
      </c>
      <c r="E986" s="51">
        <v>2019</v>
      </c>
      <c r="F986" s="11">
        <v>2020</v>
      </c>
      <c r="G986" s="51">
        <v>2021</v>
      </c>
      <c r="H986" s="51">
        <v>2022</v>
      </c>
      <c r="I986" s="51">
        <v>2023</v>
      </c>
      <c r="J986" s="51">
        <v>2024</v>
      </c>
      <c r="K986" s="51">
        <v>2025</v>
      </c>
    </row>
    <row r="987" spans="1:12" s="50" customFormat="1" ht="15" x14ac:dyDescent="0.25">
      <c r="A987" s="11" t="s">
        <v>17</v>
      </c>
      <c r="B987" s="12">
        <v>2</v>
      </c>
      <c r="C987" s="12">
        <v>2</v>
      </c>
      <c r="D987" s="12">
        <v>2</v>
      </c>
      <c r="E987" s="12">
        <v>2</v>
      </c>
      <c r="F987" s="12">
        <v>2</v>
      </c>
      <c r="G987" s="12">
        <v>2</v>
      </c>
      <c r="H987" s="12">
        <v>2</v>
      </c>
      <c r="I987" s="12">
        <v>2</v>
      </c>
      <c r="J987" s="12">
        <v>2</v>
      </c>
      <c r="K987" s="12">
        <v>2</v>
      </c>
    </row>
    <row r="988" spans="1:12" s="50" customFormat="1" ht="15" x14ac:dyDescent="0.25">
      <c r="A988" s="11" t="s">
        <v>18</v>
      </c>
      <c r="B988" s="12"/>
      <c r="C988" s="12">
        <f>C987+B991</f>
        <v>-11.25929</v>
      </c>
      <c r="D988" s="12">
        <f>D987+C991</f>
        <v>-18.250970000000002</v>
      </c>
      <c r="E988" s="12">
        <f>E987+D991</f>
        <v>-26.929000000000002</v>
      </c>
      <c r="F988" s="12">
        <f>F987+E991</f>
        <v>-43.615989999999996</v>
      </c>
      <c r="G988" s="12">
        <f>G987+F991</f>
        <v>-55.136309999999995</v>
      </c>
      <c r="H988" s="12">
        <f>H987+(1.25*G991)</f>
        <v>-68.606637499999991</v>
      </c>
      <c r="I988" s="12">
        <f>I987+(H991)</f>
        <v>-71.317637499999989</v>
      </c>
      <c r="J988" s="12">
        <f>J987+(I991)</f>
        <v>-81.973067499999985</v>
      </c>
      <c r="K988" s="12">
        <f>K987+(J991)</f>
        <v>2</v>
      </c>
    </row>
    <row r="989" spans="1:12" s="50" customFormat="1" ht="15" x14ac:dyDescent="0.25">
      <c r="A989" s="11" t="s">
        <v>19</v>
      </c>
      <c r="B989" s="11"/>
      <c r="C989" s="11">
        <v>1</v>
      </c>
      <c r="D989" s="11">
        <v>2</v>
      </c>
      <c r="E989" s="11">
        <v>3</v>
      </c>
      <c r="F989" s="11">
        <v>4</v>
      </c>
      <c r="G989" s="11">
        <v>5</v>
      </c>
      <c r="H989" s="11">
        <v>6</v>
      </c>
      <c r="I989" s="11">
        <v>7</v>
      </c>
      <c r="J989" s="11">
        <v>8</v>
      </c>
      <c r="K989" s="11">
        <v>9</v>
      </c>
    </row>
    <row r="990" spans="1:12" s="50" customFormat="1" ht="15.75" x14ac:dyDescent="0.25">
      <c r="A990" s="11" t="s">
        <v>20</v>
      </c>
      <c r="B990" s="356">
        <v>15.25929</v>
      </c>
      <c r="C990" s="356">
        <v>8.9916800000000006</v>
      </c>
      <c r="D990" s="356">
        <v>10.67803</v>
      </c>
      <c r="E990" s="356">
        <v>18.686989999999998</v>
      </c>
      <c r="F990" s="356">
        <v>13.52032</v>
      </c>
      <c r="G990" s="356">
        <v>1.349</v>
      </c>
      <c r="H990" s="356">
        <v>4.7110000000000003</v>
      </c>
      <c r="I990" s="357">
        <v>12.655430000000001</v>
      </c>
      <c r="J990" s="357"/>
      <c r="K990" s="357"/>
    </row>
    <row r="991" spans="1:12" s="50" customFormat="1" ht="15" x14ac:dyDescent="0.25">
      <c r="A991" s="11" t="s">
        <v>21</v>
      </c>
      <c r="B991" s="12">
        <f>B987-B990</f>
        <v>-13.25929</v>
      </c>
      <c r="C991" s="12">
        <f>C988-C990</f>
        <v>-20.250970000000002</v>
      </c>
      <c r="D991" s="12">
        <f t="shared" ref="D991:I991" si="46">D988-D990</f>
        <v>-28.929000000000002</v>
      </c>
      <c r="E991" s="12">
        <f t="shared" si="46"/>
        <v>-45.615989999999996</v>
      </c>
      <c r="F991" s="12">
        <f t="shared" si="46"/>
        <v>-57.136309999999995</v>
      </c>
      <c r="G991" s="12">
        <f t="shared" si="46"/>
        <v>-56.485309999999991</v>
      </c>
      <c r="H991" s="12">
        <f t="shared" si="46"/>
        <v>-73.317637499999989</v>
      </c>
      <c r="I991" s="12">
        <f t="shared" si="46"/>
        <v>-83.973067499999985</v>
      </c>
      <c r="J991" s="12"/>
      <c r="K991" s="12"/>
    </row>
    <row r="992" spans="1:12" s="50" customFormat="1" ht="15" x14ac:dyDescent="0.25">
      <c r="A992" s="17" t="s">
        <v>22</v>
      </c>
      <c r="B992" s="17">
        <v>2017</v>
      </c>
      <c r="C992" s="17">
        <v>2018</v>
      </c>
      <c r="D992" s="17">
        <v>2019</v>
      </c>
      <c r="E992" s="17">
        <v>2020</v>
      </c>
      <c r="F992" s="17">
        <v>2021</v>
      </c>
      <c r="G992" s="17">
        <v>2022</v>
      </c>
      <c r="H992" s="17">
        <v>2023</v>
      </c>
      <c r="I992" s="17">
        <v>2024</v>
      </c>
      <c r="J992" s="17">
        <v>2025</v>
      </c>
      <c r="K992" s="17">
        <v>2026</v>
      </c>
    </row>
    <row r="993" spans="1:18" s="50" customFormat="1" ht="15" x14ac:dyDescent="0.25">
      <c r="A993" s="16">
        <v>1</v>
      </c>
      <c r="B993" s="61" t="s">
        <v>945</v>
      </c>
      <c r="C993" s="46"/>
      <c r="D993" s="46"/>
      <c r="E993" s="46"/>
      <c r="F993" s="46"/>
      <c r="G993" s="46"/>
      <c r="H993" s="46"/>
      <c r="I993" s="46"/>
      <c r="J993" s="47"/>
      <c r="L993" s="3"/>
    </row>
    <row r="994" spans="1:18" s="50" customFormat="1" ht="15" x14ac:dyDescent="0.25">
      <c r="A994" s="39">
        <v>2</v>
      </c>
      <c r="B994" s="49" t="s">
        <v>946</v>
      </c>
      <c r="C994" s="3"/>
      <c r="D994" s="3"/>
      <c r="E994" s="3"/>
      <c r="F994" s="3"/>
      <c r="G994" s="3"/>
      <c r="H994" s="3"/>
      <c r="I994" s="3"/>
      <c r="J994" s="64"/>
      <c r="L994" s="3"/>
    </row>
    <row r="995" spans="1:18" s="50" customFormat="1" ht="15" x14ac:dyDescent="0.25">
      <c r="A995" s="39">
        <v>3</v>
      </c>
      <c r="B995" s="49" t="s">
        <v>947</v>
      </c>
      <c r="C995" s="3"/>
      <c r="D995" s="3"/>
      <c r="E995" s="3"/>
      <c r="F995" s="3"/>
      <c r="G995" s="3"/>
      <c r="H995" s="3"/>
      <c r="I995" s="3"/>
      <c r="J995" s="64"/>
      <c r="L995" s="3"/>
    </row>
    <row r="996" spans="1:18" s="50" customFormat="1" ht="15" x14ac:dyDescent="0.25">
      <c r="A996" s="39">
        <v>4</v>
      </c>
      <c r="B996" s="49" t="s">
        <v>948</v>
      </c>
      <c r="C996" s="3"/>
      <c r="D996" s="3"/>
      <c r="E996" s="3"/>
      <c r="F996" s="3"/>
      <c r="G996" s="3"/>
      <c r="H996" s="3"/>
      <c r="I996" s="3"/>
      <c r="J996" s="64"/>
      <c r="L996" s="3"/>
    </row>
    <row r="997" spans="1:18" s="50" customFormat="1" ht="15" x14ac:dyDescent="0.25">
      <c r="A997" s="39">
        <v>5</v>
      </c>
      <c r="B997" s="49" t="s">
        <v>949</v>
      </c>
      <c r="C997" s="3"/>
      <c r="D997" s="3"/>
      <c r="E997" s="3"/>
      <c r="F997" s="3"/>
      <c r="G997" s="3"/>
      <c r="H997" s="3"/>
      <c r="I997" s="3"/>
      <c r="J997" s="64"/>
      <c r="L997" s="3"/>
    </row>
    <row r="998" spans="1:18" s="50" customFormat="1" ht="15" x14ac:dyDescent="0.25">
      <c r="A998" s="39">
        <v>6</v>
      </c>
      <c r="B998" s="49" t="s">
        <v>950</v>
      </c>
      <c r="C998" s="3"/>
      <c r="D998" s="3"/>
      <c r="E998" s="3"/>
      <c r="F998" s="3"/>
      <c r="G998" s="3"/>
      <c r="H998" s="3"/>
      <c r="I998" s="3"/>
      <c r="J998" s="64"/>
      <c r="L998" s="3"/>
    </row>
    <row r="999" spans="1:18" s="50" customFormat="1" ht="15" x14ac:dyDescent="0.25">
      <c r="A999" s="39">
        <v>7</v>
      </c>
      <c r="B999" s="49" t="s">
        <v>951</v>
      </c>
      <c r="C999" s="3"/>
      <c r="D999" s="3"/>
      <c r="E999" s="3"/>
      <c r="F999" s="3"/>
      <c r="G999" s="3"/>
      <c r="H999" s="3"/>
      <c r="I999" s="3"/>
      <c r="J999" s="64"/>
      <c r="L999" s="3"/>
    </row>
    <row r="1000" spans="1:18" s="50" customFormat="1" ht="15" x14ac:dyDescent="0.25">
      <c r="A1000" s="3">
        <v>8</v>
      </c>
      <c r="B1000" s="49" t="s">
        <v>1097</v>
      </c>
      <c r="C1000" s="3"/>
      <c r="D1000" s="3"/>
      <c r="E1000" s="3"/>
      <c r="F1000" s="3"/>
      <c r="G1000" s="3"/>
      <c r="H1000" s="3"/>
      <c r="I1000" s="3"/>
      <c r="J1000" s="3"/>
      <c r="L1000" s="3"/>
    </row>
    <row r="1001" spans="1:18" s="59" customFormat="1" ht="15" x14ac:dyDescent="0.25">
      <c r="A1001" s="34">
        <v>9</v>
      </c>
      <c r="B1001" s="58" t="s">
        <v>1097</v>
      </c>
      <c r="C1001" s="34"/>
      <c r="D1001" s="34"/>
      <c r="E1001" s="34"/>
      <c r="F1001" s="34"/>
      <c r="G1001" s="34"/>
      <c r="H1001" s="34"/>
      <c r="I1001" s="34"/>
      <c r="J1001" s="34"/>
      <c r="L1001" s="34"/>
    </row>
    <row r="1003" spans="1:18" x14ac:dyDescent="0.2">
      <c r="A1003" s="318"/>
      <c r="C1003" s="354"/>
    </row>
    <row r="1004" spans="1:18" x14ac:dyDescent="0.2">
      <c r="A1004" s="358" t="s">
        <v>12</v>
      </c>
      <c r="B1004" s="359" t="s">
        <v>173</v>
      </c>
      <c r="C1004" s="360" t="s">
        <v>1046</v>
      </c>
      <c r="D1004" s="345"/>
      <c r="E1004" s="345"/>
      <c r="F1004" s="345"/>
      <c r="G1004" s="345"/>
      <c r="H1004" s="345"/>
      <c r="I1004" s="345"/>
      <c r="J1004" s="345"/>
      <c r="K1004" s="345"/>
      <c r="L1004" s="345"/>
    </row>
    <row r="1005" spans="1:18" x14ac:dyDescent="0.2">
      <c r="A1005" s="361" t="s">
        <v>14</v>
      </c>
      <c r="B1005" s="362" t="s">
        <v>624</v>
      </c>
      <c r="C1005" s="359" t="s">
        <v>15</v>
      </c>
      <c r="D1005" s="345"/>
      <c r="E1005" s="345"/>
      <c r="F1005" s="345"/>
      <c r="G1005" s="345"/>
      <c r="H1005" s="345"/>
      <c r="I1005" s="345"/>
      <c r="J1005" s="345"/>
      <c r="K1005" s="345"/>
      <c r="L1005" s="345"/>
    </row>
    <row r="1006" spans="1:18" s="50" customFormat="1" ht="15" x14ac:dyDescent="0.25">
      <c r="A1006" s="363" t="s">
        <v>16</v>
      </c>
      <c r="B1006" s="364">
        <v>2009</v>
      </c>
      <c r="C1006" s="365">
        <v>2010</v>
      </c>
      <c r="D1006" s="365">
        <v>2011</v>
      </c>
      <c r="E1006" s="365">
        <v>2012</v>
      </c>
      <c r="F1006" s="365">
        <v>2013</v>
      </c>
      <c r="G1006" s="365">
        <v>2014</v>
      </c>
      <c r="H1006" s="365">
        <v>2015</v>
      </c>
      <c r="I1006" s="365">
        <v>2016</v>
      </c>
      <c r="J1006" s="365">
        <v>2017</v>
      </c>
      <c r="K1006" s="365">
        <v>2018</v>
      </c>
      <c r="L1006" s="365">
        <v>2019</v>
      </c>
      <c r="M1006" s="365">
        <v>2020</v>
      </c>
      <c r="N1006" s="365">
        <v>2021</v>
      </c>
      <c r="O1006" s="365">
        <v>2022</v>
      </c>
      <c r="P1006" s="365">
        <v>2023</v>
      </c>
      <c r="Q1006" s="365">
        <v>2024</v>
      </c>
      <c r="R1006" s="365">
        <v>2025</v>
      </c>
    </row>
    <row r="1007" spans="1:18" s="50" customFormat="1" ht="15" x14ac:dyDescent="0.25">
      <c r="A1007" s="366" t="s">
        <v>17</v>
      </c>
      <c r="B1007" s="367"/>
      <c r="C1007" s="367"/>
      <c r="D1007" s="367"/>
      <c r="E1007" s="367"/>
      <c r="F1007" s="367"/>
      <c r="G1007" s="367"/>
      <c r="H1007" s="367"/>
      <c r="I1007" s="367"/>
      <c r="J1007" s="367"/>
      <c r="K1007" s="367"/>
      <c r="L1007" s="367"/>
      <c r="M1007" s="367"/>
      <c r="N1007" s="367"/>
      <c r="O1007" s="367"/>
      <c r="P1007" s="367"/>
      <c r="Q1007" s="368"/>
      <c r="R1007" s="368"/>
    </row>
    <row r="1008" spans="1:18" s="50" customFormat="1" ht="15" x14ac:dyDescent="0.25">
      <c r="A1008" s="366" t="s">
        <v>18</v>
      </c>
      <c r="B1008" s="367">
        <v>525.11158760000001</v>
      </c>
      <c r="C1008" s="367">
        <v>516.79334119999999</v>
      </c>
      <c r="D1008" s="367">
        <v>478.68400000000003</v>
      </c>
      <c r="E1008" s="367">
        <v>638.87599999999998</v>
      </c>
      <c r="F1008" s="367">
        <v>573.67999999999995</v>
      </c>
      <c r="G1008" s="367">
        <v>503.80800000000005</v>
      </c>
      <c r="H1008" s="367">
        <v>407.19200000000001</v>
      </c>
      <c r="I1008" s="367">
        <v>449.52</v>
      </c>
      <c r="J1008" s="367">
        <v>394.88799999999998</v>
      </c>
      <c r="K1008" s="367">
        <v>393.98364000000004</v>
      </c>
      <c r="L1008" s="367">
        <v>397.32737956000005</v>
      </c>
      <c r="M1008" s="367">
        <v>371.77199999999999</v>
      </c>
      <c r="N1008" s="367">
        <v>505.18</v>
      </c>
      <c r="O1008" s="367">
        <v>556.85249999999996</v>
      </c>
      <c r="P1008" s="367">
        <v>601.17999999999995</v>
      </c>
      <c r="Q1008" s="369">
        <v>483.43</v>
      </c>
      <c r="R1008" s="368" t="s">
        <v>1145</v>
      </c>
    </row>
    <row r="1009" spans="1:18" s="50" customFormat="1" ht="15" x14ac:dyDescent="0.25">
      <c r="A1009" s="366" t="s">
        <v>19</v>
      </c>
      <c r="B1009" s="367"/>
      <c r="C1009" s="367"/>
      <c r="D1009" s="367"/>
      <c r="E1009" s="367"/>
      <c r="F1009" s="367"/>
      <c r="G1009" s="367"/>
      <c r="H1009" s="367"/>
      <c r="I1009" s="367"/>
      <c r="J1009" s="367"/>
      <c r="K1009" s="367"/>
      <c r="L1009" s="367"/>
      <c r="M1009" s="367"/>
      <c r="N1009" s="367"/>
      <c r="O1009" s="367"/>
      <c r="P1009" s="367"/>
      <c r="Q1009" s="369"/>
      <c r="R1009" s="368"/>
    </row>
    <row r="1010" spans="1:18" s="50" customFormat="1" ht="15" x14ac:dyDescent="0.25">
      <c r="A1010" s="366" t="s">
        <v>20</v>
      </c>
      <c r="B1010" s="367">
        <v>419.55900000000003</v>
      </c>
      <c r="C1010" s="367">
        <v>483.41500000000002</v>
      </c>
      <c r="D1010" s="367">
        <v>285.3</v>
      </c>
      <c r="E1010" s="367">
        <v>1822.1</v>
      </c>
      <c r="F1010" s="367">
        <v>266.39999999999998</v>
      </c>
      <c r="G1010" s="367">
        <v>305.2</v>
      </c>
      <c r="H1010" s="367">
        <v>329.8</v>
      </c>
      <c r="I1010" s="367">
        <v>254.9</v>
      </c>
      <c r="J1010" s="367">
        <v>335</v>
      </c>
      <c r="K1010" s="367">
        <v>210.6</v>
      </c>
      <c r="L1010" s="367">
        <v>319.27300000000002</v>
      </c>
      <c r="M1010" s="367">
        <v>282.8</v>
      </c>
      <c r="N1010" s="367">
        <v>223.4</v>
      </c>
      <c r="O1010" s="367">
        <v>241.6</v>
      </c>
      <c r="P1010" s="367">
        <v>219.1</v>
      </c>
      <c r="Q1010" s="369">
        <v>180.63</v>
      </c>
      <c r="R1010" s="368" t="s">
        <v>1145</v>
      </c>
    </row>
    <row r="1011" spans="1:18" s="50" customFormat="1" ht="15" x14ac:dyDescent="0.25">
      <c r="A1011" s="370" t="s">
        <v>21</v>
      </c>
      <c r="B1011" s="371">
        <v>105.55258759999998</v>
      </c>
      <c r="C1011" s="371">
        <v>33.378341199999966</v>
      </c>
      <c r="D1011" s="371">
        <v>193.38400000000001</v>
      </c>
      <c r="E1011" s="372">
        <v>-1183.2239999999999</v>
      </c>
      <c r="F1011" s="371">
        <v>307.28000000000009</v>
      </c>
      <c r="G1011" s="371">
        <v>198.60800000000006</v>
      </c>
      <c r="H1011" s="371">
        <v>77.391999999999996</v>
      </c>
      <c r="I1011" s="371">
        <v>194.61999999999998</v>
      </c>
      <c r="J1011" s="371">
        <v>59.888000000000034</v>
      </c>
      <c r="K1011" s="371">
        <v>183.38364000000004</v>
      </c>
      <c r="L1011" s="371">
        <v>78.054379560000029</v>
      </c>
      <c r="M1011" s="371">
        <v>88.971999999999994</v>
      </c>
      <c r="N1011" s="371">
        <f>N1008-N1010</f>
        <v>281.77999999999997</v>
      </c>
      <c r="O1011" s="371">
        <f>O1008-O1010</f>
        <v>315.25249999999994</v>
      </c>
      <c r="P1011" s="371">
        <v>382.07999999999993</v>
      </c>
      <c r="Q1011" s="369">
        <v>302.8</v>
      </c>
      <c r="R1011" s="368" t="s">
        <v>1145</v>
      </c>
    </row>
    <row r="1012" spans="1:18" s="50" customFormat="1" ht="15" x14ac:dyDescent="0.25">
      <c r="A1012" s="373" t="s">
        <v>22</v>
      </c>
      <c r="B1012" s="374"/>
      <c r="C1012" s="374"/>
      <c r="D1012" s="374"/>
      <c r="E1012" s="374"/>
      <c r="F1012" s="374"/>
      <c r="G1012" s="374"/>
      <c r="H1012" s="374"/>
      <c r="I1012" s="374"/>
      <c r="J1012" s="374"/>
      <c r="K1012" s="374"/>
      <c r="L1012" s="374"/>
      <c r="M1012" s="374"/>
      <c r="N1012" s="374"/>
      <c r="O1012" s="374"/>
      <c r="P1012" s="374"/>
      <c r="Q1012" s="54"/>
      <c r="R1012" s="55"/>
    </row>
    <row r="1013" spans="1:18" s="50" customFormat="1" ht="15" x14ac:dyDescent="0.25">
      <c r="A1013" s="373" t="s">
        <v>23</v>
      </c>
      <c r="B1013" s="375"/>
      <c r="C1013" s="375"/>
      <c r="D1013" s="375"/>
      <c r="E1013" s="375"/>
      <c r="F1013" s="375"/>
      <c r="G1013" s="375"/>
      <c r="H1013" s="375"/>
      <c r="I1013" s="375"/>
      <c r="J1013" s="375"/>
      <c r="K1013" s="375"/>
      <c r="L1013" s="375"/>
      <c r="M1013" s="375"/>
      <c r="N1013" s="375"/>
      <c r="O1013" s="375"/>
      <c r="P1013" s="376"/>
      <c r="Q1013" s="54"/>
      <c r="R1013" s="55"/>
    </row>
    <row r="1014" spans="1:18" s="50" customFormat="1" ht="15" x14ac:dyDescent="0.25">
      <c r="A1014" s="377" t="s">
        <v>174</v>
      </c>
      <c r="B1014" s="345"/>
      <c r="C1014" s="345"/>
      <c r="D1014" s="345"/>
      <c r="E1014" s="345"/>
      <c r="F1014" s="345"/>
      <c r="G1014" s="345"/>
      <c r="H1014" s="345"/>
      <c r="I1014" s="345"/>
      <c r="J1014" s="345"/>
      <c r="K1014" s="345"/>
      <c r="L1014" s="345"/>
      <c r="M1014" s="345"/>
      <c r="N1014" s="345"/>
      <c r="O1014" s="345"/>
      <c r="P1014" s="378"/>
      <c r="R1014" s="57"/>
    </row>
    <row r="1015" spans="1:18" s="50" customFormat="1" ht="15" x14ac:dyDescent="0.25">
      <c r="A1015" s="39" t="s">
        <v>220</v>
      </c>
      <c r="B1015" s="345"/>
      <c r="C1015" s="345"/>
      <c r="D1015" s="345"/>
      <c r="E1015" s="345"/>
      <c r="F1015" s="345"/>
      <c r="G1015" s="345"/>
      <c r="H1015" s="345"/>
      <c r="I1015" s="345"/>
      <c r="J1015" s="345"/>
      <c r="K1015" s="345"/>
      <c r="L1015" s="345"/>
      <c r="M1015" s="345"/>
      <c r="N1015" s="345"/>
      <c r="O1015" s="345"/>
      <c r="P1015" s="378"/>
      <c r="R1015" s="57"/>
    </row>
    <row r="1016" spans="1:18" s="50" customFormat="1" ht="15" x14ac:dyDescent="0.25">
      <c r="A1016" s="377" t="s">
        <v>270</v>
      </c>
      <c r="B1016" s="345"/>
      <c r="C1016" s="345"/>
      <c r="D1016" s="345"/>
      <c r="E1016" s="345"/>
      <c r="F1016" s="345"/>
      <c r="G1016" s="345"/>
      <c r="H1016" s="345"/>
      <c r="I1016" s="345"/>
      <c r="J1016" s="345"/>
      <c r="K1016" s="345"/>
      <c r="L1016" s="345"/>
      <c r="M1016" s="345"/>
      <c r="N1016" s="345"/>
      <c r="O1016" s="345"/>
      <c r="P1016" s="378"/>
      <c r="R1016" s="57"/>
    </row>
    <row r="1017" spans="1:18" s="50" customFormat="1" ht="15" x14ac:dyDescent="0.25">
      <c r="A1017" s="377" t="s">
        <v>460</v>
      </c>
      <c r="B1017" s="345"/>
      <c r="C1017" s="345"/>
      <c r="D1017" s="345"/>
      <c r="E1017" s="345"/>
      <c r="F1017" s="345"/>
      <c r="G1017" s="345"/>
      <c r="H1017" s="345"/>
      <c r="I1017" s="345"/>
      <c r="J1017" s="345"/>
      <c r="K1017" s="345"/>
      <c r="L1017" s="345"/>
      <c r="M1017" s="345"/>
      <c r="N1017" s="345"/>
      <c r="O1017" s="345"/>
      <c r="P1017" s="378"/>
      <c r="R1017" s="57"/>
    </row>
    <row r="1018" spans="1:18" s="50" customFormat="1" ht="15" x14ac:dyDescent="0.25">
      <c r="A1018" s="377" t="s">
        <v>708</v>
      </c>
      <c r="B1018" s="345"/>
      <c r="C1018" s="345"/>
      <c r="D1018" s="345"/>
      <c r="E1018" s="345"/>
      <c r="F1018" s="345"/>
      <c r="G1018" s="345"/>
      <c r="H1018" s="345"/>
      <c r="I1018" s="345"/>
      <c r="J1018" s="345"/>
      <c r="K1018" s="345"/>
      <c r="L1018" s="345"/>
      <c r="M1018" s="345"/>
      <c r="N1018" s="345"/>
      <c r="O1018" s="345"/>
      <c r="P1018" s="378"/>
      <c r="R1018" s="57"/>
    </row>
    <row r="1019" spans="1:18" s="50" customFormat="1" ht="15" x14ac:dyDescent="0.25">
      <c r="A1019" s="377" t="s">
        <v>806</v>
      </c>
      <c r="B1019" s="345"/>
      <c r="C1019" s="345"/>
      <c r="D1019" s="345"/>
      <c r="E1019" s="345"/>
      <c r="F1019" s="345"/>
      <c r="G1019" s="345"/>
      <c r="H1019" s="345"/>
      <c r="I1019" s="345"/>
      <c r="J1019" s="345"/>
      <c r="K1019" s="345"/>
      <c r="L1019" s="345"/>
      <c r="M1019" s="345"/>
      <c r="N1019" s="345"/>
      <c r="O1019" s="345"/>
      <c r="P1019" s="378"/>
      <c r="R1019" s="57"/>
    </row>
    <row r="1020" spans="1:18" s="50" customFormat="1" ht="15" x14ac:dyDescent="0.25">
      <c r="A1020" s="377" t="s">
        <v>1039</v>
      </c>
      <c r="B1020" s="345"/>
      <c r="C1020" s="345"/>
      <c r="D1020" s="345"/>
      <c r="E1020" s="345"/>
      <c r="F1020" s="345"/>
      <c r="G1020" s="345"/>
      <c r="H1020" s="345"/>
      <c r="I1020" s="345"/>
      <c r="J1020" s="345"/>
      <c r="K1020" s="345"/>
      <c r="L1020" s="345"/>
      <c r="M1020" s="345"/>
      <c r="N1020" s="345"/>
      <c r="O1020" s="345"/>
      <c r="P1020" s="378"/>
      <c r="R1020" s="57"/>
    </row>
    <row r="1021" spans="1:18" s="50" customFormat="1" ht="15" x14ac:dyDescent="0.25">
      <c r="A1021" s="345" t="s">
        <v>1190</v>
      </c>
      <c r="B1021" s="345"/>
      <c r="C1021" s="345"/>
      <c r="D1021" s="345"/>
      <c r="E1021" s="345"/>
      <c r="F1021" s="345"/>
      <c r="G1021" s="345"/>
      <c r="H1021" s="345"/>
      <c r="I1021" s="345"/>
      <c r="J1021" s="345"/>
      <c r="K1021" s="345"/>
      <c r="L1021" s="345"/>
      <c r="M1021" s="345"/>
      <c r="N1021" s="345"/>
      <c r="O1021" s="345"/>
      <c r="P1021" s="378"/>
      <c r="R1021" s="57"/>
    </row>
    <row r="1022" spans="1:18" s="50" customFormat="1" ht="15" x14ac:dyDescent="0.25">
      <c r="A1022" s="377" t="s">
        <v>1191</v>
      </c>
      <c r="B1022" s="345"/>
      <c r="C1022" s="345"/>
      <c r="D1022" s="345"/>
      <c r="E1022" s="345"/>
      <c r="F1022" s="345"/>
      <c r="G1022" s="345"/>
      <c r="H1022" s="345"/>
      <c r="I1022" s="345"/>
      <c r="J1022" s="345"/>
      <c r="K1022" s="345"/>
      <c r="L1022" s="345"/>
      <c r="M1022" s="345"/>
      <c r="N1022" s="345"/>
      <c r="O1022" s="345"/>
      <c r="P1022" s="378"/>
      <c r="R1022" s="57"/>
    </row>
    <row r="1023" spans="1:18" s="50" customFormat="1" ht="15" x14ac:dyDescent="0.25">
      <c r="A1023" s="377"/>
      <c r="B1023" s="345"/>
      <c r="C1023" s="345"/>
      <c r="D1023" s="345"/>
      <c r="E1023" s="345"/>
      <c r="F1023" s="345" t="s">
        <v>175</v>
      </c>
      <c r="G1023" s="345"/>
      <c r="H1023" s="345"/>
      <c r="I1023" s="345"/>
      <c r="J1023" s="345"/>
      <c r="K1023" s="345"/>
      <c r="L1023" s="345"/>
      <c r="M1023" s="345"/>
      <c r="N1023" s="345"/>
      <c r="O1023" s="345"/>
      <c r="P1023" s="378"/>
      <c r="R1023" s="57"/>
    </row>
    <row r="1024" spans="1:18" s="50" customFormat="1" ht="15" x14ac:dyDescent="0.25">
      <c r="A1024" s="377"/>
      <c r="B1024" s="379" t="s">
        <v>176</v>
      </c>
      <c r="C1024" s="380">
        <v>1.6354139265717185E-2</v>
      </c>
      <c r="D1024" s="3"/>
      <c r="E1024" s="345"/>
      <c r="F1024" s="345" t="s">
        <v>177</v>
      </c>
      <c r="G1024" s="381">
        <v>2019</v>
      </c>
      <c r="H1024" s="381">
        <v>2020</v>
      </c>
      <c r="I1024" s="381">
        <v>2021</v>
      </c>
      <c r="J1024" s="381">
        <v>2022</v>
      </c>
      <c r="K1024" s="381">
        <v>2023</v>
      </c>
      <c r="L1024" s="381">
        <v>2024</v>
      </c>
      <c r="M1024" s="381">
        <v>2025</v>
      </c>
      <c r="N1024" s="345"/>
      <c r="O1024" s="345"/>
      <c r="P1024" s="378"/>
      <c r="R1024" s="57"/>
    </row>
    <row r="1025" spans="1:19" s="50" customFormat="1" ht="15" x14ac:dyDescent="0.25">
      <c r="A1025" s="377"/>
      <c r="B1025" s="345"/>
      <c r="C1025" s="345"/>
      <c r="D1025" s="345"/>
      <c r="E1025" s="345"/>
      <c r="F1025" s="345" t="s">
        <v>14</v>
      </c>
      <c r="G1025" s="381" t="s">
        <v>66</v>
      </c>
      <c r="H1025" s="381" t="s">
        <v>66</v>
      </c>
      <c r="I1025" s="381" t="s">
        <v>66</v>
      </c>
      <c r="J1025" s="381" t="s">
        <v>66</v>
      </c>
      <c r="K1025" s="381" t="s">
        <v>66</v>
      </c>
      <c r="L1025" s="381" t="s">
        <v>66</v>
      </c>
      <c r="M1025" s="381" t="s">
        <v>66</v>
      </c>
      <c r="N1025" s="345"/>
      <c r="O1025" s="345"/>
      <c r="P1025" s="378"/>
      <c r="R1025" s="57"/>
    </row>
    <row r="1026" spans="1:19" s="50" customFormat="1" ht="15" x14ac:dyDescent="0.25">
      <c r="A1026" s="377"/>
      <c r="B1026" s="345"/>
      <c r="C1026" s="345"/>
      <c r="D1026" s="345"/>
      <c r="E1026" s="345"/>
      <c r="F1026" s="345" t="s">
        <v>178</v>
      </c>
      <c r="G1026" s="382">
        <v>9933.1844890000011</v>
      </c>
      <c r="H1026" s="382">
        <v>9294.2999999999993</v>
      </c>
      <c r="I1026" s="382">
        <v>11226.4</v>
      </c>
      <c r="J1026" s="382">
        <v>12374.5</v>
      </c>
      <c r="K1026" s="382">
        <v>13359.6</v>
      </c>
      <c r="L1026" s="381">
        <v>10743.02</v>
      </c>
      <c r="M1026" s="381" t="s">
        <v>1145</v>
      </c>
      <c r="N1026" s="345"/>
      <c r="O1026" s="345"/>
      <c r="P1026" s="378"/>
      <c r="R1026" s="57"/>
    </row>
    <row r="1027" spans="1:19" s="50" customFormat="1" ht="15" x14ac:dyDescent="0.25">
      <c r="A1027" s="363"/>
      <c r="B1027" s="383"/>
      <c r="C1027" s="383"/>
      <c r="D1027" s="383"/>
      <c r="E1027" s="383"/>
      <c r="F1027" s="383"/>
      <c r="G1027" s="383"/>
      <c r="H1027" s="383"/>
      <c r="I1027" s="383"/>
      <c r="J1027" s="383"/>
      <c r="K1027" s="383"/>
      <c r="L1027" s="383"/>
      <c r="M1027" s="383"/>
      <c r="N1027" s="383"/>
      <c r="O1027" s="383"/>
      <c r="P1027" s="384"/>
      <c r="Q1027" s="59"/>
      <c r="R1027" s="60"/>
    </row>
    <row r="1028" spans="1:19" x14ac:dyDescent="0.2">
      <c r="A1028" s="318"/>
      <c r="C1028" s="354"/>
    </row>
    <row r="1029" spans="1:19" x14ac:dyDescent="0.2">
      <c r="A1029" s="358" t="s">
        <v>14</v>
      </c>
      <c r="B1029" s="359" t="s">
        <v>638</v>
      </c>
      <c r="C1029" s="359" t="s">
        <v>15</v>
      </c>
      <c r="D1029" s="345"/>
      <c r="E1029" s="345"/>
      <c r="F1029" s="345"/>
      <c r="G1029" s="345"/>
      <c r="H1029" s="345"/>
      <c r="I1029" s="345"/>
      <c r="J1029" s="345"/>
      <c r="K1029" s="345"/>
      <c r="L1029" s="345"/>
      <c r="M1029" s="345"/>
      <c r="N1029" s="345"/>
      <c r="O1029" s="345"/>
      <c r="P1029" s="345"/>
      <c r="Q1029" s="345"/>
      <c r="R1029" s="345"/>
    </row>
    <row r="1030" spans="1:19" s="385" customFormat="1" ht="14.25" x14ac:dyDescent="0.2">
      <c r="A1030" s="363" t="s">
        <v>16</v>
      </c>
      <c r="B1030" s="364">
        <v>2009</v>
      </c>
      <c r="C1030" s="365">
        <v>2010</v>
      </c>
      <c r="D1030" s="365">
        <v>2011</v>
      </c>
      <c r="E1030" s="365">
        <v>2012</v>
      </c>
      <c r="F1030" s="365">
        <v>2013</v>
      </c>
      <c r="G1030" s="365">
        <v>2014</v>
      </c>
      <c r="H1030" s="365">
        <v>2015</v>
      </c>
      <c r="I1030" s="365">
        <v>2016</v>
      </c>
      <c r="J1030" s="365">
        <v>2017</v>
      </c>
      <c r="K1030" s="365">
        <v>2018</v>
      </c>
      <c r="L1030" s="365">
        <v>2019</v>
      </c>
      <c r="M1030" s="365">
        <v>2020</v>
      </c>
      <c r="N1030" s="365">
        <v>2021</v>
      </c>
      <c r="O1030" s="365">
        <v>2022</v>
      </c>
      <c r="P1030" s="365">
        <v>2023</v>
      </c>
      <c r="Q1030" s="365">
        <v>2024</v>
      </c>
      <c r="R1030" s="365">
        <v>2025</v>
      </c>
      <c r="S1030" s="365">
        <v>2026</v>
      </c>
    </row>
    <row r="1031" spans="1:19" s="385" customFormat="1" ht="14.25" x14ac:dyDescent="0.2">
      <c r="A1031" s="366" t="s">
        <v>17</v>
      </c>
      <c r="B1031" s="386"/>
      <c r="C1031" s="386"/>
      <c r="D1031" s="386"/>
      <c r="E1031" s="386"/>
      <c r="F1031" s="386"/>
      <c r="G1031" s="386">
        <v>1355</v>
      </c>
      <c r="H1031" s="386">
        <v>1355</v>
      </c>
      <c r="I1031" s="386">
        <v>1355</v>
      </c>
      <c r="J1031" s="386">
        <v>1355</v>
      </c>
      <c r="K1031" s="386">
        <v>1355</v>
      </c>
      <c r="L1031" s="386">
        <v>1355</v>
      </c>
      <c r="M1031" s="386">
        <v>1355</v>
      </c>
      <c r="N1031" s="386">
        <v>1355</v>
      </c>
      <c r="O1031" s="386">
        <v>1355</v>
      </c>
      <c r="P1031" s="386">
        <v>1630</v>
      </c>
      <c r="Q1031" s="386">
        <v>1630</v>
      </c>
      <c r="R1031" s="386">
        <v>1630</v>
      </c>
      <c r="S1031" s="386">
        <v>1630</v>
      </c>
    </row>
    <row r="1032" spans="1:19" s="385" customFormat="1" ht="14.25" x14ac:dyDescent="0.2">
      <c r="A1032" s="366" t="s">
        <v>18</v>
      </c>
      <c r="B1032" s="386">
        <v>237.31834029985683</v>
      </c>
      <c r="C1032" s="386">
        <v>315.5295404143024</v>
      </c>
      <c r="D1032" s="386">
        <v>275.05599999999998</v>
      </c>
      <c r="E1032" s="386">
        <v>415.68</v>
      </c>
      <c r="F1032" s="386">
        <v>341.67599999999999</v>
      </c>
      <c r="G1032" s="386">
        <v>1725</v>
      </c>
      <c r="H1032" s="386">
        <v>1555</v>
      </c>
      <c r="I1032" s="386">
        <v>1693.75</v>
      </c>
      <c r="J1032" s="386">
        <v>1717.1</v>
      </c>
      <c r="K1032" s="386">
        <v>1893.75</v>
      </c>
      <c r="L1032" s="386">
        <v>1936.3</v>
      </c>
      <c r="M1032" s="386">
        <v>2693.75</v>
      </c>
      <c r="N1032" s="386">
        <f>N1031+0.25*L1031</f>
        <v>1693.75</v>
      </c>
      <c r="O1032" s="386">
        <v>1693.75</v>
      </c>
      <c r="P1032" s="386">
        <f>P1031+N1035+300</f>
        <v>2136.15</v>
      </c>
      <c r="Q1032" s="386">
        <f>Q1031+O1035+100+100+100</f>
        <v>1882.55</v>
      </c>
      <c r="R1032" s="386">
        <f>R1031+P1035+100+100+100+148.15</f>
        <v>2337.5000000000005</v>
      </c>
      <c r="S1032" s="386">
        <f>S1031+(0.25*Q1031)</f>
        <v>2037.5</v>
      </c>
    </row>
    <row r="1033" spans="1:19" s="385" customFormat="1" ht="14.25" x14ac:dyDescent="0.2">
      <c r="A1033" s="366" t="s">
        <v>19</v>
      </c>
      <c r="B1033" s="386"/>
      <c r="C1033" s="386"/>
      <c r="D1033" s="386"/>
      <c r="E1033" s="386"/>
      <c r="F1033" s="386"/>
      <c r="G1033" s="386"/>
      <c r="H1033" s="386"/>
      <c r="I1033" s="386"/>
      <c r="J1033" s="386"/>
      <c r="K1033" s="386"/>
      <c r="L1033" s="386"/>
      <c r="M1033" s="386"/>
      <c r="N1033" s="386"/>
      <c r="O1033" s="386"/>
      <c r="P1033" s="386"/>
      <c r="Q1033" s="386"/>
      <c r="R1033" s="386"/>
      <c r="S1033" s="386"/>
    </row>
    <row r="1034" spans="1:19" s="385" customFormat="1" ht="14.25" x14ac:dyDescent="0.2">
      <c r="A1034" s="366" t="s">
        <v>20</v>
      </c>
      <c r="B1034" s="386">
        <v>958.10900000000004</v>
      </c>
      <c r="C1034" s="386">
        <v>1217.827</v>
      </c>
      <c r="D1034" s="386">
        <v>1776.4</v>
      </c>
      <c r="E1034" s="386">
        <v>3550.6</v>
      </c>
      <c r="F1034" s="386">
        <v>1713.8</v>
      </c>
      <c r="G1034" s="386">
        <v>1198.9000000000001</v>
      </c>
      <c r="H1034" s="386">
        <v>1392.9</v>
      </c>
      <c r="I1034" s="386">
        <v>1212.8</v>
      </c>
      <c r="J1034" s="386">
        <v>2135.8000000000002</v>
      </c>
      <c r="K1034" s="386">
        <v>1654.5</v>
      </c>
      <c r="L1034" s="386">
        <v>1465.57</v>
      </c>
      <c r="M1034" s="386">
        <v>1621.8</v>
      </c>
      <c r="N1034" s="386">
        <v>1487.6</v>
      </c>
      <c r="O1034" s="386">
        <v>1741.2</v>
      </c>
      <c r="P1034" s="386">
        <v>1876.8</v>
      </c>
      <c r="Q1034" s="386">
        <v>1749.27</v>
      </c>
      <c r="R1034" s="386" t="s">
        <v>1145</v>
      </c>
      <c r="S1034" s="386"/>
    </row>
    <row r="1035" spans="1:19" s="385" customFormat="1" ht="14.25" x14ac:dyDescent="0.2">
      <c r="A1035" s="366" t="s">
        <v>21</v>
      </c>
      <c r="B1035" s="386">
        <v>-720.79065970014324</v>
      </c>
      <c r="C1035" s="386">
        <v>-902.29745958569765</v>
      </c>
      <c r="D1035" s="386">
        <v>-1501.3440000000001</v>
      </c>
      <c r="E1035" s="386">
        <v>-3134.92</v>
      </c>
      <c r="F1035" s="386">
        <v>-1372.124</v>
      </c>
      <c r="G1035" s="386">
        <v>526.09999999999991</v>
      </c>
      <c r="H1035" s="386">
        <v>162.09999999999991</v>
      </c>
      <c r="I1035" s="386">
        <v>480.95000000000005</v>
      </c>
      <c r="J1035" s="386">
        <v>-418.70000000000027</v>
      </c>
      <c r="K1035" s="386">
        <v>239.25</v>
      </c>
      <c r="L1035" s="386">
        <v>470.73</v>
      </c>
      <c r="M1035" s="386">
        <v>1071.95</v>
      </c>
      <c r="N1035" s="386">
        <f>N1032-N1034</f>
        <v>206.15000000000009</v>
      </c>
      <c r="O1035" s="386">
        <f>O1032-O1034</f>
        <v>-47.450000000000045</v>
      </c>
      <c r="P1035" s="386">
        <f>P1032-P1034</f>
        <v>259.35000000000014</v>
      </c>
      <c r="Q1035" s="386">
        <f>Q1032-Q1034</f>
        <v>133.27999999999997</v>
      </c>
      <c r="R1035" s="386" t="s">
        <v>1145</v>
      </c>
      <c r="S1035" s="386"/>
    </row>
    <row r="1036" spans="1:19" s="385" customFormat="1" ht="14.25" x14ac:dyDescent="0.2">
      <c r="A1036" s="370" t="s">
        <v>22</v>
      </c>
      <c r="B1036" s="387"/>
      <c r="C1036" s="387"/>
      <c r="D1036" s="387"/>
      <c r="E1036" s="387"/>
      <c r="F1036" s="387"/>
      <c r="G1036" s="388">
        <v>2016</v>
      </c>
      <c r="H1036" s="388">
        <v>2017</v>
      </c>
      <c r="I1036" s="388">
        <v>2018</v>
      </c>
      <c r="J1036" s="388">
        <v>2019</v>
      </c>
      <c r="K1036" s="388">
        <v>2020</v>
      </c>
      <c r="L1036" s="388">
        <v>2021</v>
      </c>
      <c r="M1036" s="388">
        <v>2022</v>
      </c>
      <c r="N1036" s="388">
        <v>2023</v>
      </c>
      <c r="O1036" s="388">
        <v>2024</v>
      </c>
      <c r="P1036" s="388">
        <v>2025</v>
      </c>
      <c r="Q1036" s="388">
        <v>2026</v>
      </c>
      <c r="R1036" s="388">
        <v>2027</v>
      </c>
      <c r="S1036" s="388">
        <v>2028</v>
      </c>
    </row>
    <row r="1037" spans="1:19" s="385" customFormat="1" ht="14.25" x14ac:dyDescent="0.2">
      <c r="A1037" s="389" t="s">
        <v>179</v>
      </c>
      <c r="B1037" s="390"/>
      <c r="C1037" s="390"/>
      <c r="D1037" s="390"/>
      <c r="E1037" s="390"/>
      <c r="F1037" s="390"/>
      <c r="G1037" s="390"/>
      <c r="H1037" s="390"/>
      <c r="I1037" s="390"/>
      <c r="J1037" s="390"/>
      <c r="K1037" s="390"/>
      <c r="L1037" s="390"/>
      <c r="M1037" s="390"/>
      <c r="N1037" s="390"/>
      <c r="O1037" s="390"/>
      <c r="P1037" s="390"/>
      <c r="Q1037" s="390"/>
      <c r="R1037" s="390"/>
      <c r="S1037" s="391"/>
    </row>
    <row r="1038" spans="1:19" s="385" customFormat="1" ht="14.25" x14ac:dyDescent="0.2">
      <c r="A1038" s="373" t="s">
        <v>180</v>
      </c>
      <c r="B1038" s="375"/>
      <c r="C1038" s="375"/>
      <c r="D1038" s="375"/>
      <c r="E1038" s="375"/>
      <c r="F1038" s="375"/>
      <c r="G1038" s="375"/>
      <c r="H1038" s="375"/>
      <c r="I1038" s="375"/>
      <c r="J1038" s="375"/>
      <c r="K1038" s="375"/>
      <c r="L1038" s="375"/>
      <c r="M1038" s="375"/>
      <c r="N1038" s="375"/>
      <c r="O1038" s="375"/>
      <c r="P1038" s="375"/>
      <c r="Q1038" s="375"/>
      <c r="R1038" s="375"/>
      <c r="S1038" s="392"/>
    </row>
    <row r="1039" spans="1:19" s="385" customFormat="1" ht="14.25" x14ac:dyDescent="0.2">
      <c r="A1039" s="377" t="s">
        <v>181</v>
      </c>
      <c r="B1039" s="345"/>
      <c r="C1039" s="345"/>
      <c r="D1039" s="345"/>
      <c r="E1039" s="345"/>
      <c r="F1039" s="345"/>
      <c r="G1039" s="345"/>
      <c r="H1039" s="345"/>
      <c r="I1039" s="345"/>
      <c r="J1039" s="345"/>
      <c r="K1039" s="345"/>
      <c r="L1039" s="345"/>
      <c r="M1039" s="345"/>
      <c r="N1039" s="345"/>
      <c r="O1039" s="345"/>
      <c r="P1039" s="345"/>
      <c r="Q1039" s="345"/>
      <c r="R1039" s="345"/>
      <c r="S1039" s="393"/>
    </row>
    <row r="1040" spans="1:19" s="385" customFormat="1" ht="14.25" x14ac:dyDescent="0.2">
      <c r="A1040" s="377" t="s">
        <v>182</v>
      </c>
      <c r="B1040" s="345"/>
      <c r="C1040" s="345"/>
      <c r="D1040" s="345"/>
      <c r="E1040" s="345"/>
      <c r="F1040" s="345"/>
      <c r="G1040" s="345"/>
      <c r="H1040" s="345"/>
      <c r="I1040" s="345"/>
      <c r="J1040" s="345"/>
      <c r="K1040" s="345"/>
      <c r="L1040" s="345"/>
      <c r="M1040" s="345"/>
      <c r="N1040" s="345"/>
      <c r="O1040" s="345"/>
      <c r="P1040" s="345"/>
      <c r="Q1040" s="345"/>
      <c r="R1040" s="345"/>
      <c r="S1040" s="393"/>
    </row>
    <row r="1041" spans="1:19" s="385" customFormat="1" ht="14.25" x14ac:dyDescent="0.2">
      <c r="A1041" s="377" t="s">
        <v>183</v>
      </c>
      <c r="B1041" s="379"/>
      <c r="C1041" s="381"/>
      <c r="D1041" s="380"/>
      <c r="E1041" s="345"/>
      <c r="F1041" s="345"/>
      <c r="G1041" s="381"/>
      <c r="H1041" s="345"/>
      <c r="I1041" s="345"/>
      <c r="J1041" s="345"/>
      <c r="K1041" s="345"/>
      <c r="L1041" s="345"/>
      <c r="M1041" s="345"/>
      <c r="N1041" s="345"/>
      <c r="O1041" s="345"/>
      <c r="P1041" s="345"/>
      <c r="Q1041" s="345"/>
      <c r="R1041" s="345"/>
      <c r="S1041" s="393"/>
    </row>
    <row r="1042" spans="1:19" s="385" customFormat="1" ht="14.25" x14ac:dyDescent="0.2">
      <c r="A1042" s="377" t="s">
        <v>184</v>
      </c>
      <c r="B1042" s="345"/>
      <c r="C1042" s="345"/>
      <c r="D1042" s="345"/>
      <c r="E1042" s="345"/>
      <c r="F1042" s="345"/>
      <c r="G1042" s="345"/>
      <c r="H1042" s="345"/>
      <c r="I1042" s="345"/>
      <c r="J1042" s="345"/>
      <c r="K1042" s="345"/>
      <c r="L1042" s="345"/>
      <c r="M1042" s="345"/>
      <c r="N1042" s="345"/>
      <c r="O1042" s="345"/>
      <c r="P1042" s="345"/>
      <c r="Q1042" s="345"/>
      <c r="R1042" s="345"/>
      <c r="S1042" s="393"/>
    </row>
    <row r="1043" spans="1:19" s="385" customFormat="1" ht="14.25" x14ac:dyDescent="0.2">
      <c r="A1043" s="377" t="s">
        <v>185</v>
      </c>
      <c r="B1043" s="345"/>
      <c r="C1043" s="345"/>
      <c r="D1043" s="345"/>
      <c r="E1043" s="345"/>
      <c r="F1043" s="345"/>
      <c r="G1043" s="345"/>
      <c r="H1043" s="345"/>
      <c r="I1043" s="345"/>
      <c r="J1043" s="345"/>
      <c r="K1043" s="345"/>
      <c r="L1043" s="345"/>
      <c r="M1043" s="345"/>
      <c r="N1043" s="345"/>
      <c r="O1043" s="345"/>
      <c r="P1043" s="345"/>
      <c r="Q1043" s="345"/>
      <c r="R1043" s="345"/>
      <c r="S1043" s="393"/>
    </row>
    <row r="1044" spans="1:19" s="385" customFormat="1" ht="14.25" x14ac:dyDescent="0.2">
      <c r="A1044" s="394" t="s">
        <v>221</v>
      </c>
      <c r="B1044" s="345"/>
      <c r="C1044" s="345"/>
      <c r="D1044" s="345"/>
      <c r="E1044" s="345"/>
      <c r="F1044" s="345"/>
      <c r="G1044" s="345"/>
      <c r="H1044" s="345"/>
      <c r="I1044" s="345"/>
      <c r="J1044" s="345"/>
      <c r="K1044" s="345"/>
      <c r="L1044" s="345"/>
      <c r="M1044" s="345"/>
      <c r="N1044" s="345"/>
      <c r="O1044" s="345"/>
      <c r="P1044" s="345"/>
      <c r="Q1044" s="345"/>
      <c r="R1044" s="345"/>
      <c r="S1044" s="393"/>
    </row>
    <row r="1045" spans="1:19" s="385" customFormat="1" ht="14.25" x14ac:dyDescent="0.2">
      <c r="A1045" s="377" t="s">
        <v>222</v>
      </c>
      <c r="B1045" s="345"/>
      <c r="C1045" s="345"/>
      <c r="D1045" s="345"/>
      <c r="E1045" s="345"/>
      <c r="F1045" s="345"/>
      <c r="G1045" s="381"/>
      <c r="H1045" s="345"/>
      <c r="I1045" s="345"/>
      <c r="J1045" s="345"/>
      <c r="K1045" s="345"/>
      <c r="L1045" s="345"/>
      <c r="M1045" s="345"/>
      <c r="N1045" s="345"/>
      <c r="O1045" s="345"/>
      <c r="P1045" s="345"/>
      <c r="Q1045" s="345"/>
      <c r="R1045" s="345"/>
      <c r="S1045" s="393"/>
    </row>
    <row r="1046" spans="1:19" s="397" customFormat="1" x14ac:dyDescent="0.2">
      <c r="A1046" s="377" t="s">
        <v>223</v>
      </c>
      <c r="B1046" s="360"/>
      <c r="C1046" s="360"/>
      <c r="D1046" s="360"/>
      <c r="E1046" s="360"/>
      <c r="F1046" s="360"/>
      <c r="G1046" s="395"/>
      <c r="H1046" s="360"/>
      <c r="I1046" s="360"/>
      <c r="J1046" s="360"/>
      <c r="K1046" s="360"/>
      <c r="L1046" s="360"/>
      <c r="M1046" s="360"/>
      <c r="N1046" s="360"/>
      <c r="O1046" s="360"/>
      <c r="P1046" s="360"/>
      <c r="Q1046" s="360"/>
      <c r="R1046" s="360"/>
      <c r="S1046" s="396"/>
    </row>
    <row r="1047" spans="1:19" s="397" customFormat="1" x14ac:dyDescent="0.2">
      <c r="A1047" s="377" t="s">
        <v>224</v>
      </c>
      <c r="B1047" s="360"/>
      <c r="C1047" s="360"/>
      <c r="D1047" s="360"/>
      <c r="E1047" s="360"/>
      <c r="F1047" s="360"/>
      <c r="G1047" s="398"/>
      <c r="H1047" s="360"/>
      <c r="I1047" s="360"/>
      <c r="J1047" s="360"/>
      <c r="K1047" s="360"/>
      <c r="L1047" s="360"/>
      <c r="M1047" s="360"/>
      <c r="N1047" s="360"/>
      <c r="O1047" s="360"/>
      <c r="P1047" s="360"/>
      <c r="Q1047" s="360"/>
      <c r="R1047" s="360"/>
      <c r="S1047" s="396"/>
    </row>
    <row r="1048" spans="1:19" s="397" customFormat="1" x14ac:dyDescent="0.2">
      <c r="A1048" s="377" t="s">
        <v>271</v>
      </c>
      <c r="B1048" s="360"/>
      <c r="C1048" s="360"/>
      <c r="D1048" s="360"/>
      <c r="E1048" s="360"/>
      <c r="F1048" s="360"/>
      <c r="G1048" s="398"/>
      <c r="H1048" s="360"/>
      <c r="I1048" s="360"/>
      <c r="J1048" s="360"/>
      <c r="K1048" s="360"/>
      <c r="L1048" s="360"/>
      <c r="M1048" s="360"/>
      <c r="N1048" s="360"/>
      <c r="O1048" s="360"/>
      <c r="P1048" s="360"/>
      <c r="Q1048" s="360"/>
      <c r="R1048" s="360"/>
      <c r="S1048" s="396"/>
    </row>
    <row r="1049" spans="1:19" s="385" customFormat="1" ht="14.25" x14ac:dyDescent="0.2">
      <c r="A1049" s="399" t="s">
        <v>225</v>
      </c>
      <c r="B1049" s="400"/>
      <c r="C1049" s="400"/>
      <c r="D1049" s="400"/>
      <c r="E1049" s="400"/>
      <c r="F1049" s="400"/>
      <c r="G1049" s="400"/>
      <c r="H1049" s="400"/>
      <c r="I1049" s="400"/>
      <c r="J1049" s="400"/>
      <c r="K1049" s="400"/>
      <c r="L1049" s="400"/>
      <c r="M1049" s="400"/>
      <c r="N1049" s="400"/>
      <c r="O1049" s="400"/>
      <c r="P1049" s="345"/>
      <c r="Q1049" s="345"/>
      <c r="R1049" s="345"/>
      <c r="S1049" s="393"/>
    </row>
    <row r="1050" spans="1:19" s="385" customFormat="1" ht="27" customHeight="1" x14ac:dyDescent="0.2">
      <c r="A1050" s="661" t="s">
        <v>347</v>
      </c>
      <c r="B1050" s="662"/>
      <c r="C1050" s="662"/>
      <c r="D1050" s="662"/>
      <c r="E1050" s="662"/>
      <c r="F1050" s="662"/>
      <c r="G1050" s="662"/>
      <c r="H1050" s="662"/>
      <c r="I1050" s="662"/>
      <c r="J1050" s="662"/>
      <c r="K1050" s="662"/>
      <c r="L1050" s="662"/>
      <c r="M1050" s="662"/>
      <c r="N1050" s="662"/>
      <c r="O1050" s="400"/>
      <c r="P1050" s="345"/>
      <c r="Q1050" s="345"/>
      <c r="R1050" s="345"/>
      <c r="S1050" s="393"/>
    </row>
    <row r="1051" spans="1:19" s="385" customFormat="1" ht="13.9" customHeight="1" x14ac:dyDescent="0.2">
      <c r="A1051" s="399" t="s">
        <v>406</v>
      </c>
      <c r="B1051" s="400"/>
      <c r="C1051" s="400"/>
      <c r="D1051" s="400"/>
      <c r="E1051" s="400"/>
      <c r="F1051" s="400"/>
      <c r="G1051" s="400"/>
      <c r="H1051" s="400"/>
      <c r="I1051" s="400"/>
      <c r="J1051" s="400"/>
      <c r="K1051" s="400"/>
      <c r="L1051" s="400"/>
      <c r="M1051" s="400"/>
      <c r="N1051" s="400"/>
      <c r="O1051" s="400"/>
      <c r="P1051" s="345"/>
      <c r="Q1051" s="345"/>
      <c r="R1051" s="345"/>
      <c r="S1051" s="393"/>
    </row>
    <row r="1052" spans="1:19" s="385" customFormat="1" ht="13.9" customHeight="1" x14ac:dyDescent="0.2">
      <c r="A1052" s="399" t="s">
        <v>639</v>
      </c>
      <c r="B1052" s="400"/>
      <c r="C1052" s="400"/>
      <c r="D1052" s="400"/>
      <c r="E1052" s="400"/>
      <c r="F1052" s="400"/>
      <c r="G1052" s="400"/>
      <c r="H1052" s="400"/>
      <c r="I1052" s="400"/>
      <c r="J1052" s="400"/>
      <c r="K1052" s="400"/>
      <c r="L1052" s="400"/>
      <c r="M1052" s="400"/>
      <c r="N1052" s="400"/>
      <c r="O1052" s="400"/>
      <c r="P1052" s="345"/>
      <c r="Q1052" s="345"/>
      <c r="R1052" s="345"/>
      <c r="S1052" s="393"/>
    </row>
    <row r="1053" spans="1:19" s="385" customFormat="1" ht="13.9" customHeight="1" x14ac:dyDescent="0.2">
      <c r="A1053" s="399" t="s">
        <v>807</v>
      </c>
      <c r="B1053" s="400"/>
      <c r="C1053" s="400"/>
      <c r="D1053" s="400"/>
      <c r="E1053" s="400"/>
      <c r="F1053" s="400"/>
      <c r="G1053" s="400"/>
      <c r="H1053" s="400"/>
      <c r="I1053" s="400"/>
      <c r="J1053" s="400"/>
      <c r="K1053" s="400"/>
      <c r="L1053" s="400"/>
      <c r="M1053" s="400"/>
      <c r="N1053" s="400"/>
      <c r="O1053" s="400"/>
      <c r="P1053" s="345"/>
      <c r="Q1053" s="345"/>
      <c r="R1053" s="345"/>
      <c r="S1053" s="393"/>
    </row>
    <row r="1054" spans="1:19" s="385" customFormat="1" ht="13.9" customHeight="1" x14ac:dyDescent="0.2">
      <c r="A1054" s="399" t="s">
        <v>1040</v>
      </c>
      <c r="B1054" s="400"/>
      <c r="C1054" s="400"/>
      <c r="D1054" s="400"/>
      <c r="E1054" s="400"/>
      <c r="F1054" s="400"/>
      <c r="G1054" s="400"/>
      <c r="H1054" s="400"/>
      <c r="I1054" s="400"/>
      <c r="J1054" s="400"/>
      <c r="K1054" s="400"/>
      <c r="L1054" s="400"/>
      <c r="M1054" s="400"/>
      <c r="N1054" s="400"/>
      <c r="O1054" s="400"/>
      <c r="P1054" s="345"/>
      <c r="Q1054" s="345"/>
      <c r="R1054" s="345"/>
      <c r="S1054" s="393"/>
    </row>
    <row r="1055" spans="1:19" s="385" customFormat="1" ht="13.9" customHeight="1" x14ac:dyDescent="0.2">
      <c r="A1055" s="401" t="s">
        <v>1192</v>
      </c>
      <c r="B1055" s="400"/>
      <c r="C1055" s="400"/>
      <c r="D1055" s="400"/>
      <c r="E1055" s="400"/>
      <c r="F1055" s="400"/>
      <c r="G1055" s="400"/>
      <c r="H1055" s="400"/>
      <c r="I1055" s="400"/>
      <c r="J1055" s="400"/>
      <c r="K1055" s="400"/>
      <c r="L1055" s="400"/>
      <c r="M1055" s="400"/>
      <c r="N1055" s="400"/>
      <c r="O1055" s="400"/>
      <c r="P1055" s="345"/>
      <c r="Q1055" s="345"/>
      <c r="R1055" s="345"/>
      <c r="S1055" s="393"/>
    </row>
    <row r="1056" spans="1:19" s="385" customFormat="1" ht="13.9" customHeight="1" x14ac:dyDescent="0.2">
      <c r="A1056" s="402"/>
      <c r="B1056" s="403"/>
      <c r="C1056" s="403"/>
      <c r="D1056" s="403"/>
      <c r="E1056" s="403"/>
      <c r="F1056" s="403"/>
      <c r="G1056" s="403"/>
      <c r="H1056" s="403"/>
      <c r="I1056" s="403"/>
      <c r="J1056" s="403"/>
      <c r="K1056" s="403"/>
      <c r="L1056" s="403"/>
      <c r="M1056" s="403"/>
      <c r="N1056" s="403"/>
      <c r="O1056" s="403"/>
      <c r="P1056" s="383"/>
      <c r="Q1056" s="383"/>
      <c r="R1056" s="383"/>
      <c r="S1056" s="404"/>
    </row>
    <row r="1057" spans="1:18" x14ac:dyDescent="0.2">
      <c r="A1057" s="318"/>
      <c r="C1057" s="354"/>
    </row>
    <row r="1058" spans="1:18" x14ac:dyDescent="0.2">
      <c r="A1058" s="358" t="s">
        <v>14</v>
      </c>
      <c r="B1058" s="359" t="s">
        <v>623</v>
      </c>
      <c r="C1058" s="359" t="s">
        <v>15</v>
      </c>
      <c r="D1058" s="345"/>
      <c r="E1058" s="345"/>
      <c r="F1058" s="345"/>
      <c r="G1058" s="345"/>
      <c r="H1058" s="345"/>
      <c r="I1058" s="345"/>
      <c r="J1058" s="345"/>
      <c r="K1058" s="345"/>
      <c r="L1058" s="345"/>
      <c r="M1058" s="345"/>
      <c r="N1058" s="345"/>
      <c r="O1058" s="345"/>
      <c r="P1058" s="345"/>
      <c r="Q1058" s="345"/>
      <c r="R1058" s="345"/>
    </row>
    <row r="1059" spans="1:18" x14ac:dyDescent="0.2">
      <c r="A1059" s="363" t="s">
        <v>16</v>
      </c>
      <c r="B1059" s="405">
        <v>2009</v>
      </c>
      <c r="C1059" s="406">
        <v>2010</v>
      </c>
      <c r="D1059" s="406">
        <v>2011</v>
      </c>
      <c r="E1059" s="406">
        <v>2012</v>
      </c>
      <c r="F1059" s="406">
        <v>2013</v>
      </c>
      <c r="G1059" s="406">
        <v>2014</v>
      </c>
      <c r="H1059" s="406">
        <v>2015</v>
      </c>
      <c r="I1059" s="406">
        <v>2016</v>
      </c>
      <c r="J1059" s="406">
        <v>2017</v>
      </c>
      <c r="K1059" s="406">
        <v>2018</v>
      </c>
      <c r="L1059" s="406">
        <v>2019</v>
      </c>
      <c r="M1059" s="406">
        <v>2020</v>
      </c>
      <c r="N1059" s="365">
        <v>2021</v>
      </c>
      <c r="O1059" s="365">
        <v>2022</v>
      </c>
      <c r="P1059" s="365">
        <v>2023</v>
      </c>
      <c r="Q1059" s="365">
        <v>2024</v>
      </c>
      <c r="R1059" s="407">
        <v>2025</v>
      </c>
    </row>
    <row r="1060" spans="1:18" x14ac:dyDescent="0.2">
      <c r="A1060" s="366" t="s">
        <v>17</v>
      </c>
      <c r="B1060" s="386">
        <v>842</v>
      </c>
      <c r="C1060" s="386">
        <v>842</v>
      </c>
      <c r="D1060" s="386">
        <v>842</v>
      </c>
      <c r="E1060" s="386">
        <v>842</v>
      </c>
      <c r="F1060" s="386">
        <v>842</v>
      </c>
      <c r="G1060" s="386">
        <v>842</v>
      </c>
      <c r="H1060" s="386">
        <v>842</v>
      </c>
      <c r="I1060" s="386">
        <v>842</v>
      </c>
      <c r="J1060" s="386">
        <v>842</v>
      </c>
      <c r="K1060" s="386">
        <v>842</v>
      </c>
      <c r="L1060" s="386">
        <v>842</v>
      </c>
      <c r="M1060" s="386">
        <v>842</v>
      </c>
      <c r="N1060" s="386">
        <v>842</v>
      </c>
      <c r="O1060" s="386">
        <v>842</v>
      </c>
      <c r="P1060" s="386">
        <v>842</v>
      </c>
      <c r="Q1060" s="386">
        <v>842</v>
      </c>
      <c r="R1060" s="408">
        <v>842</v>
      </c>
    </row>
    <row r="1061" spans="1:18" x14ac:dyDescent="0.2">
      <c r="A1061" s="366" t="s">
        <v>18</v>
      </c>
      <c r="B1061" s="386">
        <v>2717.74</v>
      </c>
      <c r="C1061" s="386">
        <v>2596.7442299999998</v>
      </c>
      <c r="D1061" s="386">
        <v>2707.4306399999996</v>
      </c>
      <c r="E1061" s="386">
        <v>2795.2306399999998</v>
      </c>
      <c r="F1061" s="386">
        <v>3114.7264100000002</v>
      </c>
      <c r="G1061" s="386">
        <v>3408.0264100000004</v>
      </c>
      <c r="H1061" s="386">
        <f>1.15*H1060-(50+35+25)</f>
        <v>858.3</v>
      </c>
      <c r="I1061" s="386">
        <f>I1060+H1064-50-35-25</f>
        <v>1138.1999999999998</v>
      </c>
      <c r="J1061" s="386">
        <f>J1060+I1064-100-35-25</f>
        <v>1422.4999999999998</v>
      </c>
      <c r="K1061" s="386">
        <f>K1060*1.15-100-35</f>
        <v>833.3</v>
      </c>
      <c r="L1061" s="386">
        <f>L1060+K1064-100-35-25</f>
        <v>1226</v>
      </c>
      <c r="M1061" s="386">
        <f>M1060+L1064-150-35-25</f>
        <v>1463.0075420000001</v>
      </c>
      <c r="N1061" s="386">
        <f>N1060+M1064-150-35-25</f>
        <v>1688.2075420000001</v>
      </c>
      <c r="O1061" s="386">
        <f>O1060+N1064-150-35-25</f>
        <v>2032.807542</v>
      </c>
      <c r="P1061" s="386">
        <f>P1060+O1064-150-35-25</f>
        <v>2219.807542</v>
      </c>
      <c r="Q1061" s="386">
        <f>Q1060+P1064-150-35-25</f>
        <v>2355.5075420000003</v>
      </c>
      <c r="R1061" s="408">
        <f>R1060-150-25</f>
        <v>667</v>
      </c>
    </row>
    <row r="1062" spans="1:18" x14ac:dyDescent="0.2">
      <c r="A1062" s="366" t="s">
        <v>19</v>
      </c>
      <c r="B1062" s="386"/>
      <c r="C1062" s="386"/>
      <c r="D1062" s="386"/>
      <c r="E1062" s="386"/>
      <c r="F1062" s="386"/>
      <c r="G1062" s="386"/>
      <c r="H1062" s="409"/>
      <c r="I1062" s="409"/>
      <c r="J1062" s="409"/>
      <c r="K1062" s="409"/>
      <c r="L1062" s="409"/>
      <c r="M1062" s="409"/>
      <c r="N1062" s="409"/>
      <c r="O1062" s="409"/>
      <c r="P1062" s="409"/>
      <c r="Q1062" s="409"/>
      <c r="R1062" s="408"/>
    </row>
    <row r="1063" spans="1:18" x14ac:dyDescent="0.2">
      <c r="A1063" s="366" t="s">
        <v>20</v>
      </c>
      <c r="B1063" s="386">
        <v>962.99576999999999</v>
      </c>
      <c r="C1063" s="386">
        <v>681.31358999999998</v>
      </c>
      <c r="D1063" s="386">
        <v>669.2</v>
      </c>
      <c r="E1063" s="386">
        <v>437.5</v>
      </c>
      <c r="F1063" s="386">
        <v>438.7</v>
      </c>
      <c r="G1063" s="386">
        <v>392.9</v>
      </c>
      <c r="H1063" s="386">
        <v>452.1</v>
      </c>
      <c r="I1063" s="386">
        <v>397.7</v>
      </c>
      <c r="J1063" s="386">
        <v>406</v>
      </c>
      <c r="K1063" s="386">
        <v>289.3</v>
      </c>
      <c r="L1063" s="386">
        <v>394.992458</v>
      </c>
      <c r="M1063" s="386">
        <v>406.79999999999995</v>
      </c>
      <c r="N1063" s="386">
        <v>287.39999999999998</v>
      </c>
      <c r="O1063" s="386">
        <v>445</v>
      </c>
      <c r="P1063" s="386">
        <v>496.3</v>
      </c>
      <c r="Q1063" s="386">
        <v>364.25</v>
      </c>
      <c r="R1063" s="410" t="s">
        <v>1145</v>
      </c>
    </row>
    <row r="1064" spans="1:18" x14ac:dyDescent="0.2">
      <c r="A1064" s="366" t="s">
        <v>21</v>
      </c>
      <c r="B1064" s="386">
        <v>1754.7442299999998</v>
      </c>
      <c r="C1064" s="386">
        <v>1915.4306399999998</v>
      </c>
      <c r="D1064" s="386">
        <v>2038.2306399999995</v>
      </c>
      <c r="E1064" s="386">
        <v>2357.7264100000002</v>
      </c>
      <c r="F1064" s="386">
        <v>2676.0264100000004</v>
      </c>
      <c r="G1064" s="386">
        <v>3015.1264100000003</v>
      </c>
      <c r="H1064" s="386">
        <f t="shared" ref="H1064:Q1064" si="47">H1061-H1063</f>
        <v>406.19999999999993</v>
      </c>
      <c r="I1064" s="386">
        <f t="shared" si="47"/>
        <v>740.49999999999977</v>
      </c>
      <c r="J1064" s="386">
        <f t="shared" si="47"/>
        <v>1016.4999999999998</v>
      </c>
      <c r="K1064" s="386">
        <f t="shared" si="47"/>
        <v>544</v>
      </c>
      <c r="L1064" s="386">
        <f t="shared" si="47"/>
        <v>831.00754200000006</v>
      </c>
      <c r="M1064" s="386">
        <f t="shared" si="47"/>
        <v>1056.2075420000001</v>
      </c>
      <c r="N1064" s="386">
        <f t="shared" si="47"/>
        <v>1400.807542</v>
      </c>
      <c r="O1064" s="386">
        <f t="shared" si="47"/>
        <v>1587.807542</v>
      </c>
      <c r="P1064" s="386">
        <f t="shared" si="47"/>
        <v>1723.5075420000001</v>
      </c>
      <c r="Q1064" s="386">
        <f t="shared" si="47"/>
        <v>1991.2575420000003</v>
      </c>
      <c r="R1064" s="410" t="s">
        <v>1145</v>
      </c>
    </row>
    <row r="1065" spans="1:18" x14ac:dyDescent="0.2">
      <c r="A1065" s="370" t="s">
        <v>22</v>
      </c>
      <c r="B1065" s="411"/>
      <c r="C1065" s="411"/>
      <c r="D1065" s="411"/>
      <c r="E1065" s="411"/>
      <c r="F1065" s="411"/>
      <c r="G1065" s="411"/>
      <c r="H1065" s="412">
        <v>2016</v>
      </c>
      <c r="I1065" s="412">
        <v>2017</v>
      </c>
      <c r="J1065" s="412">
        <v>2018</v>
      </c>
      <c r="K1065" s="412">
        <v>2019</v>
      </c>
      <c r="L1065" s="412">
        <v>2020</v>
      </c>
      <c r="M1065" s="412">
        <v>2021</v>
      </c>
      <c r="N1065" s="412">
        <v>2022</v>
      </c>
      <c r="O1065" s="412">
        <v>2023</v>
      </c>
      <c r="P1065" s="412">
        <v>2024</v>
      </c>
      <c r="Q1065" s="412">
        <v>2025</v>
      </c>
      <c r="R1065" s="413">
        <v>2026</v>
      </c>
    </row>
    <row r="1066" spans="1:18" x14ac:dyDescent="0.2">
      <c r="A1066" s="389" t="s">
        <v>179</v>
      </c>
      <c r="B1066" s="390"/>
      <c r="C1066" s="390"/>
      <c r="D1066" s="390"/>
      <c r="E1066" s="390"/>
      <c r="F1066" s="390"/>
      <c r="G1066" s="390"/>
      <c r="H1066" s="390"/>
      <c r="I1066" s="390"/>
      <c r="J1066" s="390"/>
      <c r="K1066" s="390"/>
      <c r="L1066" s="390"/>
      <c r="M1066" s="390"/>
      <c r="N1066" s="390"/>
      <c r="O1066" s="390"/>
      <c r="P1066" s="390"/>
      <c r="Q1066" s="390"/>
      <c r="R1066" s="414"/>
    </row>
    <row r="1067" spans="1:18" x14ac:dyDescent="0.2">
      <c r="A1067" s="373" t="s">
        <v>186</v>
      </c>
      <c r="B1067" s="375"/>
      <c r="C1067" s="375"/>
      <c r="D1067" s="375"/>
      <c r="E1067" s="375"/>
      <c r="F1067" s="375"/>
      <c r="G1067" s="375"/>
      <c r="H1067" s="375"/>
      <c r="I1067" s="375"/>
      <c r="J1067" s="375"/>
      <c r="K1067" s="375"/>
      <c r="L1067" s="375"/>
      <c r="M1067" s="375"/>
      <c r="N1067" s="375"/>
      <c r="O1067" s="375"/>
      <c r="P1067" s="375"/>
      <c r="Q1067" s="375"/>
      <c r="R1067" s="415"/>
    </row>
    <row r="1068" spans="1:18" x14ac:dyDescent="0.2">
      <c r="A1068" s="377" t="s">
        <v>187</v>
      </c>
      <c r="B1068" s="345"/>
      <c r="C1068" s="345"/>
      <c r="D1068" s="345"/>
      <c r="E1068" s="345"/>
      <c r="F1068" s="345"/>
      <c r="G1068" s="345"/>
      <c r="H1068" s="345"/>
      <c r="I1068" s="345"/>
      <c r="J1068" s="345"/>
      <c r="K1068" s="345"/>
      <c r="L1068" s="345"/>
      <c r="M1068" s="345"/>
      <c r="N1068" s="345"/>
      <c r="O1068" s="345"/>
      <c r="P1068" s="345"/>
      <c r="Q1068" s="345"/>
      <c r="R1068" s="416"/>
    </row>
    <row r="1069" spans="1:18" x14ac:dyDescent="0.2">
      <c r="A1069" s="417" t="s">
        <v>188</v>
      </c>
      <c r="B1069" s="345"/>
      <c r="C1069" s="345"/>
      <c r="D1069" s="345"/>
      <c r="E1069" s="345"/>
      <c r="F1069" s="345"/>
      <c r="G1069" s="345"/>
      <c r="H1069" s="345"/>
      <c r="I1069" s="345"/>
      <c r="J1069" s="345"/>
      <c r="K1069" s="345"/>
      <c r="L1069" s="345"/>
      <c r="M1069" s="345"/>
      <c r="N1069" s="345"/>
      <c r="O1069" s="345"/>
      <c r="P1069" s="345"/>
      <c r="Q1069" s="345"/>
      <c r="R1069" s="416"/>
    </row>
    <row r="1070" spans="1:18" x14ac:dyDescent="0.2">
      <c r="A1070" s="417" t="s">
        <v>189</v>
      </c>
      <c r="B1070" s="345"/>
      <c r="C1070" s="345"/>
      <c r="D1070" s="345"/>
      <c r="E1070" s="345"/>
      <c r="F1070" s="345"/>
      <c r="G1070" s="345"/>
      <c r="H1070" s="345"/>
      <c r="I1070" s="345"/>
      <c r="J1070" s="345"/>
      <c r="K1070" s="345"/>
      <c r="L1070" s="345"/>
      <c r="M1070" s="345"/>
      <c r="N1070" s="345"/>
      <c r="O1070" s="345"/>
      <c r="P1070" s="345"/>
      <c r="Q1070" s="345"/>
      <c r="R1070" s="416"/>
    </row>
    <row r="1071" spans="1:18" x14ac:dyDescent="0.2">
      <c r="A1071" s="417" t="s">
        <v>1042</v>
      </c>
      <c r="B1071" s="345"/>
      <c r="C1071" s="345"/>
      <c r="D1071" s="345"/>
      <c r="E1071" s="345"/>
      <c r="F1071" s="345"/>
      <c r="G1071" s="345"/>
      <c r="H1071" s="345"/>
      <c r="I1071" s="345"/>
      <c r="J1071" s="345"/>
      <c r="K1071" s="345"/>
      <c r="L1071" s="345"/>
      <c r="M1071" s="345"/>
      <c r="N1071" s="345"/>
      <c r="O1071" s="345"/>
      <c r="P1071" s="345"/>
      <c r="Q1071" s="345"/>
      <c r="R1071" s="416"/>
    </row>
    <row r="1072" spans="1:18" x14ac:dyDescent="0.2">
      <c r="A1072" s="394" t="s">
        <v>226</v>
      </c>
      <c r="B1072" s="345"/>
      <c r="C1072" s="345"/>
      <c r="D1072" s="345"/>
      <c r="E1072" s="345"/>
      <c r="F1072" s="345"/>
      <c r="G1072" s="381"/>
      <c r="H1072" s="345"/>
      <c r="I1072" s="345"/>
      <c r="J1072" s="345"/>
      <c r="K1072" s="345"/>
      <c r="L1072" s="345"/>
      <c r="M1072" s="345"/>
      <c r="N1072" s="345"/>
      <c r="O1072" s="345"/>
      <c r="P1072" s="345"/>
      <c r="Q1072" s="345"/>
      <c r="R1072" s="416"/>
    </row>
    <row r="1073" spans="1:18" x14ac:dyDescent="0.2">
      <c r="A1073" s="394" t="s">
        <v>227</v>
      </c>
      <c r="B1073" s="345"/>
      <c r="C1073" s="345"/>
      <c r="D1073" s="345"/>
      <c r="E1073" s="345"/>
      <c r="F1073" s="345"/>
      <c r="G1073" s="381"/>
      <c r="H1073" s="345"/>
      <c r="I1073" s="345"/>
      <c r="J1073" s="345"/>
      <c r="K1073" s="345"/>
      <c r="L1073" s="345"/>
      <c r="M1073" s="345"/>
      <c r="N1073" s="345"/>
      <c r="O1073" s="345"/>
      <c r="P1073" s="345"/>
      <c r="Q1073" s="345"/>
      <c r="R1073" s="416"/>
    </row>
    <row r="1074" spans="1:18" x14ac:dyDescent="0.2">
      <c r="A1074" s="377" t="s">
        <v>190</v>
      </c>
      <c r="B1074" s="379"/>
      <c r="C1074" s="381"/>
      <c r="D1074" s="380"/>
      <c r="E1074" s="345"/>
      <c r="F1074" s="345"/>
      <c r="G1074" s="381"/>
      <c r="H1074" s="345"/>
      <c r="I1074" s="345"/>
      <c r="J1074" s="345"/>
      <c r="K1074" s="345"/>
      <c r="L1074" s="345"/>
      <c r="M1074" s="345"/>
      <c r="N1074" s="345"/>
      <c r="O1074" s="345"/>
      <c r="P1074" s="345"/>
      <c r="Q1074" s="345"/>
      <c r="R1074" s="416"/>
    </row>
    <row r="1075" spans="1:18" x14ac:dyDescent="0.2">
      <c r="A1075" s="377" t="s">
        <v>191</v>
      </c>
      <c r="B1075" s="345"/>
      <c r="C1075" s="345"/>
      <c r="D1075" s="345"/>
      <c r="E1075" s="345"/>
      <c r="F1075" s="345"/>
      <c r="G1075" s="381"/>
      <c r="H1075" s="345"/>
      <c r="I1075" s="345"/>
      <c r="J1075" s="345"/>
      <c r="K1075" s="345"/>
      <c r="L1075" s="345"/>
      <c r="M1075" s="345"/>
      <c r="N1075" s="345"/>
      <c r="O1075" s="345"/>
      <c r="P1075" s="345"/>
      <c r="Q1075" s="345"/>
      <c r="R1075" s="416"/>
    </row>
    <row r="1076" spans="1:18" x14ac:dyDescent="0.2">
      <c r="A1076" s="394" t="s">
        <v>384</v>
      </c>
      <c r="B1076" s="345"/>
      <c r="C1076" s="345"/>
      <c r="D1076" s="345"/>
      <c r="E1076" s="345"/>
      <c r="F1076" s="345"/>
      <c r="G1076" s="381"/>
      <c r="H1076" s="345"/>
      <c r="I1076" s="345"/>
      <c r="J1076" s="345"/>
      <c r="K1076" s="345"/>
      <c r="L1076" s="345"/>
      <c r="M1076" s="345"/>
      <c r="N1076" s="345"/>
      <c r="O1076" s="345"/>
      <c r="P1076" s="345"/>
      <c r="Q1076" s="345"/>
      <c r="R1076" s="416"/>
    </row>
    <row r="1077" spans="1:18" x14ac:dyDescent="0.2">
      <c r="A1077" s="394" t="s">
        <v>385</v>
      </c>
      <c r="B1077" s="345"/>
      <c r="C1077" s="345"/>
      <c r="D1077" s="345"/>
      <c r="E1077" s="345"/>
      <c r="F1077" s="345"/>
      <c r="G1077" s="381"/>
      <c r="H1077" s="345"/>
      <c r="I1077" s="345"/>
      <c r="J1077" s="345"/>
      <c r="K1077" s="345"/>
      <c r="L1077" s="345"/>
      <c r="M1077" s="345"/>
      <c r="N1077" s="345"/>
      <c r="O1077" s="345"/>
      <c r="P1077" s="345"/>
      <c r="Q1077" s="345"/>
      <c r="R1077" s="416"/>
    </row>
    <row r="1078" spans="1:18" x14ac:dyDescent="0.2">
      <c r="A1078" s="394" t="s">
        <v>386</v>
      </c>
      <c r="B1078" s="345"/>
      <c r="C1078" s="345"/>
      <c r="D1078" s="345"/>
      <c r="E1078" s="345"/>
      <c r="F1078" s="345"/>
      <c r="G1078" s="381"/>
      <c r="H1078" s="345"/>
      <c r="I1078" s="345"/>
      <c r="J1078" s="345"/>
      <c r="K1078" s="345"/>
      <c r="L1078" s="345"/>
      <c r="M1078" s="345"/>
      <c r="N1078" s="345"/>
      <c r="O1078" s="345"/>
      <c r="P1078" s="345"/>
      <c r="Q1078" s="345"/>
      <c r="R1078" s="416"/>
    </row>
    <row r="1079" spans="1:18" x14ac:dyDescent="0.2">
      <c r="A1079" s="394" t="s">
        <v>387</v>
      </c>
      <c r="B1079" s="345"/>
      <c r="C1079" s="345"/>
      <c r="D1079" s="345"/>
      <c r="E1079" s="345"/>
      <c r="F1079" s="345"/>
      <c r="G1079" s="418"/>
      <c r="H1079" s="345"/>
      <c r="I1079" s="345"/>
      <c r="J1079" s="345"/>
      <c r="K1079" s="345"/>
      <c r="L1079" s="345"/>
      <c r="M1079" s="345"/>
      <c r="N1079" s="345"/>
      <c r="O1079" s="345"/>
      <c r="P1079" s="345"/>
      <c r="Q1079" s="345"/>
      <c r="R1079" s="416"/>
    </row>
    <row r="1080" spans="1:18" ht="13.15" customHeight="1" x14ac:dyDescent="0.2">
      <c r="A1080" s="399" t="s">
        <v>388</v>
      </c>
      <c r="B1080" s="419"/>
      <c r="C1080" s="419"/>
      <c r="D1080" s="419"/>
      <c r="E1080" s="419"/>
      <c r="F1080" s="419"/>
      <c r="G1080" s="419"/>
      <c r="H1080" s="419"/>
      <c r="I1080" s="419"/>
      <c r="J1080" s="419"/>
      <c r="K1080" s="419"/>
      <c r="L1080" s="419"/>
      <c r="M1080" s="419"/>
      <c r="N1080" s="419"/>
      <c r="O1080" s="419"/>
      <c r="P1080" s="345"/>
      <c r="Q1080" s="345"/>
      <c r="R1080" s="416"/>
    </row>
    <row r="1081" spans="1:18" ht="13.15" customHeight="1" x14ac:dyDescent="0.2">
      <c r="A1081" s="399" t="s">
        <v>389</v>
      </c>
      <c r="B1081" s="419"/>
      <c r="C1081" s="419"/>
      <c r="D1081" s="419"/>
      <c r="E1081" s="419"/>
      <c r="F1081" s="419"/>
      <c r="G1081" s="419"/>
      <c r="H1081" s="419"/>
      <c r="I1081" s="419"/>
      <c r="J1081" s="419"/>
      <c r="K1081" s="419"/>
      <c r="L1081" s="419"/>
      <c r="M1081" s="419"/>
      <c r="N1081" s="419"/>
      <c r="O1081" s="419"/>
      <c r="P1081" s="345"/>
      <c r="Q1081" s="345"/>
      <c r="R1081" s="416"/>
    </row>
    <row r="1082" spans="1:18" ht="13.15" customHeight="1" x14ac:dyDescent="0.2">
      <c r="A1082" s="399" t="s">
        <v>569</v>
      </c>
      <c r="B1082" s="419"/>
      <c r="C1082" s="419"/>
      <c r="D1082" s="419"/>
      <c r="E1082" s="419"/>
      <c r="F1082" s="419"/>
      <c r="G1082" s="419"/>
      <c r="H1082" s="419"/>
      <c r="I1082" s="419"/>
      <c r="J1082" s="419"/>
      <c r="K1082" s="419"/>
      <c r="L1082" s="419"/>
      <c r="M1082" s="419"/>
      <c r="N1082" s="419"/>
      <c r="O1082" s="419"/>
      <c r="P1082" s="345"/>
      <c r="Q1082" s="345"/>
      <c r="R1082" s="416"/>
    </row>
    <row r="1083" spans="1:18" ht="13.15" customHeight="1" x14ac:dyDescent="0.2">
      <c r="A1083" s="399" t="s">
        <v>709</v>
      </c>
      <c r="B1083" s="419"/>
      <c r="C1083" s="419"/>
      <c r="D1083" s="419"/>
      <c r="E1083" s="419"/>
      <c r="F1083" s="419"/>
      <c r="G1083" s="419"/>
      <c r="H1083" s="419"/>
      <c r="I1083" s="419"/>
      <c r="J1083" s="419"/>
      <c r="K1083" s="419"/>
      <c r="L1083" s="419"/>
      <c r="M1083" s="419"/>
      <c r="N1083" s="419"/>
      <c r="O1083" s="419"/>
      <c r="P1083" s="345"/>
      <c r="Q1083" s="345"/>
      <c r="R1083" s="416"/>
    </row>
    <row r="1084" spans="1:18" ht="13.15" customHeight="1" x14ac:dyDescent="0.2">
      <c r="A1084" s="399" t="s">
        <v>1041</v>
      </c>
      <c r="B1084" s="419"/>
      <c r="C1084" s="419"/>
      <c r="D1084" s="419"/>
      <c r="E1084" s="419"/>
      <c r="F1084" s="419"/>
      <c r="G1084" s="419"/>
      <c r="H1084" s="419"/>
      <c r="I1084" s="419"/>
      <c r="J1084" s="419"/>
      <c r="K1084" s="419"/>
      <c r="L1084" s="419"/>
      <c r="M1084" s="419"/>
      <c r="N1084" s="419"/>
      <c r="O1084" s="419"/>
      <c r="P1084" s="345"/>
      <c r="Q1084" s="345"/>
      <c r="R1084" s="416"/>
    </row>
    <row r="1085" spans="1:18" ht="13.15" customHeight="1" x14ac:dyDescent="0.2">
      <c r="A1085" s="399" t="s">
        <v>1091</v>
      </c>
      <c r="B1085" s="419"/>
      <c r="C1085" s="419"/>
      <c r="D1085" s="419"/>
      <c r="E1085" s="419"/>
      <c r="F1085" s="419"/>
      <c r="G1085" s="419"/>
      <c r="H1085" s="419"/>
      <c r="I1085" s="419"/>
      <c r="J1085" s="419"/>
      <c r="K1085" s="419"/>
      <c r="L1085" s="419"/>
      <c r="M1085" s="419"/>
      <c r="N1085" s="419"/>
      <c r="O1085" s="419"/>
      <c r="P1085" s="345"/>
      <c r="Q1085" s="345"/>
      <c r="R1085" s="416"/>
    </row>
    <row r="1086" spans="1:18" ht="13.15" customHeight="1" x14ac:dyDescent="0.2">
      <c r="A1086" s="420" t="s">
        <v>1193</v>
      </c>
      <c r="B1086" s="421"/>
      <c r="C1086" s="421"/>
      <c r="D1086" s="421"/>
      <c r="E1086" s="421"/>
      <c r="F1086" s="421"/>
      <c r="G1086" s="421"/>
      <c r="H1086" s="421"/>
      <c r="I1086" s="421"/>
      <c r="J1086" s="421"/>
      <c r="K1086" s="421"/>
      <c r="L1086" s="421"/>
      <c r="M1086" s="421"/>
      <c r="N1086" s="421"/>
      <c r="O1086" s="421"/>
      <c r="P1086" s="383"/>
      <c r="Q1086" s="383"/>
      <c r="R1086" s="422"/>
    </row>
    <row r="1087" spans="1:18" x14ac:dyDescent="0.2">
      <c r="A1087" s="318"/>
      <c r="C1087" s="354"/>
    </row>
    <row r="1088" spans="1:18" x14ac:dyDescent="0.2">
      <c r="A1088" s="358" t="s">
        <v>14</v>
      </c>
      <c r="B1088" s="359" t="s">
        <v>641</v>
      </c>
      <c r="C1088" s="359" t="s">
        <v>15</v>
      </c>
      <c r="D1088" s="345"/>
      <c r="E1088" s="345"/>
      <c r="F1088" s="345"/>
      <c r="G1088" s="345"/>
      <c r="H1088" s="345"/>
      <c r="I1088" s="345"/>
      <c r="J1088" s="345"/>
      <c r="K1088" s="345"/>
      <c r="L1088" s="345"/>
      <c r="M1088" s="345"/>
      <c r="N1088" s="345"/>
      <c r="O1088" s="345"/>
      <c r="P1088" s="345"/>
    </row>
    <row r="1089" spans="1:18" x14ac:dyDescent="0.2">
      <c r="A1089" s="363" t="s">
        <v>16</v>
      </c>
      <c r="B1089" s="364">
        <v>2009</v>
      </c>
      <c r="C1089" s="365">
        <v>2010</v>
      </c>
      <c r="D1089" s="365">
        <v>2011</v>
      </c>
      <c r="E1089" s="365">
        <v>2012</v>
      </c>
      <c r="F1089" s="365">
        <v>2013</v>
      </c>
      <c r="G1089" s="365">
        <v>2014</v>
      </c>
      <c r="H1089" s="365">
        <v>2015</v>
      </c>
      <c r="I1089" s="365">
        <v>2016</v>
      </c>
      <c r="J1089" s="406">
        <v>2017</v>
      </c>
      <c r="K1089" s="406">
        <v>2018</v>
      </c>
      <c r="L1089" s="406">
        <v>2019</v>
      </c>
      <c r="M1089" s="406">
        <v>2020</v>
      </c>
      <c r="N1089" s="365">
        <v>2021</v>
      </c>
      <c r="O1089" s="365">
        <v>2022</v>
      </c>
      <c r="P1089" s="365">
        <v>2023</v>
      </c>
      <c r="Q1089" s="365">
        <v>2024</v>
      </c>
      <c r="R1089" s="365">
        <v>2025</v>
      </c>
    </row>
    <row r="1090" spans="1:18" x14ac:dyDescent="0.2">
      <c r="A1090" s="366" t="s">
        <v>17</v>
      </c>
      <c r="B1090" s="386">
        <v>1080</v>
      </c>
      <c r="C1090" s="386">
        <v>901</v>
      </c>
      <c r="D1090" s="386">
        <v>901</v>
      </c>
      <c r="E1090" s="386">
        <v>901</v>
      </c>
      <c r="F1090" s="386">
        <v>901</v>
      </c>
      <c r="G1090" s="386">
        <v>901</v>
      </c>
      <c r="H1090" s="386">
        <v>901</v>
      </c>
      <c r="I1090" s="386">
        <v>901</v>
      </c>
      <c r="J1090" s="386">
        <v>901</v>
      </c>
      <c r="K1090" s="386">
        <v>901</v>
      </c>
      <c r="L1090" s="386">
        <v>901</v>
      </c>
      <c r="M1090" s="386">
        <v>901</v>
      </c>
      <c r="N1090" s="367">
        <v>901</v>
      </c>
      <c r="O1090" s="367">
        <v>901</v>
      </c>
      <c r="P1090" s="367">
        <v>901</v>
      </c>
      <c r="Q1090" s="367">
        <v>901</v>
      </c>
      <c r="R1090" s="367">
        <v>901</v>
      </c>
    </row>
    <row r="1091" spans="1:18" x14ac:dyDescent="0.2">
      <c r="A1091" s="366" t="s">
        <v>18</v>
      </c>
      <c r="B1091" s="386">
        <v>1775.91</v>
      </c>
      <c r="C1091" s="386">
        <v>1651</v>
      </c>
      <c r="D1091" s="386">
        <v>851</v>
      </c>
      <c r="E1091" s="386">
        <v>1288.26477</v>
      </c>
      <c r="F1091" s="386">
        <v>425.70000000000005</v>
      </c>
      <c r="G1091" s="386">
        <v>1298.56477</v>
      </c>
      <c r="H1091" s="386">
        <v>318.5</v>
      </c>
      <c r="I1091" s="386">
        <v>1359.46477</v>
      </c>
      <c r="J1091" s="386">
        <v>999.7</v>
      </c>
      <c r="K1091" s="386">
        <v>1339.56477</v>
      </c>
      <c r="L1091" s="386">
        <v>1191.2</v>
      </c>
      <c r="M1091" s="386">
        <v>1451</v>
      </c>
      <c r="N1091" s="386">
        <v>1380.1631280000001</v>
      </c>
      <c r="O1091" s="386">
        <f>O1090+600-50</f>
        <v>1451</v>
      </c>
      <c r="P1091" s="386">
        <f>P1090+600-50</f>
        <v>1451</v>
      </c>
      <c r="Q1091" s="386">
        <f>Q1090+600-50</f>
        <v>1451</v>
      </c>
      <c r="R1091" s="386">
        <f>R1090+600-50</f>
        <v>1451</v>
      </c>
    </row>
    <row r="1092" spans="1:18" x14ac:dyDescent="0.2">
      <c r="A1092" s="366" t="s">
        <v>19</v>
      </c>
      <c r="B1092" s="386"/>
      <c r="C1092" s="386"/>
      <c r="D1092" s="386"/>
      <c r="E1092" s="386"/>
      <c r="F1092" s="386"/>
      <c r="G1092" s="386"/>
      <c r="H1092" s="386"/>
      <c r="I1092" s="386"/>
      <c r="J1092" s="386"/>
      <c r="K1092" s="386"/>
      <c r="L1092" s="386"/>
      <c r="M1092" s="386"/>
      <c r="N1092" s="367"/>
      <c r="O1092" s="367"/>
      <c r="P1092" s="367"/>
      <c r="Q1092" s="367"/>
      <c r="R1092" s="367"/>
    </row>
    <row r="1093" spans="1:18" x14ac:dyDescent="0.2">
      <c r="A1093" s="366" t="s">
        <v>20</v>
      </c>
      <c r="B1093" s="386">
        <v>900.11276999999995</v>
      </c>
      <c r="C1093" s="386">
        <v>1213.73523</v>
      </c>
      <c r="D1093" s="386">
        <v>1276.3</v>
      </c>
      <c r="E1093" s="386">
        <v>840.7</v>
      </c>
      <c r="F1093" s="386">
        <v>958.2</v>
      </c>
      <c r="G1093" s="386">
        <v>790.1</v>
      </c>
      <c r="H1093" s="386">
        <v>569.79999999999995</v>
      </c>
      <c r="I1093" s="386">
        <v>870.9</v>
      </c>
      <c r="J1093" s="386">
        <v>659.5</v>
      </c>
      <c r="K1093" s="386">
        <v>698</v>
      </c>
      <c r="L1093" s="386">
        <v>662.0368719999999</v>
      </c>
      <c r="M1093" s="386">
        <v>444</v>
      </c>
      <c r="N1093" s="367">
        <v>659</v>
      </c>
      <c r="O1093" s="367">
        <v>516.5</v>
      </c>
      <c r="P1093" s="367">
        <v>332.1</v>
      </c>
      <c r="Q1093" s="367">
        <v>374.07</v>
      </c>
      <c r="R1093" s="367" t="s">
        <v>1145</v>
      </c>
    </row>
    <row r="1094" spans="1:18" x14ac:dyDescent="0.2">
      <c r="A1094" s="366" t="s">
        <v>21</v>
      </c>
      <c r="B1094" s="386">
        <v>875.79723000000013</v>
      </c>
      <c r="C1094" s="386">
        <v>437.26477</v>
      </c>
      <c r="D1094" s="386">
        <v>425.3</v>
      </c>
      <c r="E1094" s="386">
        <v>447.56476999999995</v>
      </c>
      <c r="F1094" s="386">
        <v>532.5</v>
      </c>
      <c r="G1094" s="386">
        <v>508.46476999999993</v>
      </c>
      <c r="H1094" s="386">
        <v>148.70000000000005</v>
      </c>
      <c r="I1094" s="386">
        <v>488.56477000000007</v>
      </c>
      <c r="J1094" s="386">
        <v>340.20000000000005</v>
      </c>
      <c r="K1094" s="386">
        <v>641.56476999999995</v>
      </c>
      <c r="L1094" s="386">
        <v>529.16312800000014</v>
      </c>
      <c r="M1094" s="386">
        <f>M1091-M1093</f>
        <v>1007</v>
      </c>
      <c r="N1094" s="367">
        <f>N1091-N1093</f>
        <v>721.16312800000014</v>
      </c>
      <c r="O1094" s="367">
        <f>O1091-O1093</f>
        <v>934.5</v>
      </c>
      <c r="P1094" s="367">
        <f>P1091-P1093</f>
        <v>1118.9000000000001</v>
      </c>
      <c r="Q1094" s="367">
        <f>Q1091-Q1093</f>
        <v>1076.93</v>
      </c>
      <c r="R1094" s="367" t="s">
        <v>1145</v>
      </c>
    </row>
    <row r="1095" spans="1:18" x14ac:dyDescent="0.2">
      <c r="A1095" s="370" t="s">
        <v>22</v>
      </c>
      <c r="B1095" s="387">
        <v>2011</v>
      </c>
      <c r="C1095" s="387">
        <v>2012</v>
      </c>
      <c r="D1095" s="387">
        <v>2013</v>
      </c>
      <c r="E1095" s="387">
        <v>2014</v>
      </c>
      <c r="F1095" s="387">
        <v>2015</v>
      </c>
      <c r="G1095" s="387">
        <v>2016</v>
      </c>
      <c r="H1095" s="387">
        <v>2017</v>
      </c>
      <c r="I1095" s="387">
        <v>2018</v>
      </c>
      <c r="J1095" s="387">
        <v>2019</v>
      </c>
      <c r="K1095" s="387">
        <v>2020</v>
      </c>
      <c r="L1095" s="387">
        <v>2021</v>
      </c>
      <c r="M1095" s="387">
        <v>2022</v>
      </c>
      <c r="N1095" s="387">
        <v>2023</v>
      </c>
      <c r="O1095" s="387">
        <v>2024</v>
      </c>
      <c r="P1095" s="387">
        <v>2025</v>
      </c>
      <c r="Q1095" s="387">
        <v>2026</v>
      </c>
      <c r="R1095" s="387">
        <v>2027</v>
      </c>
    </row>
    <row r="1096" spans="1:18" x14ac:dyDescent="0.2">
      <c r="A1096" s="370" t="s">
        <v>179</v>
      </c>
      <c r="B1096" s="423"/>
      <c r="C1096" s="423"/>
      <c r="D1096" s="423"/>
      <c r="E1096" s="423"/>
      <c r="F1096" s="423"/>
      <c r="G1096" s="423"/>
      <c r="H1096" s="423"/>
      <c r="I1096" s="423"/>
      <c r="J1096" s="423"/>
      <c r="K1096" s="423"/>
      <c r="L1096" s="423"/>
      <c r="M1096" s="423"/>
      <c r="N1096" s="423"/>
      <c r="O1096" s="423"/>
      <c r="P1096" s="423"/>
      <c r="Q1096" s="423"/>
      <c r="R1096" s="424"/>
    </row>
    <row r="1097" spans="1:18" x14ac:dyDescent="0.2">
      <c r="A1097" s="370" t="s">
        <v>416</v>
      </c>
      <c r="B1097" s="423"/>
      <c r="C1097" s="423"/>
      <c r="D1097" s="423"/>
      <c r="E1097" s="423"/>
      <c r="F1097" s="423"/>
      <c r="G1097" s="423"/>
      <c r="H1097" s="423"/>
      <c r="I1097" s="423"/>
      <c r="J1097" s="423"/>
      <c r="K1097" s="423"/>
      <c r="L1097" s="423"/>
      <c r="M1097" s="423"/>
      <c r="N1097" s="423"/>
      <c r="O1097" s="423"/>
      <c r="P1097" s="423"/>
      <c r="Q1097" s="423"/>
      <c r="R1097" s="424"/>
    </row>
    <row r="1098" spans="1:18" x14ac:dyDescent="0.2">
      <c r="A1098" s="377" t="s">
        <v>417</v>
      </c>
      <c r="B1098" s="345"/>
      <c r="C1098" s="345"/>
      <c r="D1098" s="345"/>
      <c r="E1098" s="345"/>
      <c r="F1098" s="345"/>
      <c r="G1098" s="345"/>
      <c r="H1098" s="345"/>
      <c r="I1098" s="345"/>
      <c r="J1098" s="345"/>
      <c r="K1098" s="345"/>
      <c r="L1098" s="345"/>
      <c r="M1098" s="345"/>
      <c r="N1098" s="345"/>
      <c r="O1098" s="345"/>
      <c r="P1098" s="345"/>
      <c r="Q1098" s="345"/>
      <c r="R1098" s="416"/>
    </row>
    <row r="1099" spans="1:18" x14ac:dyDescent="0.2">
      <c r="A1099" s="377" t="s">
        <v>418</v>
      </c>
      <c r="B1099" s="345"/>
      <c r="C1099" s="345"/>
      <c r="D1099" s="345"/>
      <c r="E1099" s="345"/>
      <c r="F1099" s="345"/>
      <c r="G1099" s="345"/>
      <c r="H1099" s="345"/>
      <c r="I1099" s="345"/>
      <c r="J1099" s="345"/>
      <c r="K1099" s="345"/>
      <c r="L1099" s="345"/>
      <c r="M1099" s="345"/>
      <c r="N1099" s="345"/>
      <c r="O1099" s="345"/>
      <c r="P1099" s="345"/>
      <c r="Q1099" s="345"/>
      <c r="R1099" s="416"/>
    </row>
    <row r="1100" spans="1:18" x14ac:dyDescent="0.2">
      <c r="A1100" s="377" t="s">
        <v>419</v>
      </c>
      <c r="B1100" s="345"/>
      <c r="C1100" s="345"/>
      <c r="D1100" s="345"/>
      <c r="E1100" s="345"/>
      <c r="F1100" s="345"/>
      <c r="G1100" s="345"/>
      <c r="H1100" s="345"/>
      <c r="I1100" s="345"/>
      <c r="J1100" s="345"/>
      <c r="K1100" s="345"/>
      <c r="L1100" s="345"/>
      <c r="M1100" s="345"/>
      <c r="N1100" s="345"/>
      <c r="O1100" s="345"/>
      <c r="P1100" s="345"/>
      <c r="Q1100" s="345"/>
      <c r="R1100" s="416"/>
    </row>
    <row r="1101" spans="1:18" x14ac:dyDescent="0.2">
      <c r="A1101" s="377" t="s">
        <v>420</v>
      </c>
      <c r="B1101" s="379"/>
      <c r="C1101" s="381"/>
      <c r="D1101" s="380"/>
      <c r="E1101" s="345"/>
      <c r="F1101" s="345"/>
      <c r="G1101" s="381"/>
      <c r="H1101" s="345"/>
      <c r="I1101" s="345"/>
      <c r="J1101" s="345"/>
      <c r="K1101" s="345"/>
      <c r="L1101" s="345"/>
      <c r="M1101" s="345"/>
      <c r="N1101" s="345"/>
      <c r="O1101" s="345"/>
      <c r="P1101" s="345"/>
      <c r="Q1101" s="345"/>
      <c r="R1101" s="416"/>
    </row>
    <row r="1102" spans="1:18" x14ac:dyDescent="0.2">
      <c r="A1102" s="377" t="s">
        <v>421</v>
      </c>
      <c r="B1102" s="345"/>
      <c r="C1102" s="345"/>
      <c r="D1102" s="345"/>
      <c r="E1102" s="345"/>
      <c r="F1102" s="345"/>
      <c r="G1102" s="381"/>
      <c r="H1102" s="345"/>
      <c r="I1102" s="345"/>
      <c r="J1102" s="345"/>
      <c r="K1102" s="345"/>
      <c r="L1102" s="345"/>
      <c r="M1102" s="345"/>
      <c r="N1102" s="345"/>
      <c r="O1102" s="345"/>
      <c r="P1102" s="345"/>
      <c r="Q1102" s="345"/>
      <c r="R1102" s="416"/>
    </row>
    <row r="1103" spans="1:18" x14ac:dyDescent="0.2">
      <c r="A1103" s="377" t="s">
        <v>422</v>
      </c>
      <c r="B1103" s="345"/>
      <c r="C1103" s="345"/>
      <c r="D1103" s="345"/>
      <c r="E1103" s="345"/>
      <c r="F1103" s="345"/>
      <c r="G1103" s="381"/>
      <c r="H1103" s="345"/>
      <c r="I1103" s="345"/>
      <c r="J1103" s="345"/>
      <c r="K1103" s="345"/>
      <c r="L1103" s="345"/>
      <c r="M1103" s="345"/>
      <c r="N1103" s="345"/>
      <c r="O1103" s="345"/>
      <c r="P1103" s="345"/>
      <c r="Q1103" s="345"/>
      <c r="R1103" s="416"/>
    </row>
    <row r="1104" spans="1:18" x14ac:dyDescent="0.2">
      <c r="A1104" s="377" t="s">
        <v>423</v>
      </c>
      <c r="B1104" s="345"/>
      <c r="C1104" s="345"/>
      <c r="D1104" s="345"/>
      <c r="E1104" s="345"/>
      <c r="F1104" s="345"/>
      <c r="G1104" s="381"/>
      <c r="H1104" s="345"/>
      <c r="I1104" s="345"/>
      <c r="J1104" s="345"/>
      <c r="K1104" s="345"/>
      <c r="L1104" s="345"/>
      <c r="M1104" s="345"/>
      <c r="N1104" s="345"/>
      <c r="O1104" s="345"/>
      <c r="P1104" s="345"/>
      <c r="Q1104" s="345"/>
      <c r="R1104" s="416"/>
    </row>
    <row r="1105" spans="1:18" x14ac:dyDescent="0.2">
      <c r="A1105" s="417" t="s">
        <v>424</v>
      </c>
      <c r="B1105" s="345"/>
      <c r="C1105" s="345"/>
      <c r="D1105" s="345"/>
      <c r="E1105" s="345"/>
      <c r="F1105" s="345"/>
      <c r="G1105" s="418"/>
      <c r="H1105" s="345"/>
      <c r="I1105" s="345"/>
      <c r="J1105" s="345"/>
      <c r="K1105" s="345"/>
      <c r="L1105" s="345"/>
      <c r="M1105" s="345"/>
      <c r="N1105" s="345"/>
      <c r="O1105" s="345"/>
      <c r="P1105" s="345"/>
      <c r="Q1105" s="345"/>
      <c r="R1105" s="416"/>
    </row>
    <row r="1106" spans="1:18" x14ac:dyDescent="0.2">
      <c r="A1106" s="394" t="s">
        <v>228</v>
      </c>
      <c r="B1106" s="345"/>
      <c r="C1106" s="345"/>
      <c r="D1106" s="345"/>
      <c r="E1106" s="345"/>
      <c r="F1106" s="345"/>
      <c r="G1106" s="345"/>
      <c r="H1106" s="345"/>
      <c r="I1106" s="345"/>
      <c r="J1106" s="345"/>
      <c r="K1106" s="345"/>
      <c r="L1106" s="345"/>
      <c r="M1106" s="345"/>
      <c r="N1106" s="345"/>
      <c r="O1106" s="345"/>
      <c r="P1106" s="345"/>
      <c r="Q1106" s="345"/>
      <c r="R1106" s="416"/>
    </row>
    <row r="1107" spans="1:18" x14ac:dyDescent="0.2">
      <c r="A1107" s="394" t="s">
        <v>229</v>
      </c>
      <c r="B1107" s="345"/>
      <c r="C1107" s="345"/>
      <c r="D1107" s="345"/>
      <c r="E1107" s="345"/>
      <c r="F1107" s="345"/>
      <c r="G1107" s="345"/>
      <c r="H1107" s="345"/>
      <c r="I1107" s="345"/>
      <c r="J1107" s="345"/>
      <c r="K1107" s="345"/>
      <c r="L1107" s="345"/>
      <c r="M1107" s="345"/>
      <c r="N1107" s="345"/>
      <c r="O1107" s="345"/>
      <c r="P1107" s="345"/>
      <c r="Q1107" s="345"/>
      <c r="R1107" s="416"/>
    </row>
    <row r="1108" spans="1:18" x14ac:dyDescent="0.2">
      <c r="A1108" s="394" t="s">
        <v>425</v>
      </c>
      <c r="B1108" s="345"/>
      <c r="C1108" s="345"/>
      <c r="D1108" s="345"/>
      <c r="E1108" s="345"/>
      <c r="F1108" s="345"/>
      <c r="G1108" s="345"/>
      <c r="H1108" s="345"/>
      <c r="I1108" s="345"/>
      <c r="J1108" s="345"/>
      <c r="K1108" s="345"/>
      <c r="L1108" s="345"/>
      <c r="M1108" s="345"/>
      <c r="N1108" s="345"/>
      <c r="O1108" s="345"/>
      <c r="P1108" s="345"/>
      <c r="Q1108" s="345"/>
      <c r="R1108" s="416"/>
    </row>
    <row r="1109" spans="1:18" x14ac:dyDescent="0.2">
      <c r="A1109" s="394" t="s">
        <v>640</v>
      </c>
      <c r="B1109" s="345"/>
      <c r="C1109" s="345"/>
      <c r="D1109" s="345"/>
      <c r="E1109" s="345"/>
      <c r="F1109" s="345"/>
      <c r="G1109" s="345"/>
      <c r="H1109" s="345"/>
      <c r="I1109" s="345"/>
      <c r="J1109" s="345"/>
      <c r="K1109" s="345"/>
      <c r="L1109" s="345"/>
      <c r="M1109" s="345"/>
      <c r="N1109" s="345"/>
      <c r="O1109" s="345"/>
      <c r="P1109" s="345"/>
      <c r="Q1109" s="345"/>
      <c r="R1109" s="416"/>
    </row>
    <row r="1110" spans="1:18" x14ac:dyDescent="0.2">
      <c r="A1110" s="394" t="s">
        <v>808</v>
      </c>
      <c r="B1110" s="345"/>
      <c r="C1110" s="345"/>
      <c r="D1110" s="345"/>
      <c r="E1110" s="345"/>
      <c r="F1110" s="345"/>
      <c r="G1110" s="345"/>
      <c r="H1110" s="345"/>
      <c r="I1110" s="345"/>
      <c r="J1110" s="345"/>
      <c r="K1110" s="345"/>
      <c r="L1110" s="345"/>
      <c r="M1110" s="345"/>
      <c r="N1110" s="345"/>
      <c r="O1110" s="345"/>
      <c r="P1110" s="345"/>
      <c r="Q1110" s="345"/>
      <c r="R1110" s="416"/>
    </row>
    <row r="1111" spans="1:18" x14ac:dyDescent="0.2">
      <c r="A1111" s="394" t="s">
        <v>1043</v>
      </c>
      <c r="B1111" s="345"/>
      <c r="C1111" s="345"/>
      <c r="D1111" s="345"/>
      <c r="E1111" s="345"/>
      <c r="F1111" s="345"/>
      <c r="G1111" s="345"/>
      <c r="H1111" s="345"/>
      <c r="I1111" s="345"/>
      <c r="J1111" s="345"/>
      <c r="K1111" s="345"/>
      <c r="L1111" s="345"/>
      <c r="M1111" s="345"/>
      <c r="N1111" s="345"/>
      <c r="O1111" s="345"/>
      <c r="P1111" s="345"/>
      <c r="Q1111" s="345"/>
      <c r="R1111" s="416"/>
    </row>
    <row r="1112" spans="1:18" x14ac:dyDescent="0.2">
      <c r="A1112" s="425" t="s">
        <v>1092</v>
      </c>
      <c r="B1112" s="383"/>
      <c r="C1112" s="383"/>
      <c r="D1112" s="383"/>
      <c r="E1112" s="383"/>
      <c r="F1112" s="383"/>
      <c r="G1112" s="383"/>
      <c r="H1112" s="383"/>
      <c r="I1112" s="383"/>
      <c r="J1112" s="383"/>
      <c r="K1112" s="383"/>
      <c r="L1112" s="383"/>
      <c r="M1112" s="383"/>
      <c r="N1112" s="383"/>
      <c r="O1112" s="383"/>
      <c r="P1112" s="383"/>
      <c r="Q1112" s="383"/>
      <c r="R1112" s="422"/>
    </row>
    <row r="1113" spans="1:18" x14ac:dyDescent="0.2">
      <c r="A1113" s="318"/>
      <c r="C1113" s="354"/>
    </row>
    <row r="1114" spans="1:18" x14ac:dyDescent="0.2">
      <c r="A1114" s="358" t="s">
        <v>14</v>
      </c>
      <c r="B1114" s="359" t="s">
        <v>642</v>
      </c>
      <c r="C1114" s="426" t="s">
        <v>15</v>
      </c>
      <c r="D1114" s="345"/>
      <c r="E1114" s="345"/>
      <c r="F1114" s="345"/>
      <c r="G1114" s="345"/>
      <c r="H1114" s="345"/>
      <c r="I1114" s="345"/>
      <c r="J1114" s="345"/>
      <c r="K1114" s="345"/>
      <c r="L1114" s="345"/>
      <c r="M1114" s="345"/>
    </row>
    <row r="1115" spans="1:18" s="50" customFormat="1" ht="15" x14ac:dyDescent="0.25">
      <c r="A1115" s="366" t="s">
        <v>16</v>
      </c>
      <c r="B1115" s="365">
        <v>2009</v>
      </c>
      <c r="C1115" s="365">
        <v>2010</v>
      </c>
      <c r="D1115" s="365">
        <v>2011</v>
      </c>
      <c r="E1115" s="365">
        <v>2012</v>
      </c>
      <c r="F1115" s="365">
        <v>2013</v>
      </c>
      <c r="G1115" s="365">
        <v>2014</v>
      </c>
      <c r="H1115" s="365">
        <v>2015</v>
      </c>
      <c r="I1115" s="365">
        <v>2016</v>
      </c>
      <c r="J1115" s="365">
        <v>2017</v>
      </c>
      <c r="K1115" s="365">
        <v>2018</v>
      </c>
      <c r="L1115" s="365">
        <v>2019</v>
      </c>
      <c r="M1115" s="365">
        <v>2020</v>
      </c>
      <c r="N1115" s="365">
        <v>2021</v>
      </c>
      <c r="O1115" s="365">
        <v>2022</v>
      </c>
      <c r="P1115" s="365">
        <v>2023</v>
      </c>
      <c r="Q1115" s="365">
        <v>2024</v>
      </c>
      <c r="R1115" s="365">
        <v>2025</v>
      </c>
    </row>
    <row r="1116" spans="1:18" s="50" customFormat="1" ht="15" x14ac:dyDescent="0.25">
      <c r="A1116" s="366" t="s">
        <v>17</v>
      </c>
      <c r="B1116" s="427">
        <v>1871.44</v>
      </c>
      <c r="C1116" s="427">
        <v>1148.05</v>
      </c>
      <c r="D1116" s="427">
        <v>1097.03</v>
      </c>
      <c r="E1116" s="427">
        <v>1097.03</v>
      </c>
      <c r="F1116" s="427">
        <v>1139.55</v>
      </c>
      <c r="G1116" s="427">
        <v>1139.55</v>
      </c>
      <c r="H1116" s="427">
        <v>1345.44</v>
      </c>
      <c r="I1116" s="427">
        <v>1608.21</v>
      </c>
      <c r="J1116" s="427">
        <v>1930.88</v>
      </c>
      <c r="K1116" s="427">
        <v>2279</v>
      </c>
      <c r="L1116" s="427">
        <v>2544</v>
      </c>
      <c r="M1116" s="427">
        <v>2819</v>
      </c>
      <c r="N1116" s="386">
        <v>2819</v>
      </c>
      <c r="O1116" s="386">
        <v>2819</v>
      </c>
      <c r="P1116" s="386">
        <v>3114</v>
      </c>
      <c r="Q1116" s="386">
        <v>3114</v>
      </c>
      <c r="R1116" s="386">
        <v>3114</v>
      </c>
    </row>
    <row r="1117" spans="1:18" s="50" customFormat="1" ht="15" x14ac:dyDescent="0.25">
      <c r="A1117" s="366" t="s">
        <v>18</v>
      </c>
      <c r="B1117" s="427">
        <v>1871.44</v>
      </c>
      <c r="C1117" s="427">
        <v>1148.05</v>
      </c>
      <c r="D1117" s="427">
        <v>1097.03</v>
      </c>
      <c r="E1117" s="427">
        <v>1097.03</v>
      </c>
      <c r="F1117" s="427">
        <v>1139.55</v>
      </c>
      <c r="G1117" s="427">
        <v>1139.55</v>
      </c>
      <c r="H1117" s="427">
        <v>1390.44</v>
      </c>
      <c r="I1117" s="427">
        <v>1583.21</v>
      </c>
      <c r="J1117" s="427">
        <v>1910.88</v>
      </c>
      <c r="K1117" s="427">
        <v>2279</v>
      </c>
      <c r="L1117" s="427">
        <v>2544</v>
      </c>
      <c r="M1117" s="427">
        <v>2839.27</v>
      </c>
      <c r="N1117" s="386">
        <f>N1116+M1120</f>
        <v>2876.6439600000003</v>
      </c>
      <c r="O1117" s="386">
        <f>O1116+N1120</f>
        <v>2915.6539600000006</v>
      </c>
      <c r="P1117" s="386">
        <f>P1116+O1120</f>
        <v>3158.3939600000003</v>
      </c>
      <c r="Q1117" s="386">
        <v>3184.4</v>
      </c>
      <c r="R1117" s="386">
        <v>3269.7</v>
      </c>
    </row>
    <row r="1118" spans="1:18" s="50" customFormat="1" ht="15" x14ac:dyDescent="0.25">
      <c r="A1118" s="366" t="s">
        <v>19</v>
      </c>
      <c r="B1118" s="386"/>
      <c r="C1118" s="386"/>
      <c r="D1118" s="386"/>
      <c r="E1118" s="386"/>
      <c r="F1118" s="386"/>
      <c r="G1118" s="386"/>
      <c r="H1118" s="386"/>
      <c r="I1118" s="386"/>
      <c r="J1118" s="386"/>
      <c r="K1118" s="386"/>
      <c r="L1118" s="386"/>
      <c r="M1118" s="386"/>
      <c r="N1118" s="386"/>
      <c r="O1118" s="386"/>
      <c r="P1118" s="386"/>
      <c r="Q1118" s="386"/>
      <c r="R1118" s="386"/>
    </row>
    <row r="1119" spans="1:18" s="50" customFormat="1" ht="15" x14ac:dyDescent="0.25">
      <c r="A1119" s="366" t="s">
        <v>20</v>
      </c>
      <c r="B1119" s="427">
        <v>1858.2</v>
      </c>
      <c r="C1119" s="386">
        <v>1139.2777599999999</v>
      </c>
      <c r="D1119" s="386">
        <v>1088.8235599999998</v>
      </c>
      <c r="E1119" s="386">
        <v>1092.5993599999999</v>
      </c>
      <c r="F1119" s="386">
        <v>1128.97</v>
      </c>
      <c r="G1119" s="386">
        <v>1134.47</v>
      </c>
      <c r="H1119" s="386">
        <v>1385.92</v>
      </c>
      <c r="I1119" s="386">
        <v>1578.37</v>
      </c>
      <c r="J1119" s="386">
        <v>1910.65104</v>
      </c>
      <c r="K1119" s="386">
        <v>2269.7609000000002</v>
      </c>
      <c r="L1119" s="386">
        <v>2523.73</v>
      </c>
      <c r="M1119" s="386">
        <v>2781.6260399999996</v>
      </c>
      <c r="N1119" s="386">
        <v>2779.99</v>
      </c>
      <c r="O1119" s="386">
        <v>2871.26</v>
      </c>
      <c r="P1119" s="386">
        <v>3087.99</v>
      </c>
      <c r="Q1119" s="386">
        <v>2988.88</v>
      </c>
      <c r="R1119" s="386" t="s">
        <v>1145</v>
      </c>
    </row>
    <row r="1120" spans="1:18" s="50" customFormat="1" ht="15" x14ac:dyDescent="0.25">
      <c r="A1120" s="366" t="s">
        <v>21</v>
      </c>
      <c r="B1120" s="386">
        <v>13.240000000000009</v>
      </c>
      <c r="C1120" s="386">
        <v>8.7722400000000107</v>
      </c>
      <c r="D1120" s="386">
        <v>8.2064400000001569</v>
      </c>
      <c r="E1120" s="386">
        <v>4.4306400000000394</v>
      </c>
      <c r="F1120" s="386">
        <v>10.579999999999927</v>
      </c>
      <c r="G1120" s="386">
        <v>5.0799999999999272</v>
      </c>
      <c r="H1120" s="386">
        <v>4.5199999999999818</v>
      </c>
      <c r="I1120" s="386">
        <v>4.8400000000001455</v>
      </c>
      <c r="J1120" s="386">
        <v>0.22896000000014283</v>
      </c>
      <c r="K1120" s="386">
        <v>9.2390999999997803</v>
      </c>
      <c r="L1120" s="386">
        <v>20.269999999999982</v>
      </c>
      <c r="M1120" s="386">
        <v>57.643960000000334</v>
      </c>
      <c r="N1120" s="386">
        <f>N1117-N1119</f>
        <v>96.653960000000552</v>
      </c>
      <c r="O1120" s="386">
        <f>O1117-O1119</f>
        <v>44.393960000000334</v>
      </c>
      <c r="P1120" s="386">
        <f>P1117-P1119</f>
        <v>70.403960000000552</v>
      </c>
      <c r="Q1120" s="386">
        <v>195.51999999999998</v>
      </c>
      <c r="R1120" s="386" t="s">
        <v>1145</v>
      </c>
    </row>
    <row r="1121" spans="1:18" s="50" customFormat="1" ht="15" x14ac:dyDescent="0.25">
      <c r="A1121" s="370" t="s">
        <v>22</v>
      </c>
      <c r="B1121" s="387"/>
      <c r="C1121" s="387"/>
      <c r="D1121" s="387"/>
      <c r="E1121" s="387"/>
      <c r="F1121" s="387"/>
      <c r="G1121" s="387"/>
      <c r="H1121" s="387"/>
      <c r="I1121" s="387"/>
      <c r="J1121" s="387"/>
      <c r="K1121" s="387"/>
      <c r="L1121" s="387">
        <v>2020</v>
      </c>
      <c r="M1121" s="387">
        <v>2021</v>
      </c>
      <c r="N1121" s="387">
        <v>2022</v>
      </c>
      <c r="O1121" s="387">
        <v>2023</v>
      </c>
      <c r="P1121" s="387">
        <v>2024</v>
      </c>
      <c r="Q1121" s="387">
        <v>2025</v>
      </c>
      <c r="R1121" s="386"/>
    </row>
    <row r="1122" spans="1:18" s="50" customFormat="1" ht="15" x14ac:dyDescent="0.25">
      <c r="A1122" s="389" t="s">
        <v>179</v>
      </c>
      <c r="B1122" s="390"/>
      <c r="C1122" s="390"/>
      <c r="D1122" s="390"/>
      <c r="E1122" s="390"/>
      <c r="F1122" s="390"/>
      <c r="G1122" s="390"/>
      <c r="H1122" s="390"/>
      <c r="I1122" s="390"/>
      <c r="J1122" s="390"/>
      <c r="K1122" s="390"/>
      <c r="L1122" s="390"/>
      <c r="M1122" s="390"/>
      <c r="N1122" s="390"/>
      <c r="O1122" s="390"/>
      <c r="P1122" s="390"/>
      <c r="Q1122" s="390"/>
      <c r="R1122" s="428"/>
    </row>
    <row r="1123" spans="1:18" s="50" customFormat="1" ht="15" x14ac:dyDescent="0.25">
      <c r="A1123" s="373" t="s">
        <v>192</v>
      </c>
      <c r="B1123" s="375"/>
      <c r="C1123" s="375"/>
      <c r="D1123" s="375"/>
      <c r="E1123" s="375"/>
      <c r="F1123" s="375"/>
      <c r="G1123" s="375"/>
      <c r="H1123" s="375"/>
      <c r="I1123" s="375"/>
      <c r="J1123" s="375"/>
      <c r="K1123" s="375"/>
      <c r="L1123" s="375"/>
      <c r="M1123" s="375"/>
      <c r="N1123" s="375"/>
      <c r="O1123" s="375"/>
      <c r="P1123" s="375"/>
      <c r="Q1123" s="375"/>
      <c r="R1123" s="55"/>
    </row>
    <row r="1124" spans="1:18" s="50" customFormat="1" ht="15" x14ac:dyDescent="0.25">
      <c r="A1124" s="377" t="s">
        <v>193</v>
      </c>
      <c r="B1124" s="345"/>
      <c r="C1124" s="345"/>
      <c r="D1124" s="345"/>
      <c r="E1124" s="345"/>
      <c r="F1124" s="345"/>
      <c r="G1124" s="345"/>
      <c r="H1124" s="345"/>
      <c r="I1124" s="345"/>
      <c r="J1124" s="345"/>
      <c r="K1124" s="345"/>
      <c r="L1124" s="345"/>
      <c r="M1124" s="345"/>
      <c r="N1124" s="345"/>
      <c r="O1124" s="345"/>
      <c r="P1124" s="345"/>
      <c r="Q1124" s="345"/>
      <c r="R1124" s="57"/>
    </row>
    <row r="1125" spans="1:18" s="50" customFormat="1" ht="15" x14ac:dyDescent="0.25">
      <c r="A1125" s="377" t="s">
        <v>194</v>
      </c>
      <c r="B1125" s="345"/>
      <c r="C1125" s="345"/>
      <c r="D1125" s="345"/>
      <c r="E1125" s="345"/>
      <c r="F1125" s="345"/>
      <c r="G1125" s="345"/>
      <c r="H1125" s="345"/>
      <c r="I1125" s="345"/>
      <c r="J1125" s="345"/>
      <c r="K1125" s="345"/>
      <c r="L1125" s="345"/>
      <c r="M1125" s="345"/>
      <c r="N1125" s="345"/>
      <c r="O1125" s="345"/>
      <c r="P1125" s="345"/>
      <c r="Q1125" s="345"/>
      <c r="R1125" s="57"/>
    </row>
    <row r="1126" spans="1:18" s="50" customFormat="1" ht="15" x14ac:dyDescent="0.25">
      <c r="A1126" s="377" t="s">
        <v>195</v>
      </c>
      <c r="B1126" s="345"/>
      <c r="C1126" s="345"/>
      <c r="D1126" s="345"/>
      <c r="E1126" s="345"/>
      <c r="F1126" s="345"/>
      <c r="G1126" s="345"/>
      <c r="H1126" s="345"/>
      <c r="I1126" s="345"/>
      <c r="J1126" s="345"/>
      <c r="K1126" s="345"/>
      <c r="L1126" s="345"/>
      <c r="M1126" s="345"/>
      <c r="N1126" s="345"/>
      <c r="O1126" s="345"/>
      <c r="P1126" s="345"/>
      <c r="Q1126" s="345"/>
      <c r="R1126" s="57"/>
    </row>
    <row r="1127" spans="1:18" s="50" customFormat="1" ht="15" x14ac:dyDescent="0.25">
      <c r="A1127" s="394" t="s">
        <v>230</v>
      </c>
      <c r="B1127" s="379"/>
      <c r="C1127" s="381"/>
      <c r="D1127" s="380"/>
      <c r="E1127" s="345"/>
      <c r="F1127" s="345"/>
      <c r="G1127" s="381"/>
      <c r="H1127" s="345"/>
      <c r="I1127" s="345"/>
      <c r="J1127" s="345"/>
      <c r="K1127" s="345"/>
      <c r="L1127" s="345"/>
      <c r="M1127" s="345"/>
      <c r="N1127" s="345"/>
      <c r="O1127" s="345"/>
      <c r="P1127" s="345"/>
      <c r="Q1127" s="345"/>
      <c r="R1127" s="57"/>
    </row>
    <row r="1128" spans="1:18" s="50" customFormat="1" ht="15" x14ac:dyDescent="0.25">
      <c r="A1128" s="394" t="s">
        <v>272</v>
      </c>
      <c r="B1128" s="379"/>
      <c r="C1128" s="381"/>
      <c r="D1128" s="380"/>
      <c r="E1128" s="345"/>
      <c r="F1128" s="345"/>
      <c r="G1128" s="381"/>
      <c r="H1128" s="345"/>
      <c r="I1128" s="345"/>
      <c r="J1128" s="345"/>
      <c r="K1128" s="345"/>
      <c r="L1128" s="345"/>
      <c r="M1128" s="345"/>
      <c r="N1128" s="345"/>
      <c r="O1128" s="345"/>
      <c r="P1128" s="345"/>
      <c r="Q1128" s="345"/>
      <c r="R1128" s="57"/>
    </row>
    <row r="1129" spans="1:18" s="50" customFormat="1" ht="15" x14ac:dyDescent="0.25">
      <c r="A1129" s="394" t="s">
        <v>461</v>
      </c>
      <c r="B1129" s="379"/>
      <c r="C1129" s="381"/>
      <c r="D1129" s="380"/>
      <c r="E1129" s="345"/>
      <c r="F1129" s="345"/>
      <c r="G1129" s="381"/>
      <c r="H1129" s="345"/>
      <c r="I1129" s="345"/>
      <c r="J1129" s="345"/>
      <c r="K1129" s="345"/>
      <c r="L1129" s="345"/>
      <c r="M1129" s="345"/>
      <c r="N1129" s="345"/>
      <c r="O1129" s="345"/>
      <c r="P1129" s="345"/>
      <c r="Q1129" s="345"/>
      <c r="R1129" s="57"/>
    </row>
    <row r="1130" spans="1:18" s="50" customFormat="1" ht="15" x14ac:dyDescent="0.25">
      <c r="A1130" s="394" t="s">
        <v>643</v>
      </c>
      <c r="B1130" s="379"/>
      <c r="C1130" s="381"/>
      <c r="D1130" s="380"/>
      <c r="E1130" s="345"/>
      <c r="F1130" s="345"/>
      <c r="G1130" s="381"/>
      <c r="H1130" s="345"/>
      <c r="I1130" s="345"/>
      <c r="J1130" s="345"/>
      <c r="K1130" s="345"/>
      <c r="L1130" s="345"/>
      <c r="M1130" s="345"/>
      <c r="N1130" s="345"/>
      <c r="O1130" s="345"/>
      <c r="P1130" s="345"/>
      <c r="Q1130" s="345"/>
      <c r="R1130" s="57"/>
    </row>
    <row r="1131" spans="1:18" s="50" customFormat="1" ht="15" x14ac:dyDescent="0.25">
      <c r="A1131" s="394" t="s">
        <v>231</v>
      </c>
      <c r="B1131" s="379"/>
      <c r="C1131" s="381"/>
      <c r="D1131" s="380"/>
      <c r="E1131" s="345"/>
      <c r="F1131" s="345"/>
      <c r="G1131" s="381"/>
      <c r="H1131" s="345"/>
      <c r="I1131" s="345"/>
      <c r="J1131" s="345"/>
      <c r="K1131" s="345"/>
      <c r="L1131" s="345"/>
      <c r="M1131" s="345"/>
      <c r="N1131" s="345"/>
      <c r="O1131" s="345"/>
      <c r="P1131" s="345"/>
      <c r="Q1131" s="345"/>
      <c r="R1131" s="57"/>
    </row>
    <row r="1132" spans="1:18" s="50" customFormat="1" ht="15" x14ac:dyDescent="0.25">
      <c r="A1132" s="394" t="s">
        <v>273</v>
      </c>
      <c r="B1132" s="379"/>
      <c r="C1132" s="381"/>
      <c r="D1132" s="380"/>
      <c r="E1132" s="345"/>
      <c r="F1132" s="345"/>
      <c r="G1132" s="381"/>
      <c r="H1132" s="345"/>
      <c r="I1132" s="345"/>
      <c r="J1132" s="345"/>
      <c r="K1132" s="345"/>
      <c r="L1132" s="345"/>
      <c r="M1132" s="345"/>
      <c r="N1132" s="345"/>
      <c r="O1132" s="345"/>
      <c r="P1132" s="345"/>
      <c r="Q1132" s="345"/>
      <c r="R1132" s="57"/>
    </row>
    <row r="1133" spans="1:18" s="50" customFormat="1" ht="15" x14ac:dyDescent="0.25">
      <c r="A1133" s="394" t="s">
        <v>462</v>
      </c>
      <c r="B1133" s="379"/>
      <c r="C1133" s="381"/>
      <c r="D1133" s="380"/>
      <c r="E1133" s="345"/>
      <c r="F1133" s="345"/>
      <c r="G1133" s="381"/>
      <c r="H1133" s="345"/>
      <c r="I1133" s="345"/>
      <c r="J1133" s="345"/>
      <c r="K1133" s="345"/>
      <c r="L1133" s="345"/>
      <c r="M1133" s="345"/>
      <c r="N1133" s="345"/>
      <c r="O1133" s="345"/>
      <c r="P1133" s="345"/>
      <c r="Q1133" s="345"/>
      <c r="R1133" s="57"/>
    </row>
    <row r="1134" spans="1:18" s="50" customFormat="1" ht="15" x14ac:dyDescent="0.25">
      <c r="A1134" s="394" t="s">
        <v>644</v>
      </c>
      <c r="B1134" s="379"/>
      <c r="C1134" s="381"/>
      <c r="D1134" s="380"/>
      <c r="E1134" s="345"/>
      <c r="F1134" s="345"/>
      <c r="G1134" s="381"/>
      <c r="H1134" s="345"/>
      <c r="I1134" s="345"/>
      <c r="J1134" s="345"/>
      <c r="K1134" s="345"/>
      <c r="L1134" s="345"/>
      <c r="M1134" s="345"/>
      <c r="N1134" s="345"/>
      <c r="O1134" s="345"/>
      <c r="P1134" s="345"/>
      <c r="Q1134" s="345"/>
      <c r="R1134" s="57"/>
    </row>
    <row r="1135" spans="1:18" s="50" customFormat="1" ht="15" x14ac:dyDescent="0.25">
      <c r="A1135" s="394" t="s">
        <v>809</v>
      </c>
      <c r="B1135" s="379"/>
      <c r="C1135" s="381"/>
      <c r="D1135" s="380"/>
      <c r="E1135" s="345"/>
      <c r="F1135" s="345"/>
      <c r="G1135" s="381"/>
      <c r="H1135" s="345"/>
      <c r="I1135" s="345"/>
      <c r="J1135" s="345"/>
      <c r="K1135" s="345"/>
      <c r="L1135" s="345"/>
      <c r="M1135" s="345"/>
      <c r="N1135" s="345"/>
      <c r="O1135" s="345"/>
      <c r="P1135" s="345"/>
      <c r="Q1135" s="345"/>
      <c r="R1135" s="57"/>
    </row>
    <row r="1136" spans="1:18" s="50" customFormat="1" ht="15" x14ac:dyDescent="0.25">
      <c r="A1136" s="394" t="s">
        <v>1093</v>
      </c>
      <c r="B1136" s="345"/>
      <c r="C1136" s="345"/>
      <c r="D1136" s="345"/>
      <c r="E1136" s="345"/>
      <c r="F1136" s="345"/>
      <c r="G1136" s="381"/>
      <c r="H1136" s="345"/>
      <c r="I1136" s="345"/>
      <c r="J1136" s="345"/>
      <c r="K1136" s="345"/>
      <c r="L1136" s="345"/>
      <c r="M1136" s="345"/>
      <c r="N1136" s="345"/>
      <c r="O1136" s="345"/>
      <c r="P1136" s="345"/>
      <c r="Q1136" s="345"/>
      <c r="R1136" s="57"/>
    </row>
    <row r="1137" spans="1:18" s="432" customFormat="1" x14ac:dyDescent="0.2">
      <c r="A1137" s="425" t="s">
        <v>1146</v>
      </c>
      <c r="B1137" s="383"/>
      <c r="C1137" s="383"/>
      <c r="D1137" s="383"/>
      <c r="E1137" s="383"/>
      <c r="F1137" s="383"/>
      <c r="G1137" s="429"/>
      <c r="H1137" s="383"/>
      <c r="I1137" s="383"/>
      <c r="J1137" s="383"/>
      <c r="K1137" s="383"/>
      <c r="L1137" s="383"/>
      <c r="M1137" s="383"/>
      <c r="N1137" s="383"/>
      <c r="O1137" s="383"/>
      <c r="P1137" s="383"/>
      <c r="Q1137" s="430"/>
      <c r="R1137" s="431"/>
    </row>
    <row r="1138" spans="1:18" x14ac:dyDescent="0.2">
      <c r="A1138" s="318"/>
      <c r="C1138" s="354"/>
    </row>
    <row r="1139" spans="1:18" x14ac:dyDescent="0.2">
      <c r="A1139" s="433" t="s">
        <v>14</v>
      </c>
      <c r="B1139" s="359" t="s">
        <v>645</v>
      </c>
      <c r="C1139" s="426" t="s">
        <v>15</v>
      </c>
      <c r="D1139" s="345"/>
      <c r="E1139" s="345"/>
      <c r="F1139" s="345"/>
      <c r="G1139" s="345"/>
      <c r="H1139" s="345"/>
      <c r="I1139" s="345"/>
      <c r="J1139" s="345"/>
      <c r="K1139" s="345"/>
      <c r="L1139" s="345"/>
      <c r="M1139" s="345"/>
    </row>
    <row r="1140" spans="1:18" x14ac:dyDescent="0.2">
      <c r="A1140" s="434" t="s">
        <v>16</v>
      </c>
      <c r="B1140" s="435">
        <v>2009</v>
      </c>
      <c r="C1140" s="436">
        <v>2010</v>
      </c>
      <c r="D1140" s="436">
        <v>2011</v>
      </c>
      <c r="E1140" s="436">
        <v>2012</v>
      </c>
      <c r="F1140" s="436">
        <v>2013</v>
      </c>
      <c r="G1140" s="436">
        <v>2014</v>
      </c>
      <c r="H1140" s="435">
        <v>2015</v>
      </c>
      <c r="I1140" s="435">
        <v>2016</v>
      </c>
      <c r="J1140" s="435">
        <v>2017</v>
      </c>
      <c r="K1140" s="435">
        <v>2018</v>
      </c>
      <c r="L1140" s="435">
        <v>2019</v>
      </c>
      <c r="M1140" s="435">
        <v>2020</v>
      </c>
      <c r="N1140" s="435">
        <v>2021</v>
      </c>
      <c r="O1140" s="435">
        <v>2022</v>
      </c>
      <c r="P1140" s="435">
        <v>2023</v>
      </c>
      <c r="Q1140" s="435">
        <v>2024</v>
      </c>
      <c r="R1140" s="435">
        <v>2025</v>
      </c>
    </row>
    <row r="1141" spans="1:18" x14ac:dyDescent="0.2">
      <c r="A1141" s="363" t="s">
        <v>17</v>
      </c>
      <c r="B1141" s="367">
        <v>329.79</v>
      </c>
      <c r="C1141" s="386">
        <v>311.02</v>
      </c>
      <c r="D1141" s="386">
        <v>301.64</v>
      </c>
      <c r="E1141" s="386">
        <v>301.64</v>
      </c>
      <c r="F1141" s="386">
        <v>301.64</v>
      </c>
      <c r="G1141" s="386">
        <v>301.64</v>
      </c>
      <c r="H1141" s="386">
        <v>345.74</v>
      </c>
      <c r="I1141" s="386">
        <v>345.74</v>
      </c>
      <c r="J1141" s="427">
        <v>345.74</v>
      </c>
      <c r="K1141" s="427">
        <v>407.48</v>
      </c>
      <c r="L1141" s="427">
        <v>407.48</v>
      </c>
      <c r="M1141" s="437">
        <v>407.48</v>
      </c>
      <c r="N1141" s="438">
        <v>407.48</v>
      </c>
      <c r="O1141" s="438">
        <v>664.52</v>
      </c>
      <c r="P1141" s="438">
        <v>664.52</v>
      </c>
      <c r="Q1141" s="438">
        <v>664.52</v>
      </c>
      <c r="R1141" s="438">
        <v>664.52</v>
      </c>
    </row>
    <row r="1142" spans="1:18" x14ac:dyDescent="0.2">
      <c r="A1142" s="366" t="s">
        <v>18</v>
      </c>
      <c r="B1142" s="367">
        <v>402.56000000000006</v>
      </c>
      <c r="C1142" s="386">
        <v>431.91</v>
      </c>
      <c r="D1142" s="386">
        <v>308.37</v>
      </c>
      <c r="E1142" s="386">
        <v>306.06</v>
      </c>
      <c r="F1142" s="386">
        <v>304.12</v>
      </c>
      <c r="G1142" s="386">
        <v>303.5</v>
      </c>
      <c r="H1142" s="386">
        <v>346.61</v>
      </c>
      <c r="I1142" s="386">
        <v>346.83000000000004</v>
      </c>
      <c r="J1142" s="427">
        <v>347.08035600000011</v>
      </c>
      <c r="K1142" s="427">
        <v>408.73035600000014</v>
      </c>
      <c r="L1142" s="427">
        <v>409.20815600000014</v>
      </c>
      <c r="M1142" s="437">
        <v>410.39696779704036</v>
      </c>
      <c r="N1142" s="438">
        <v>410.3</v>
      </c>
      <c r="O1142" s="438">
        <f>O1141+N1145</f>
        <v>665.25</v>
      </c>
      <c r="P1142" s="438">
        <f>P1141+O1145</f>
        <v>671.97</v>
      </c>
      <c r="Q1142" s="438">
        <v>711.8</v>
      </c>
      <c r="R1142" s="438">
        <v>683.66424833498388</v>
      </c>
    </row>
    <row r="1143" spans="1:18" x14ac:dyDescent="0.2">
      <c r="A1143" s="366" t="s">
        <v>19</v>
      </c>
      <c r="B1143" s="367"/>
      <c r="C1143" s="386"/>
      <c r="D1143" s="386"/>
      <c r="E1143" s="386"/>
      <c r="F1143" s="386"/>
      <c r="G1143" s="386"/>
      <c r="H1143" s="386"/>
      <c r="I1143" s="386"/>
      <c r="J1143" s="386"/>
      <c r="K1143" s="386"/>
      <c r="L1143" s="386"/>
      <c r="M1143" s="438"/>
      <c r="N1143" s="438"/>
      <c r="O1143" s="438"/>
      <c r="P1143" s="438"/>
      <c r="Q1143" s="438"/>
      <c r="R1143" s="438"/>
    </row>
    <row r="1144" spans="1:18" x14ac:dyDescent="0.2">
      <c r="A1144" s="366" t="s">
        <v>20</v>
      </c>
      <c r="B1144" s="367">
        <v>281.67</v>
      </c>
      <c r="C1144" s="386">
        <v>425.18</v>
      </c>
      <c r="D1144" s="386">
        <v>303.95</v>
      </c>
      <c r="E1144" s="386">
        <v>303.58</v>
      </c>
      <c r="F1144" s="386">
        <v>302.26</v>
      </c>
      <c r="G1144" s="386">
        <v>302.63</v>
      </c>
      <c r="H1144" s="386">
        <v>345.52</v>
      </c>
      <c r="I1144" s="386">
        <v>345.48964399999994</v>
      </c>
      <c r="J1144" s="386">
        <v>345.83</v>
      </c>
      <c r="K1144" s="386">
        <v>407.00220000000002</v>
      </c>
      <c r="L1144" s="386">
        <v>406.2911882029598</v>
      </c>
      <c r="M1144" s="438">
        <v>407.58140000000009</v>
      </c>
      <c r="N1144" s="438">
        <v>409.57</v>
      </c>
      <c r="O1144" s="438">
        <v>657.8</v>
      </c>
      <c r="P1144" s="438">
        <v>624.67999999999995</v>
      </c>
      <c r="Q1144" s="438">
        <v>692.65575166501606</v>
      </c>
      <c r="R1144" s="438" t="s">
        <v>1145</v>
      </c>
    </row>
    <row r="1145" spans="1:18" x14ac:dyDescent="0.2">
      <c r="A1145" s="366" t="s">
        <v>21</v>
      </c>
      <c r="B1145" s="367">
        <v>120.89000000000004</v>
      </c>
      <c r="C1145" s="386">
        <v>6.7300000000000182</v>
      </c>
      <c r="D1145" s="386">
        <v>4.4200000000000159</v>
      </c>
      <c r="E1145" s="386">
        <v>2.4800000000000182</v>
      </c>
      <c r="F1145" s="386">
        <v>1.8600000000000136</v>
      </c>
      <c r="G1145" s="386">
        <v>0.87000000000000455</v>
      </c>
      <c r="H1145" s="386">
        <v>1.0900000000000318</v>
      </c>
      <c r="I1145" s="386">
        <v>1.3403560000000994</v>
      </c>
      <c r="J1145" s="386">
        <v>1.2503560000001244</v>
      </c>
      <c r="K1145" s="386">
        <v>1.7281560000001264</v>
      </c>
      <c r="L1145" s="386">
        <v>2.9169677970403427</v>
      </c>
      <c r="M1145" s="438">
        <v>2.8155677970402735</v>
      </c>
      <c r="N1145" s="438">
        <f>N1142-N1144</f>
        <v>0.73000000000001819</v>
      </c>
      <c r="O1145" s="438">
        <f>O1142-O1144</f>
        <v>7.4500000000000455</v>
      </c>
      <c r="P1145" s="438">
        <v>47.28</v>
      </c>
      <c r="Q1145" s="438">
        <v>19.144248334983899</v>
      </c>
      <c r="R1145" s="438" t="s">
        <v>1145</v>
      </c>
    </row>
    <row r="1146" spans="1:18" x14ac:dyDescent="0.2">
      <c r="A1146" s="370" t="s">
        <v>22</v>
      </c>
      <c r="B1146" s="387"/>
      <c r="C1146" s="387"/>
      <c r="D1146" s="387"/>
      <c r="E1146" s="387"/>
      <c r="F1146" s="387"/>
      <c r="G1146" s="387"/>
      <c r="H1146" s="387"/>
      <c r="I1146" s="387"/>
      <c r="J1146" s="387"/>
      <c r="K1146" s="387">
        <v>2019</v>
      </c>
      <c r="L1146" s="387">
        <v>2020</v>
      </c>
      <c r="M1146" s="387">
        <v>2021</v>
      </c>
      <c r="N1146" s="387">
        <v>2022</v>
      </c>
      <c r="O1146" s="387">
        <v>2023</v>
      </c>
      <c r="P1146" s="387">
        <v>2024</v>
      </c>
      <c r="Q1146" s="438">
        <v>2025</v>
      </c>
      <c r="R1146" s="438">
        <v>2026</v>
      </c>
    </row>
    <row r="1147" spans="1:18" x14ac:dyDescent="0.2">
      <c r="A1147" s="389" t="s">
        <v>179</v>
      </c>
      <c r="B1147" s="390"/>
      <c r="C1147" s="390"/>
      <c r="D1147" s="390"/>
      <c r="E1147" s="390"/>
      <c r="F1147" s="390"/>
      <c r="G1147" s="390"/>
      <c r="H1147" s="390"/>
      <c r="I1147" s="390"/>
      <c r="J1147" s="390"/>
      <c r="K1147" s="390"/>
      <c r="L1147" s="390"/>
      <c r="M1147" s="390"/>
      <c r="N1147" s="390"/>
      <c r="O1147" s="390"/>
      <c r="P1147" s="390"/>
      <c r="Q1147" s="390"/>
      <c r="R1147" s="88"/>
    </row>
    <row r="1148" spans="1:18" x14ac:dyDescent="0.2">
      <c r="A1148" s="373" t="s">
        <v>210</v>
      </c>
      <c r="B1148" s="375"/>
      <c r="C1148" s="375"/>
      <c r="D1148" s="375"/>
      <c r="E1148" s="375"/>
      <c r="F1148" s="375"/>
      <c r="G1148" s="375"/>
      <c r="H1148" s="375"/>
      <c r="I1148" s="375"/>
      <c r="J1148" s="375"/>
      <c r="K1148" s="375"/>
      <c r="L1148" s="375"/>
      <c r="M1148" s="375"/>
      <c r="N1148" s="375"/>
      <c r="O1148" s="375"/>
      <c r="P1148" s="375"/>
      <c r="Q1148" s="375"/>
      <c r="R1148" s="63"/>
    </row>
    <row r="1149" spans="1:18" x14ac:dyDescent="0.2">
      <c r="A1149" s="394" t="s">
        <v>232</v>
      </c>
      <c r="B1149" s="345"/>
      <c r="C1149" s="345"/>
      <c r="D1149" s="345"/>
      <c r="E1149" s="345"/>
      <c r="F1149" s="345"/>
      <c r="G1149" s="345"/>
      <c r="H1149" s="345"/>
      <c r="I1149" s="345"/>
      <c r="J1149" s="345"/>
      <c r="K1149" s="345"/>
      <c r="L1149" s="345"/>
      <c r="M1149" s="345"/>
      <c r="N1149" s="345"/>
      <c r="O1149" s="345"/>
      <c r="P1149" s="345"/>
      <c r="Q1149" s="345"/>
      <c r="R1149" s="64"/>
    </row>
    <row r="1150" spans="1:18" x14ac:dyDescent="0.2">
      <c r="A1150" s="394" t="s">
        <v>274</v>
      </c>
      <c r="B1150" s="345"/>
      <c r="C1150" s="345"/>
      <c r="D1150" s="345"/>
      <c r="E1150" s="345"/>
      <c r="F1150" s="345"/>
      <c r="G1150" s="345"/>
      <c r="H1150" s="345"/>
      <c r="I1150" s="345"/>
      <c r="J1150" s="345"/>
      <c r="K1150" s="345"/>
      <c r="L1150" s="345"/>
      <c r="M1150" s="345"/>
      <c r="N1150" s="345"/>
      <c r="O1150" s="345"/>
      <c r="P1150" s="345"/>
      <c r="Q1150" s="345"/>
      <c r="R1150" s="64"/>
    </row>
    <row r="1151" spans="1:18" x14ac:dyDescent="0.2">
      <c r="A1151" s="394" t="s">
        <v>275</v>
      </c>
      <c r="B1151" s="345"/>
      <c r="C1151" s="345"/>
      <c r="D1151" s="345"/>
      <c r="E1151" s="345"/>
      <c r="F1151" s="345"/>
      <c r="G1151" s="345"/>
      <c r="H1151" s="345"/>
      <c r="I1151" s="345"/>
      <c r="J1151" s="345"/>
      <c r="K1151" s="345"/>
      <c r="L1151" s="345"/>
      <c r="M1151" s="345"/>
      <c r="N1151" s="345"/>
      <c r="O1151" s="345"/>
      <c r="P1151" s="345"/>
      <c r="Q1151" s="345"/>
      <c r="R1151" s="64"/>
    </row>
    <row r="1152" spans="1:18" x14ac:dyDescent="0.2">
      <c r="A1152" s="394" t="s">
        <v>276</v>
      </c>
      <c r="B1152" s="345"/>
      <c r="C1152" s="345"/>
      <c r="D1152" s="345"/>
      <c r="E1152" s="345"/>
      <c r="F1152" s="345"/>
      <c r="G1152" s="345"/>
      <c r="H1152" s="345"/>
      <c r="I1152" s="345"/>
      <c r="J1152" s="345"/>
      <c r="K1152" s="345"/>
      <c r="L1152" s="345"/>
      <c r="M1152" s="345"/>
      <c r="N1152" s="345"/>
      <c r="O1152" s="345"/>
      <c r="P1152" s="345"/>
      <c r="Q1152" s="345"/>
      <c r="R1152" s="64"/>
    </row>
    <row r="1153" spans="1:18" x14ac:dyDescent="0.2">
      <c r="A1153" s="394" t="s">
        <v>463</v>
      </c>
      <c r="B1153" s="345"/>
      <c r="C1153" s="345"/>
      <c r="D1153" s="345"/>
      <c r="E1153" s="345"/>
      <c r="F1153" s="345"/>
      <c r="G1153" s="345"/>
      <c r="H1153" s="345"/>
      <c r="I1153" s="345"/>
      <c r="J1153" s="345"/>
      <c r="K1153" s="345"/>
      <c r="L1153" s="345"/>
      <c r="M1153" s="345"/>
      <c r="N1153" s="345"/>
      <c r="O1153" s="345"/>
      <c r="P1153" s="345"/>
      <c r="Q1153" s="345"/>
      <c r="R1153" s="64"/>
    </row>
    <row r="1154" spans="1:18" x14ac:dyDescent="0.2">
      <c r="A1154" s="394" t="s">
        <v>464</v>
      </c>
      <c r="B1154" s="345"/>
      <c r="C1154" s="345"/>
      <c r="D1154" s="345"/>
      <c r="E1154" s="345"/>
      <c r="F1154" s="345"/>
      <c r="G1154" s="345"/>
      <c r="H1154" s="345"/>
      <c r="I1154" s="345"/>
      <c r="J1154" s="345"/>
      <c r="K1154" s="345"/>
      <c r="L1154" s="345"/>
      <c r="M1154" s="345"/>
      <c r="N1154" s="345"/>
      <c r="O1154" s="345"/>
      <c r="P1154" s="345"/>
      <c r="Q1154" s="345"/>
      <c r="R1154" s="64"/>
    </row>
    <row r="1155" spans="1:18" x14ac:dyDescent="0.2">
      <c r="A1155" s="394" t="s">
        <v>646</v>
      </c>
      <c r="B1155" s="345"/>
      <c r="C1155" s="345"/>
      <c r="D1155" s="345"/>
      <c r="E1155" s="345"/>
      <c r="F1155" s="345"/>
      <c r="G1155" s="345"/>
      <c r="H1155" s="345"/>
      <c r="I1155" s="345"/>
      <c r="J1155" s="345"/>
      <c r="K1155" s="345"/>
      <c r="L1155" s="345"/>
      <c r="M1155" s="345"/>
      <c r="N1155" s="345"/>
      <c r="O1155" s="345"/>
      <c r="P1155" s="345"/>
      <c r="Q1155" s="345"/>
      <c r="R1155" s="64"/>
    </row>
    <row r="1156" spans="1:18" x14ac:dyDescent="0.2">
      <c r="A1156" s="394" t="s">
        <v>810</v>
      </c>
      <c r="B1156" s="345"/>
      <c r="C1156" s="345"/>
      <c r="D1156" s="345"/>
      <c r="E1156" s="345"/>
      <c r="F1156" s="345"/>
      <c r="G1156" s="345"/>
      <c r="H1156" s="345"/>
      <c r="I1156" s="345"/>
      <c r="J1156" s="345"/>
      <c r="K1156" s="345"/>
      <c r="L1156" s="345"/>
      <c r="M1156" s="345"/>
      <c r="N1156" s="345"/>
      <c r="O1156" s="345"/>
      <c r="P1156" s="345"/>
      <c r="Q1156" s="345"/>
      <c r="R1156" s="64"/>
    </row>
    <row r="1157" spans="1:18" x14ac:dyDescent="0.2">
      <c r="A1157" s="394" t="s">
        <v>811</v>
      </c>
      <c r="B1157" s="345"/>
      <c r="C1157" s="345"/>
      <c r="D1157" s="345"/>
      <c r="E1157" s="345"/>
      <c r="F1157" s="345"/>
      <c r="G1157" s="345"/>
      <c r="H1157" s="345"/>
      <c r="I1157" s="345"/>
      <c r="J1157" s="345"/>
      <c r="K1157" s="345"/>
      <c r="L1157" s="345"/>
      <c r="M1157" s="345"/>
      <c r="N1157" s="345"/>
      <c r="O1157" s="345"/>
      <c r="P1157" s="345"/>
      <c r="Q1157" s="345"/>
      <c r="R1157" s="64"/>
    </row>
    <row r="1158" spans="1:18" x14ac:dyDescent="0.2">
      <c r="A1158" s="394" t="s">
        <v>1096</v>
      </c>
      <c r="B1158" s="345"/>
      <c r="C1158" s="345"/>
      <c r="D1158" s="345"/>
      <c r="E1158" s="345"/>
      <c r="F1158" s="345"/>
      <c r="G1158" s="345"/>
      <c r="H1158" s="345"/>
      <c r="I1158" s="345"/>
      <c r="J1158" s="345"/>
      <c r="K1158" s="345"/>
      <c r="L1158" s="345"/>
      <c r="M1158" s="345"/>
      <c r="N1158" s="345"/>
      <c r="O1158" s="345"/>
      <c r="P1158" s="345"/>
      <c r="Q1158" s="345"/>
      <c r="R1158" s="64"/>
    </row>
    <row r="1159" spans="1:18" s="432" customFormat="1" x14ac:dyDescent="0.2">
      <c r="A1159" s="425" t="s">
        <v>1147</v>
      </c>
      <c r="B1159" s="383"/>
      <c r="C1159" s="383"/>
      <c r="D1159" s="383"/>
      <c r="E1159" s="383"/>
      <c r="F1159" s="383"/>
      <c r="G1159" s="383"/>
      <c r="H1159" s="383"/>
      <c r="I1159" s="383"/>
      <c r="J1159" s="383"/>
      <c r="K1159" s="383"/>
      <c r="L1159" s="383"/>
      <c r="M1159" s="383"/>
      <c r="N1159" s="383"/>
      <c r="O1159" s="383"/>
      <c r="P1159" s="383"/>
      <c r="Q1159" s="430"/>
      <c r="R1159" s="431"/>
    </row>
    <row r="1160" spans="1:18" x14ac:dyDescent="0.2">
      <c r="A1160" s="318"/>
      <c r="C1160" s="354"/>
    </row>
    <row r="1161" spans="1:18" x14ac:dyDescent="0.2">
      <c r="A1161" s="358" t="s">
        <v>14</v>
      </c>
      <c r="B1161" s="359" t="s">
        <v>66</v>
      </c>
      <c r="C1161" s="426" t="s">
        <v>15</v>
      </c>
      <c r="D1161" s="345"/>
      <c r="E1161" s="345"/>
      <c r="F1161" s="345"/>
      <c r="G1161" s="345"/>
      <c r="H1161" s="345"/>
      <c r="I1161" s="345"/>
      <c r="J1161" s="345"/>
      <c r="K1161" s="345"/>
      <c r="L1161" s="345"/>
      <c r="M1161" s="345"/>
      <c r="N1161" s="345"/>
      <c r="O1161" s="345"/>
      <c r="P1161" s="345"/>
    </row>
    <row r="1162" spans="1:18" x14ac:dyDescent="0.2">
      <c r="A1162" s="366" t="s">
        <v>16</v>
      </c>
      <c r="B1162" s="365">
        <v>2009</v>
      </c>
      <c r="C1162" s="365">
        <v>2010</v>
      </c>
      <c r="D1162" s="365">
        <v>2011</v>
      </c>
      <c r="E1162" s="365">
        <v>2012</v>
      </c>
      <c r="F1162" s="365">
        <v>2013</v>
      </c>
      <c r="G1162" s="365">
        <v>2014</v>
      </c>
      <c r="H1162" s="365">
        <v>2015</v>
      </c>
      <c r="I1162" s="365">
        <v>2016</v>
      </c>
      <c r="J1162" s="365">
        <v>2017</v>
      </c>
      <c r="K1162" s="365">
        <v>2018</v>
      </c>
      <c r="L1162" s="365">
        <v>2019</v>
      </c>
      <c r="M1162" s="365">
        <v>2020</v>
      </c>
      <c r="N1162" s="365">
        <v>2021</v>
      </c>
      <c r="O1162" s="365">
        <v>2022</v>
      </c>
      <c r="P1162" s="365">
        <v>2023</v>
      </c>
      <c r="Q1162" s="365">
        <v>2024</v>
      </c>
      <c r="R1162" s="365">
        <v>2025</v>
      </c>
    </row>
    <row r="1163" spans="1:18" x14ac:dyDescent="0.2">
      <c r="A1163" s="366" t="s">
        <v>17</v>
      </c>
      <c r="B1163" s="386">
        <v>25000</v>
      </c>
      <c r="C1163" s="386">
        <v>25000</v>
      </c>
      <c r="D1163" s="386">
        <v>23611</v>
      </c>
      <c r="E1163" s="386">
        <v>23611</v>
      </c>
      <c r="F1163" s="386">
        <v>23611</v>
      </c>
      <c r="G1163" s="386">
        <v>23611</v>
      </c>
      <c r="H1163" s="386">
        <v>23611</v>
      </c>
      <c r="I1163" s="386">
        <v>17696</v>
      </c>
      <c r="J1163" s="427">
        <v>17696</v>
      </c>
      <c r="K1163" s="427">
        <v>17696</v>
      </c>
      <c r="L1163" s="427">
        <v>17696</v>
      </c>
      <c r="M1163" s="427">
        <v>13979.84</v>
      </c>
      <c r="N1163" s="427">
        <v>13756.162560000001</v>
      </c>
      <c r="O1163" s="427">
        <v>13868.00128</v>
      </c>
      <c r="P1163" s="427">
        <v>13868.00128</v>
      </c>
      <c r="Q1163" s="427">
        <v>13868.00128</v>
      </c>
      <c r="R1163" s="427">
        <v>13865.86</v>
      </c>
    </row>
    <row r="1164" spans="1:18" x14ac:dyDescent="0.2">
      <c r="A1164" s="366" t="s">
        <v>18</v>
      </c>
      <c r="B1164" s="386">
        <v>30500</v>
      </c>
      <c r="C1164" s="386">
        <v>29700</v>
      </c>
      <c r="D1164" s="386">
        <v>26894.3</v>
      </c>
      <c r="E1164" s="386">
        <v>27624.3</v>
      </c>
      <c r="F1164" s="386">
        <v>27624.3</v>
      </c>
      <c r="G1164" s="386">
        <v>27624.3</v>
      </c>
      <c r="H1164" s="386">
        <v>27624.3</v>
      </c>
      <c r="I1164" s="386">
        <v>20167.650000000001</v>
      </c>
      <c r="J1164" s="427">
        <v>19280.400000000001</v>
      </c>
      <c r="K1164" s="427">
        <v>15415.88</v>
      </c>
      <c r="L1164" s="427">
        <v>19280.400000000001</v>
      </c>
      <c r="M1164" s="427">
        <v>13079.84</v>
      </c>
      <c r="N1164" s="427">
        <f>N1163+0.1*L1163-600-300</f>
        <v>14625.762560000001</v>
      </c>
      <c r="O1164" s="427">
        <f>O1163+0.1*M1163-600-300</f>
        <v>14365.985280000001</v>
      </c>
      <c r="P1164" s="427">
        <f>P1163+0.1*N1163-600-300</f>
        <v>14343.617536000002</v>
      </c>
      <c r="Q1164" s="427">
        <f>Q1163+0.1*O1163-600-300</f>
        <v>14354.801408000001</v>
      </c>
      <c r="R1164" s="427">
        <f>R1163+P1167-350</f>
        <v>14499.877536000002</v>
      </c>
    </row>
    <row r="1165" spans="1:18" x14ac:dyDescent="0.2">
      <c r="A1165" s="366" t="s">
        <v>19</v>
      </c>
      <c r="B1165" s="386"/>
      <c r="C1165" s="386"/>
      <c r="D1165" s="386"/>
      <c r="E1165" s="386"/>
      <c r="F1165" s="386"/>
      <c r="G1165" s="386"/>
      <c r="H1165" s="386"/>
      <c r="I1165" s="386"/>
      <c r="J1165" s="386"/>
      <c r="K1165" s="386"/>
      <c r="L1165" s="386"/>
      <c r="M1165" s="386"/>
      <c r="N1165" s="386"/>
      <c r="O1165" s="386"/>
      <c r="P1165" s="386"/>
      <c r="Q1165" s="386"/>
      <c r="R1165" s="386"/>
    </row>
    <row r="1166" spans="1:18" x14ac:dyDescent="0.2">
      <c r="A1166" s="366" t="s">
        <v>20</v>
      </c>
      <c r="B1166" s="386">
        <v>13127.78969</v>
      </c>
      <c r="C1166" s="386">
        <v>12919.833529999998</v>
      </c>
      <c r="D1166" s="386">
        <v>11930</v>
      </c>
      <c r="E1166" s="386">
        <v>15971.9</v>
      </c>
      <c r="F1166" s="386">
        <v>14342</v>
      </c>
      <c r="G1166" s="386">
        <v>12595.2</v>
      </c>
      <c r="H1166" s="386">
        <v>10179.799999999999</v>
      </c>
      <c r="I1166" s="386">
        <v>11238</v>
      </c>
      <c r="J1166" s="386">
        <v>9872.2000000000007</v>
      </c>
      <c r="K1166" s="386">
        <v>9849.5910000000003</v>
      </c>
      <c r="L1166" s="386">
        <v>9933.1844890000011</v>
      </c>
      <c r="M1166" s="386">
        <v>9294.3000000000011</v>
      </c>
      <c r="N1166" s="386">
        <v>11226.4</v>
      </c>
      <c r="O1166" s="386">
        <v>12374.5</v>
      </c>
      <c r="P1166" s="386">
        <v>13359.6</v>
      </c>
      <c r="Q1166" s="386">
        <v>10743.02</v>
      </c>
      <c r="R1166" s="386"/>
    </row>
    <row r="1167" spans="1:18" x14ac:dyDescent="0.2">
      <c r="A1167" s="366" t="s">
        <v>21</v>
      </c>
      <c r="B1167" s="386">
        <v>17372.210310000002</v>
      </c>
      <c r="C1167" s="386">
        <v>16780.166470000004</v>
      </c>
      <c r="D1167" s="386">
        <v>14964.3</v>
      </c>
      <c r="E1167" s="386">
        <v>11652.4</v>
      </c>
      <c r="F1167" s="386">
        <v>13282.3</v>
      </c>
      <c r="G1167" s="386">
        <v>15029.099999999999</v>
      </c>
      <c r="H1167" s="386">
        <v>17444.5</v>
      </c>
      <c r="I1167" s="386">
        <v>8929.6500000000015</v>
      </c>
      <c r="J1167" s="386">
        <v>9408.2000000000007</v>
      </c>
      <c r="K1167" s="386">
        <v>5566.2889999999989</v>
      </c>
      <c r="L1167" s="386">
        <v>9347.2155110000003</v>
      </c>
      <c r="M1167" s="386">
        <f>M1164-M1166</f>
        <v>3785.5399999999991</v>
      </c>
      <c r="N1167" s="386">
        <f>N1164-N1166</f>
        <v>3399.3625600000014</v>
      </c>
      <c r="O1167" s="386">
        <f>O1164-O1166</f>
        <v>1991.4852800000008</v>
      </c>
      <c r="P1167" s="386">
        <f>P1164-P1166</f>
        <v>984.0175360000012</v>
      </c>
      <c r="Q1167" s="386">
        <f>Q1164-Q1166</f>
        <v>3611.7814080000007</v>
      </c>
      <c r="R1167" s="386"/>
    </row>
    <row r="1168" spans="1:18" x14ac:dyDescent="0.2">
      <c r="A1168" s="370" t="s">
        <v>22</v>
      </c>
      <c r="B1168" s="387"/>
      <c r="C1168" s="387"/>
      <c r="D1168" s="387"/>
      <c r="E1168" s="387"/>
      <c r="F1168" s="387"/>
      <c r="G1168" s="387"/>
      <c r="H1168" s="387"/>
      <c r="I1168" s="387"/>
      <c r="J1168" s="387">
        <v>2019</v>
      </c>
      <c r="K1168" s="387">
        <v>2020</v>
      </c>
      <c r="L1168" s="387">
        <v>2021</v>
      </c>
      <c r="M1168" s="387">
        <v>2022</v>
      </c>
      <c r="N1168" s="387">
        <v>2023</v>
      </c>
      <c r="O1168" s="387">
        <v>2024</v>
      </c>
      <c r="P1168" s="387">
        <v>2025</v>
      </c>
      <c r="Q1168" s="387">
        <v>2026</v>
      </c>
      <c r="R1168" s="387">
        <v>2027</v>
      </c>
    </row>
    <row r="1169" spans="1:18" x14ac:dyDescent="0.2">
      <c r="A1169" s="370" t="s">
        <v>179</v>
      </c>
      <c r="B1169" s="423"/>
      <c r="C1169" s="423"/>
      <c r="D1169" s="423"/>
      <c r="E1169" s="423"/>
      <c r="F1169" s="423"/>
      <c r="G1169" s="423"/>
      <c r="H1169" s="423"/>
      <c r="I1169" s="423"/>
      <c r="J1169" s="423"/>
      <c r="K1169" s="423"/>
      <c r="L1169" s="423"/>
      <c r="M1169" s="423"/>
      <c r="N1169" s="423"/>
      <c r="O1169" s="423"/>
      <c r="P1169" s="423"/>
      <c r="Q1169" s="423"/>
      <c r="R1169" s="424"/>
    </row>
    <row r="1170" spans="1:18" x14ac:dyDescent="0.2">
      <c r="A1170" s="370" t="s">
        <v>196</v>
      </c>
      <c r="B1170" s="423"/>
      <c r="C1170" s="423"/>
      <c r="D1170" s="423"/>
      <c r="E1170" s="423"/>
      <c r="F1170" s="423"/>
      <c r="G1170" s="423"/>
      <c r="H1170" s="423"/>
      <c r="I1170" s="423"/>
      <c r="J1170" s="423"/>
      <c r="K1170" s="423"/>
      <c r="L1170" s="423"/>
      <c r="M1170" s="423"/>
      <c r="N1170" s="423"/>
      <c r="O1170" s="423"/>
      <c r="P1170" s="423"/>
      <c r="Q1170" s="423"/>
      <c r="R1170" s="424"/>
    </row>
    <row r="1171" spans="1:18" x14ac:dyDescent="0.2">
      <c r="A1171" s="377" t="s">
        <v>197</v>
      </c>
      <c r="B1171" s="345"/>
      <c r="C1171" s="345"/>
      <c r="D1171" s="345"/>
      <c r="E1171" s="345"/>
      <c r="F1171" s="345"/>
      <c r="G1171" s="345"/>
      <c r="H1171" s="345"/>
      <c r="I1171" s="345"/>
      <c r="J1171" s="345"/>
      <c r="K1171" s="345"/>
      <c r="L1171" s="345"/>
      <c r="M1171" s="345"/>
      <c r="N1171" s="345"/>
      <c r="O1171" s="345"/>
      <c r="P1171" s="345"/>
      <c r="Q1171" s="345"/>
      <c r="R1171" s="416"/>
    </row>
    <row r="1172" spans="1:18" x14ac:dyDescent="0.2">
      <c r="A1172" s="377" t="s">
        <v>235</v>
      </c>
      <c r="B1172" s="345"/>
      <c r="C1172" s="345"/>
      <c r="D1172" s="345"/>
      <c r="E1172" s="345"/>
      <c r="F1172" s="345"/>
      <c r="G1172" s="345"/>
      <c r="H1172" s="345"/>
      <c r="I1172" s="345"/>
      <c r="J1172" s="345"/>
      <c r="K1172" s="345"/>
      <c r="L1172" s="345"/>
      <c r="M1172" s="345"/>
      <c r="N1172" s="345"/>
      <c r="O1172" s="345"/>
      <c r="P1172" s="345"/>
      <c r="Q1172" s="345"/>
      <c r="R1172" s="416"/>
    </row>
    <row r="1173" spans="1:18" x14ac:dyDescent="0.2">
      <c r="A1173" s="377" t="s">
        <v>236</v>
      </c>
      <c r="B1173" s="379"/>
      <c r="C1173" s="381"/>
      <c r="D1173" s="380"/>
      <c r="E1173" s="345"/>
      <c r="F1173" s="345"/>
      <c r="G1173" s="381"/>
      <c r="H1173" s="345"/>
      <c r="I1173" s="345"/>
      <c r="J1173" s="345"/>
      <c r="K1173" s="345"/>
      <c r="L1173" s="345"/>
      <c r="M1173" s="345"/>
      <c r="N1173" s="345"/>
      <c r="O1173" s="345"/>
      <c r="P1173" s="345"/>
      <c r="Q1173" s="345"/>
      <c r="R1173" s="416"/>
    </row>
    <row r="1174" spans="1:18" x14ac:dyDescent="0.2">
      <c r="A1174" s="377" t="s">
        <v>237</v>
      </c>
      <c r="B1174" s="345"/>
      <c r="C1174" s="345"/>
      <c r="D1174" s="345"/>
      <c r="E1174" s="345"/>
      <c r="F1174" s="345"/>
      <c r="G1174" s="418"/>
      <c r="H1174" s="345"/>
      <c r="I1174" s="345"/>
      <c r="J1174" s="345"/>
      <c r="K1174" s="345"/>
      <c r="L1174" s="345"/>
      <c r="M1174" s="345"/>
      <c r="N1174" s="345"/>
      <c r="O1174" s="345"/>
      <c r="P1174" s="345"/>
      <c r="Q1174" s="345"/>
      <c r="R1174" s="416"/>
    </row>
    <row r="1175" spans="1:18" x14ac:dyDescent="0.2">
      <c r="A1175" s="377" t="s">
        <v>278</v>
      </c>
      <c r="B1175" s="345"/>
      <c r="C1175" s="345"/>
      <c r="D1175" s="345"/>
      <c r="E1175" s="345"/>
      <c r="F1175" s="345"/>
      <c r="G1175" s="345"/>
      <c r="H1175" s="345"/>
      <c r="I1175" s="345"/>
      <c r="J1175" s="345"/>
      <c r="K1175" s="345"/>
      <c r="L1175" s="345"/>
      <c r="M1175" s="345"/>
      <c r="N1175" s="345"/>
      <c r="O1175" s="345"/>
      <c r="P1175" s="345"/>
      <c r="Q1175" s="345"/>
      <c r="R1175" s="416"/>
    </row>
    <row r="1176" spans="1:18" x14ac:dyDescent="0.2">
      <c r="A1176" s="377" t="s">
        <v>238</v>
      </c>
      <c r="B1176" s="345"/>
      <c r="C1176" s="345"/>
      <c r="D1176" s="345"/>
      <c r="E1176" s="345"/>
      <c r="F1176" s="345"/>
      <c r="G1176" s="418"/>
      <c r="H1176" s="345"/>
      <c r="I1176" s="345"/>
      <c r="J1176" s="345"/>
      <c r="K1176" s="345"/>
      <c r="L1176" s="345"/>
      <c r="M1176" s="345"/>
      <c r="N1176" s="345"/>
      <c r="O1176" s="345"/>
      <c r="P1176" s="345"/>
      <c r="Q1176" s="345"/>
      <c r="R1176" s="416"/>
    </row>
    <row r="1177" spans="1:18" x14ac:dyDescent="0.2">
      <c r="A1177" s="377" t="s">
        <v>233</v>
      </c>
      <c r="B1177" s="345"/>
      <c r="C1177" s="345"/>
      <c r="D1177" s="345"/>
      <c r="E1177" s="345"/>
      <c r="F1177" s="345"/>
      <c r="G1177" s="418"/>
      <c r="H1177" s="345"/>
      <c r="I1177" s="345"/>
      <c r="J1177" s="345"/>
      <c r="K1177" s="345"/>
      <c r="L1177" s="345"/>
      <c r="M1177" s="345"/>
      <c r="N1177" s="345"/>
      <c r="O1177" s="345"/>
      <c r="P1177" s="345"/>
      <c r="Q1177" s="345"/>
      <c r="R1177" s="416"/>
    </row>
    <row r="1178" spans="1:18" x14ac:dyDescent="0.2">
      <c r="A1178" s="394" t="s">
        <v>234</v>
      </c>
      <c r="B1178" s="345"/>
      <c r="C1178" s="345"/>
      <c r="D1178" s="345"/>
      <c r="E1178" s="345"/>
      <c r="F1178" s="345"/>
      <c r="G1178" s="345"/>
      <c r="H1178" s="345"/>
      <c r="I1178" s="345"/>
      <c r="J1178" s="345"/>
      <c r="K1178" s="345"/>
      <c r="L1178" s="345"/>
      <c r="M1178" s="345"/>
      <c r="N1178" s="345"/>
      <c r="O1178" s="345"/>
      <c r="P1178" s="345"/>
      <c r="Q1178" s="345"/>
      <c r="R1178" s="416"/>
    </row>
    <row r="1179" spans="1:18" x14ac:dyDescent="0.2">
      <c r="A1179" s="394" t="s">
        <v>211</v>
      </c>
      <c r="B1179" s="345"/>
      <c r="C1179" s="345"/>
      <c r="D1179" s="345"/>
      <c r="E1179" s="345"/>
      <c r="F1179" s="345"/>
      <c r="G1179" s="345"/>
      <c r="H1179" s="345"/>
      <c r="I1179" s="345"/>
      <c r="J1179" s="345"/>
      <c r="K1179" s="345"/>
      <c r="L1179" s="345"/>
      <c r="M1179" s="345"/>
      <c r="N1179" s="345"/>
      <c r="O1179" s="345"/>
      <c r="P1179" s="345"/>
      <c r="Q1179" s="345"/>
      <c r="R1179" s="416"/>
    </row>
    <row r="1180" spans="1:18" x14ac:dyDescent="0.2">
      <c r="A1180" s="394" t="s">
        <v>277</v>
      </c>
      <c r="B1180" s="345"/>
      <c r="C1180" s="345"/>
      <c r="D1180" s="345"/>
      <c r="E1180" s="345"/>
      <c r="F1180" s="345"/>
      <c r="G1180" s="345"/>
      <c r="H1180" s="345"/>
      <c r="I1180" s="345"/>
      <c r="J1180" s="345"/>
      <c r="K1180" s="345"/>
      <c r="L1180" s="345"/>
      <c r="M1180" s="345"/>
      <c r="N1180" s="345"/>
      <c r="O1180" s="345"/>
      <c r="P1180" s="345"/>
      <c r="Q1180" s="345"/>
      <c r="R1180" s="416"/>
    </row>
    <row r="1181" spans="1:18" ht="13.15" customHeight="1" x14ac:dyDescent="0.2">
      <c r="A1181" s="394" t="s">
        <v>375</v>
      </c>
      <c r="B1181" s="345"/>
      <c r="C1181" s="345"/>
      <c r="D1181" s="345"/>
      <c r="E1181" s="345"/>
      <c r="F1181" s="345"/>
      <c r="G1181" s="345"/>
      <c r="H1181" s="345"/>
      <c r="I1181" s="345"/>
      <c r="J1181" s="345"/>
      <c r="K1181" s="345"/>
      <c r="L1181" s="345"/>
      <c r="M1181" s="345"/>
      <c r="N1181" s="345"/>
      <c r="O1181" s="345"/>
      <c r="P1181" s="345"/>
      <c r="Q1181" s="345"/>
      <c r="R1181" s="416"/>
    </row>
    <row r="1182" spans="1:18" ht="13.15" customHeight="1" x14ac:dyDescent="0.2">
      <c r="A1182" s="394" t="s">
        <v>570</v>
      </c>
      <c r="B1182" s="345"/>
      <c r="C1182" s="345"/>
      <c r="D1182" s="345"/>
      <c r="E1182" s="345"/>
      <c r="F1182" s="345"/>
      <c r="G1182" s="345"/>
      <c r="H1182" s="345"/>
      <c r="I1182" s="345"/>
      <c r="J1182" s="345"/>
      <c r="K1182" s="345"/>
      <c r="L1182" s="345"/>
      <c r="M1182" s="345"/>
      <c r="N1182" s="345"/>
      <c r="O1182" s="345"/>
      <c r="P1182" s="345"/>
      <c r="Q1182" s="345"/>
      <c r="R1182" s="416"/>
    </row>
    <row r="1183" spans="1:18" ht="13.15" customHeight="1" x14ac:dyDescent="0.2">
      <c r="A1183" s="394" t="s">
        <v>647</v>
      </c>
      <c r="B1183" s="345"/>
      <c r="C1183" s="345"/>
      <c r="D1183" s="345"/>
      <c r="E1183" s="345"/>
      <c r="F1183" s="345"/>
      <c r="G1183" s="345"/>
      <c r="H1183" s="345"/>
      <c r="I1183" s="345"/>
      <c r="J1183" s="345"/>
      <c r="K1183" s="345"/>
      <c r="L1183" s="345"/>
      <c r="M1183" s="345"/>
      <c r="N1183" s="345"/>
      <c r="O1183" s="345"/>
      <c r="P1183" s="345"/>
      <c r="Q1183" s="345"/>
      <c r="R1183" s="416"/>
    </row>
    <row r="1184" spans="1:18" ht="13.15" customHeight="1" x14ac:dyDescent="0.2">
      <c r="A1184" s="394" t="s">
        <v>591</v>
      </c>
      <c r="B1184" s="345"/>
      <c r="C1184" s="345"/>
      <c r="D1184" s="345"/>
      <c r="E1184" s="345"/>
      <c r="F1184" s="345"/>
      <c r="G1184" s="345"/>
      <c r="H1184" s="345"/>
      <c r="I1184" s="345"/>
      <c r="J1184" s="345"/>
      <c r="K1184" s="345"/>
      <c r="L1184" s="345"/>
      <c r="M1184" s="345"/>
      <c r="N1184" s="345"/>
      <c r="O1184" s="345"/>
      <c r="P1184" s="345"/>
      <c r="Q1184" s="345"/>
      <c r="R1184" s="416"/>
    </row>
    <row r="1185" spans="1:19" ht="13.15" customHeight="1" x14ac:dyDescent="0.2">
      <c r="A1185" s="394" t="s">
        <v>710</v>
      </c>
      <c r="B1185" s="345"/>
      <c r="C1185" s="345"/>
      <c r="D1185" s="345"/>
      <c r="E1185" s="345"/>
      <c r="F1185" s="345"/>
      <c r="G1185" s="345"/>
      <c r="H1185" s="345"/>
      <c r="I1185" s="345"/>
      <c r="J1185" s="345"/>
      <c r="K1185" s="345"/>
      <c r="L1185" s="345"/>
      <c r="M1185" s="345"/>
      <c r="N1185" s="345"/>
      <c r="O1185" s="345"/>
      <c r="P1185" s="345"/>
      <c r="Q1185" s="345"/>
      <c r="R1185" s="416"/>
    </row>
    <row r="1186" spans="1:19" ht="13.15" customHeight="1" x14ac:dyDescent="0.2">
      <c r="A1186" s="394" t="s">
        <v>812</v>
      </c>
      <c r="B1186" s="345"/>
      <c r="C1186" s="345"/>
      <c r="D1186" s="345"/>
      <c r="E1186" s="345"/>
      <c r="F1186" s="345"/>
      <c r="G1186" s="345"/>
      <c r="H1186" s="345"/>
      <c r="I1186" s="345"/>
      <c r="J1186" s="345"/>
      <c r="K1186" s="345"/>
      <c r="L1186" s="345"/>
      <c r="M1186" s="345"/>
      <c r="N1186" s="345"/>
      <c r="O1186" s="345"/>
      <c r="P1186" s="345"/>
      <c r="Q1186" s="345"/>
      <c r="R1186" s="416"/>
    </row>
    <row r="1187" spans="1:19" ht="13.15" customHeight="1" x14ac:dyDescent="0.2">
      <c r="A1187" s="417" t="s">
        <v>1044</v>
      </c>
      <c r="B1187" s="379"/>
      <c r="C1187" s="379"/>
      <c r="D1187" s="379"/>
      <c r="E1187" s="379"/>
      <c r="F1187" s="379"/>
      <c r="G1187" s="379"/>
      <c r="H1187" s="379"/>
      <c r="I1187" s="379"/>
      <c r="J1187" s="379"/>
      <c r="K1187" s="379"/>
      <c r="L1187" s="379"/>
      <c r="M1187" s="379"/>
      <c r="N1187" s="379"/>
      <c r="O1187" s="379"/>
      <c r="P1187" s="379"/>
      <c r="Q1187" s="379"/>
      <c r="R1187" s="439"/>
    </row>
    <row r="1188" spans="1:19" ht="13.15" customHeight="1" x14ac:dyDescent="0.2">
      <c r="A1188" s="440" t="s">
        <v>1240</v>
      </c>
      <c r="B1188" s="441"/>
      <c r="C1188" s="441"/>
      <c r="D1188" s="441"/>
      <c r="E1188" s="441"/>
      <c r="F1188" s="441"/>
      <c r="G1188" s="441"/>
      <c r="H1188" s="441"/>
      <c r="I1188" s="441"/>
      <c r="J1188" s="441"/>
      <c r="K1188" s="441"/>
      <c r="L1188" s="441"/>
      <c r="M1188" s="441"/>
      <c r="N1188" s="441"/>
      <c r="O1188" s="441"/>
      <c r="P1188" s="441"/>
      <c r="Q1188" s="441"/>
      <c r="R1188" s="442"/>
    </row>
    <row r="1189" spans="1:19" x14ac:dyDescent="0.2">
      <c r="A1189" s="318"/>
      <c r="C1189" s="354"/>
    </row>
    <row r="1190" spans="1:19" x14ac:dyDescent="0.2">
      <c r="A1190" s="433" t="s">
        <v>14</v>
      </c>
      <c r="B1190" s="359" t="s">
        <v>74</v>
      </c>
      <c r="C1190" s="426" t="s">
        <v>15</v>
      </c>
      <c r="D1190" s="345"/>
      <c r="E1190" s="345"/>
      <c r="F1190" s="345"/>
      <c r="G1190" s="345"/>
      <c r="H1190" s="345"/>
      <c r="I1190" s="345"/>
      <c r="J1190" s="345"/>
      <c r="K1190" s="345"/>
      <c r="L1190" s="345"/>
      <c r="M1190" s="345"/>
      <c r="N1190" s="345"/>
    </row>
    <row r="1191" spans="1:19" x14ac:dyDescent="0.2">
      <c r="A1191" s="434" t="s">
        <v>16</v>
      </c>
      <c r="B1191" s="435">
        <v>2008</v>
      </c>
      <c r="C1191" s="436">
        <v>2009</v>
      </c>
      <c r="D1191" s="436">
        <v>2010</v>
      </c>
      <c r="E1191" s="436">
        <v>2011</v>
      </c>
      <c r="F1191" s="435">
        <v>2012</v>
      </c>
      <c r="G1191" s="435">
        <v>2013</v>
      </c>
      <c r="H1191" s="435">
        <v>2014</v>
      </c>
      <c r="I1191" s="435">
        <v>2015</v>
      </c>
      <c r="J1191" s="435">
        <v>2016</v>
      </c>
      <c r="K1191" s="435">
        <v>2017</v>
      </c>
      <c r="L1191" s="435">
        <v>2018</v>
      </c>
      <c r="M1191" s="435">
        <v>2019</v>
      </c>
      <c r="N1191" s="435">
        <v>2020</v>
      </c>
      <c r="O1191" s="435">
        <v>2021</v>
      </c>
      <c r="P1191" s="155">
        <v>2022</v>
      </c>
      <c r="Q1191" s="155">
        <v>2023</v>
      </c>
      <c r="R1191" s="155">
        <v>2024</v>
      </c>
      <c r="S1191" s="155">
        <v>2025</v>
      </c>
    </row>
    <row r="1192" spans="1:19" x14ac:dyDescent="0.2">
      <c r="A1192" s="363" t="s">
        <v>17</v>
      </c>
      <c r="B1192" s="386">
        <v>839.5</v>
      </c>
      <c r="C1192" s="386">
        <v>839.5</v>
      </c>
      <c r="D1192" s="386">
        <v>839.5</v>
      </c>
      <c r="E1192" s="386">
        <v>839.5</v>
      </c>
      <c r="F1192" s="438">
        <v>503.7</v>
      </c>
      <c r="G1192" s="438">
        <v>390</v>
      </c>
      <c r="H1192" s="438">
        <v>390</v>
      </c>
      <c r="I1192" s="438">
        <v>390</v>
      </c>
      <c r="J1192" s="438">
        <v>390</v>
      </c>
      <c r="K1192" s="438">
        <v>390</v>
      </c>
      <c r="L1192" s="438">
        <v>390</v>
      </c>
      <c r="M1192" s="438">
        <v>390</v>
      </c>
      <c r="N1192" s="438">
        <v>328.1</v>
      </c>
      <c r="O1192" s="438">
        <v>328.1</v>
      </c>
      <c r="P1192" s="12">
        <v>328.1</v>
      </c>
      <c r="Q1192" s="12">
        <v>328.1</v>
      </c>
      <c r="R1192" s="12">
        <v>328.1</v>
      </c>
      <c r="S1192" s="12">
        <v>328.1</v>
      </c>
    </row>
    <row r="1193" spans="1:19" x14ac:dyDescent="0.2">
      <c r="A1193" s="366" t="s">
        <v>18</v>
      </c>
      <c r="B1193" s="386">
        <v>839.5</v>
      </c>
      <c r="C1193" s="386">
        <v>839.5</v>
      </c>
      <c r="D1193" s="386">
        <v>839.5</v>
      </c>
      <c r="E1193" s="386">
        <v>839.5</v>
      </c>
      <c r="F1193" s="386">
        <v>503.7</v>
      </c>
      <c r="G1193" s="438">
        <v>390</v>
      </c>
      <c r="H1193" s="438">
        <v>390</v>
      </c>
      <c r="I1193" s="438">
        <v>429</v>
      </c>
      <c r="J1193" s="438">
        <v>429</v>
      </c>
      <c r="K1193" s="438">
        <v>429</v>
      </c>
      <c r="L1193" s="438">
        <v>406.6</v>
      </c>
      <c r="M1193" s="438">
        <v>429</v>
      </c>
      <c r="N1193" s="438">
        <v>367.1</v>
      </c>
      <c r="O1193" s="438">
        <v>367.1</v>
      </c>
      <c r="P1193" s="12"/>
      <c r="Q1193" s="12"/>
      <c r="R1193" s="12">
        <f>R1192+P1196</f>
        <v>285.10000000000002</v>
      </c>
      <c r="S1193" s="12">
        <v>328.1</v>
      </c>
    </row>
    <row r="1194" spans="1:19" x14ac:dyDescent="0.2">
      <c r="A1194" s="366" t="s">
        <v>19</v>
      </c>
      <c r="B1194" s="386"/>
      <c r="C1194" s="443"/>
      <c r="D1194" s="386"/>
      <c r="E1194" s="438"/>
      <c r="F1194" s="438"/>
      <c r="G1194" s="438"/>
      <c r="H1194" s="438"/>
      <c r="I1194" s="438"/>
      <c r="J1194" s="438"/>
      <c r="K1194" s="438"/>
      <c r="L1194" s="438"/>
      <c r="M1194" s="438"/>
      <c r="N1194" s="438"/>
      <c r="O1194" s="438"/>
      <c r="P1194" s="12"/>
      <c r="Q1194" s="12"/>
      <c r="R1194" s="12"/>
      <c r="S1194" s="12"/>
    </row>
    <row r="1195" spans="1:19" x14ac:dyDescent="0.2">
      <c r="A1195" s="366" t="s">
        <v>20</v>
      </c>
      <c r="B1195" s="386">
        <v>704.14</v>
      </c>
      <c r="C1195" s="386">
        <v>553.45920000000001</v>
      </c>
      <c r="D1195" s="386">
        <v>425.98559999999998</v>
      </c>
      <c r="E1195" s="386">
        <v>478</v>
      </c>
      <c r="F1195" s="438">
        <v>305.5</v>
      </c>
      <c r="G1195" s="438">
        <v>231.5</v>
      </c>
      <c r="H1195" s="438">
        <v>288.8</v>
      </c>
      <c r="I1195" s="438">
        <v>261.5</v>
      </c>
      <c r="J1195" s="438">
        <v>412.4</v>
      </c>
      <c r="K1195" s="438">
        <v>308.10000000000002</v>
      </c>
      <c r="L1195" s="438">
        <v>352.2</v>
      </c>
      <c r="M1195" s="438">
        <v>336.88949500000001</v>
      </c>
      <c r="N1195" s="438">
        <v>285.10000000000002</v>
      </c>
      <c r="O1195" s="438">
        <v>289.39999999999998</v>
      </c>
      <c r="P1195" s="12">
        <v>371.1</v>
      </c>
      <c r="Q1195" s="12">
        <v>303.8</v>
      </c>
      <c r="R1195" s="12">
        <v>245.72</v>
      </c>
      <c r="S1195" s="12"/>
    </row>
    <row r="1196" spans="1:19" x14ac:dyDescent="0.2">
      <c r="A1196" s="366" t="s">
        <v>21</v>
      </c>
      <c r="B1196" s="386">
        <v>135.36000000000001</v>
      </c>
      <c r="C1196" s="386">
        <v>286.04079999999999</v>
      </c>
      <c r="D1196" s="386">
        <v>413.51440000000002</v>
      </c>
      <c r="E1196" s="386">
        <v>361.5</v>
      </c>
      <c r="F1196" s="386">
        <v>198.2</v>
      </c>
      <c r="G1196" s="438">
        <v>158.5</v>
      </c>
      <c r="H1196" s="438">
        <v>101.19999999999999</v>
      </c>
      <c r="I1196" s="438">
        <v>167.5</v>
      </c>
      <c r="J1196" s="438">
        <v>16.600000000000023</v>
      </c>
      <c r="K1196" s="438">
        <v>120.89999999999998</v>
      </c>
      <c r="L1196" s="438">
        <v>54.400000000000034</v>
      </c>
      <c r="M1196" s="438">
        <v>92.110504999999989</v>
      </c>
      <c r="N1196" s="438">
        <f>N1193-N1195</f>
        <v>82</v>
      </c>
      <c r="O1196" s="438">
        <f>O1193-O1195</f>
        <v>77.700000000000045</v>
      </c>
      <c r="P1196" s="12">
        <f>P1192-P1195</f>
        <v>-43</v>
      </c>
      <c r="Q1196" s="12">
        <f>Q1192-Q1195</f>
        <v>24.300000000000011</v>
      </c>
      <c r="R1196" s="12">
        <f>R1193-R1195</f>
        <v>39.380000000000024</v>
      </c>
      <c r="S1196" s="12"/>
    </row>
    <row r="1197" spans="1:19" x14ac:dyDescent="0.2">
      <c r="A1197" s="370" t="s">
        <v>22</v>
      </c>
      <c r="B1197" s="387"/>
      <c r="C1197" s="423"/>
      <c r="D1197" s="387"/>
      <c r="E1197" s="424"/>
      <c r="F1197" s="424"/>
      <c r="G1197" s="424"/>
      <c r="H1197" s="424"/>
      <c r="I1197" s="424"/>
      <c r="J1197" s="424"/>
      <c r="K1197" s="424"/>
      <c r="L1197" s="424"/>
      <c r="M1197" s="444"/>
      <c r="N1197" s="444"/>
      <c r="O1197" s="444"/>
      <c r="P1197" s="17"/>
      <c r="Q1197" s="17"/>
      <c r="R1197" s="17"/>
      <c r="S1197" s="17"/>
    </row>
    <row r="1198" spans="1:19" x14ac:dyDescent="0.2">
      <c r="A1198" s="366" t="s">
        <v>179</v>
      </c>
      <c r="B1198" s="445"/>
      <c r="C1198" s="445"/>
      <c r="D1198" s="445"/>
      <c r="E1198" s="445"/>
      <c r="F1198" s="445"/>
      <c r="G1198" s="445"/>
      <c r="H1198" s="445"/>
      <c r="I1198" s="445"/>
      <c r="J1198" s="445"/>
      <c r="K1198" s="445"/>
      <c r="L1198" s="445"/>
      <c r="M1198" s="445"/>
      <c r="N1198" s="445"/>
      <c r="O1198" s="445"/>
      <c r="P1198" s="36"/>
      <c r="Q1198" s="36"/>
      <c r="R1198" s="36"/>
      <c r="S1198" s="37"/>
    </row>
    <row r="1199" spans="1:19" x14ac:dyDescent="0.2">
      <c r="A1199" s="377" t="s">
        <v>198</v>
      </c>
      <c r="B1199" s="345"/>
      <c r="C1199" s="345"/>
      <c r="D1199" s="345"/>
      <c r="E1199" s="345"/>
      <c r="F1199" s="345"/>
      <c r="G1199" s="345"/>
      <c r="H1199" s="345"/>
      <c r="I1199" s="345"/>
      <c r="J1199" s="345"/>
      <c r="K1199" s="345"/>
      <c r="L1199" s="345"/>
      <c r="M1199" s="345"/>
      <c r="N1199" s="345"/>
      <c r="O1199" s="345"/>
      <c r="S1199" s="64"/>
    </row>
    <row r="1200" spans="1:19" x14ac:dyDescent="0.2">
      <c r="A1200" s="377" t="s">
        <v>199</v>
      </c>
      <c r="B1200" s="345"/>
      <c r="C1200" s="345"/>
      <c r="D1200" s="345"/>
      <c r="E1200" s="345"/>
      <c r="F1200" s="345"/>
      <c r="G1200" s="345"/>
      <c r="H1200" s="345"/>
      <c r="I1200" s="345"/>
      <c r="J1200" s="345"/>
      <c r="K1200" s="345"/>
      <c r="L1200" s="345"/>
      <c r="M1200" s="345"/>
      <c r="N1200" s="345"/>
      <c r="O1200" s="345"/>
      <c r="S1200" s="64"/>
    </row>
    <row r="1201" spans="1:19" x14ac:dyDescent="0.2">
      <c r="A1201" s="377" t="s">
        <v>239</v>
      </c>
      <c r="B1201" s="345"/>
      <c r="C1201" s="345"/>
      <c r="D1201" s="345"/>
      <c r="E1201" s="345"/>
      <c r="F1201" s="345"/>
      <c r="G1201" s="345"/>
      <c r="H1201" s="345"/>
      <c r="I1201" s="345"/>
      <c r="J1201" s="345"/>
      <c r="K1201" s="345"/>
      <c r="L1201" s="345"/>
      <c r="M1201" s="345"/>
      <c r="N1201" s="345"/>
      <c r="O1201" s="345"/>
      <c r="S1201" s="64"/>
    </row>
    <row r="1202" spans="1:19" x14ac:dyDescent="0.2">
      <c r="A1202" s="377" t="s">
        <v>240</v>
      </c>
      <c r="B1202" s="345"/>
      <c r="C1202" s="345"/>
      <c r="D1202" s="345"/>
      <c r="E1202" s="345"/>
      <c r="F1202" s="345"/>
      <c r="G1202" s="345"/>
      <c r="H1202" s="381"/>
      <c r="I1202" s="345"/>
      <c r="J1202" s="345"/>
      <c r="K1202" s="345"/>
      <c r="L1202" s="345"/>
      <c r="M1202" s="345"/>
      <c r="N1202" s="345"/>
      <c r="O1202" s="345"/>
      <c r="S1202" s="64"/>
    </row>
    <row r="1203" spans="1:19" x14ac:dyDescent="0.2">
      <c r="A1203" s="377" t="s">
        <v>279</v>
      </c>
      <c r="B1203" s="345"/>
      <c r="C1203" s="345"/>
      <c r="D1203" s="345"/>
      <c r="E1203" s="345"/>
      <c r="F1203" s="345"/>
      <c r="G1203" s="345"/>
      <c r="H1203" s="381"/>
      <c r="I1203" s="345"/>
      <c r="J1203" s="345"/>
      <c r="K1203" s="345"/>
      <c r="L1203" s="345"/>
      <c r="M1203" s="345"/>
      <c r="N1203" s="345"/>
      <c r="O1203" s="345"/>
      <c r="S1203" s="64"/>
    </row>
    <row r="1204" spans="1:19" x14ac:dyDescent="0.2">
      <c r="A1204" s="377" t="s">
        <v>280</v>
      </c>
      <c r="B1204" s="345"/>
      <c r="C1204" s="345"/>
      <c r="D1204" s="345"/>
      <c r="E1204" s="345"/>
      <c r="F1204" s="345"/>
      <c r="G1204" s="345"/>
      <c r="H1204" s="381"/>
      <c r="I1204" s="345"/>
      <c r="J1204" s="345"/>
      <c r="K1204" s="345"/>
      <c r="L1204" s="345"/>
      <c r="M1204" s="345"/>
      <c r="N1204" s="345"/>
      <c r="O1204" s="345"/>
      <c r="S1204" s="64"/>
    </row>
    <row r="1205" spans="1:19" x14ac:dyDescent="0.2">
      <c r="A1205" s="377" t="s">
        <v>281</v>
      </c>
      <c r="B1205" s="345"/>
      <c r="C1205" s="345"/>
      <c r="D1205" s="345"/>
      <c r="E1205" s="345"/>
      <c r="F1205" s="345"/>
      <c r="G1205" s="345"/>
      <c r="H1205" s="381"/>
      <c r="I1205" s="345"/>
      <c r="J1205" s="345"/>
      <c r="K1205" s="345"/>
      <c r="L1205" s="345"/>
      <c r="M1205" s="345"/>
      <c r="N1205" s="345"/>
      <c r="O1205" s="345"/>
      <c r="S1205" s="64"/>
    </row>
    <row r="1206" spans="1:19" x14ac:dyDescent="0.2">
      <c r="A1206" s="377" t="s">
        <v>465</v>
      </c>
      <c r="B1206" s="345"/>
      <c r="C1206" s="345"/>
      <c r="D1206" s="345"/>
      <c r="E1206" s="345"/>
      <c r="F1206" s="345"/>
      <c r="G1206" s="345"/>
      <c r="H1206" s="381"/>
      <c r="I1206" s="345"/>
      <c r="J1206" s="345"/>
      <c r="K1206" s="345"/>
      <c r="L1206" s="345"/>
      <c r="M1206" s="345"/>
      <c r="N1206" s="345"/>
      <c r="O1206" s="345"/>
      <c r="S1206" s="64"/>
    </row>
    <row r="1207" spans="1:19" x14ac:dyDescent="0.2">
      <c r="A1207" s="377" t="s">
        <v>648</v>
      </c>
      <c r="B1207" s="345"/>
      <c r="C1207" s="345"/>
      <c r="D1207" s="345"/>
      <c r="E1207" s="345"/>
      <c r="F1207" s="345"/>
      <c r="G1207" s="345"/>
      <c r="H1207" s="381"/>
      <c r="I1207" s="345"/>
      <c r="J1207" s="345"/>
      <c r="K1207" s="345"/>
      <c r="L1207" s="345"/>
      <c r="M1207" s="345"/>
      <c r="N1207" s="345"/>
      <c r="O1207" s="345"/>
      <c r="S1207" s="64"/>
    </row>
    <row r="1208" spans="1:19" x14ac:dyDescent="0.2">
      <c r="A1208" s="377" t="s">
        <v>813</v>
      </c>
      <c r="B1208" s="345"/>
      <c r="C1208" s="345"/>
      <c r="D1208" s="345"/>
      <c r="E1208" s="345"/>
      <c r="F1208" s="345"/>
      <c r="G1208" s="345"/>
      <c r="H1208" s="381"/>
      <c r="I1208" s="345"/>
      <c r="J1208" s="345"/>
      <c r="K1208" s="345"/>
      <c r="L1208" s="345"/>
      <c r="M1208" s="345"/>
      <c r="N1208" s="345"/>
      <c r="O1208" s="345"/>
      <c r="S1208" s="64"/>
    </row>
    <row r="1209" spans="1:19" x14ac:dyDescent="0.2">
      <c r="A1209" s="377" t="s">
        <v>889</v>
      </c>
      <c r="B1209" s="345"/>
      <c r="C1209" s="345"/>
      <c r="D1209" s="345"/>
      <c r="E1209" s="345"/>
      <c r="F1209" s="345"/>
      <c r="G1209" s="345"/>
      <c r="H1209" s="381"/>
      <c r="I1209" s="345"/>
      <c r="J1209" s="345"/>
      <c r="K1209" s="345"/>
      <c r="L1209" s="345"/>
      <c r="M1209" s="345"/>
      <c r="N1209" s="345"/>
      <c r="O1209" s="345"/>
      <c r="S1209" s="64"/>
    </row>
    <row r="1210" spans="1:19" x14ac:dyDescent="0.2">
      <c r="A1210" s="446" t="s">
        <v>1194</v>
      </c>
      <c r="B1210" s="383"/>
      <c r="C1210" s="383"/>
      <c r="D1210" s="383"/>
      <c r="E1210" s="383"/>
      <c r="F1210" s="383"/>
      <c r="G1210" s="383"/>
      <c r="H1210" s="447"/>
      <c r="I1210" s="383"/>
      <c r="J1210" s="383"/>
      <c r="K1210" s="383"/>
      <c r="L1210" s="383"/>
      <c r="M1210" s="383"/>
      <c r="N1210" s="383"/>
      <c r="O1210" s="383"/>
      <c r="P1210" s="34"/>
      <c r="Q1210" s="34"/>
      <c r="R1210" s="34"/>
      <c r="S1210" s="48"/>
    </row>
    <row r="1211" spans="1:19" x14ac:dyDescent="0.2">
      <c r="A1211" s="318"/>
      <c r="C1211" s="354"/>
    </row>
    <row r="1212" spans="1:19" x14ac:dyDescent="0.2">
      <c r="A1212" s="358" t="s">
        <v>14</v>
      </c>
      <c r="B1212" s="359" t="s">
        <v>79</v>
      </c>
      <c r="C1212" s="426" t="s">
        <v>15</v>
      </c>
      <c r="D1212" s="345"/>
      <c r="E1212" s="345"/>
      <c r="F1212" s="345"/>
      <c r="G1212" s="345"/>
      <c r="H1212" s="345"/>
      <c r="I1212" s="345"/>
      <c r="J1212" s="345"/>
      <c r="K1212" s="345"/>
      <c r="L1212" s="345"/>
      <c r="M1212" s="345"/>
      <c r="N1212" s="345"/>
    </row>
    <row r="1213" spans="1:19" x14ac:dyDescent="0.2">
      <c r="A1213" s="366" t="s">
        <v>16</v>
      </c>
      <c r="B1213" s="365">
        <v>2008</v>
      </c>
      <c r="C1213" s="365">
        <v>2009</v>
      </c>
      <c r="D1213" s="365">
        <v>2010</v>
      </c>
      <c r="E1213" s="365">
        <v>2011</v>
      </c>
      <c r="F1213" s="365">
        <v>2012</v>
      </c>
      <c r="G1213" s="365">
        <v>2013</v>
      </c>
      <c r="H1213" s="365">
        <v>2014</v>
      </c>
      <c r="I1213" s="365">
        <v>2015</v>
      </c>
      <c r="J1213" s="365">
        <v>2016</v>
      </c>
      <c r="K1213" s="365">
        <v>2017</v>
      </c>
      <c r="L1213" s="365">
        <v>2018</v>
      </c>
      <c r="M1213" s="365">
        <v>2019</v>
      </c>
      <c r="N1213" s="365">
        <v>2020</v>
      </c>
      <c r="O1213" s="365">
        <v>2021</v>
      </c>
      <c r="P1213" s="155">
        <v>2022</v>
      </c>
      <c r="Q1213" s="155">
        <v>2023</v>
      </c>
      <c r="R1213" s="155">
        <v>2024</v>
      </c>
      <c r="S1213" s="155">
        <v>2025</v>
      </c>
    </row>
    <row r="1214" spans="1:19" x14ac:dyDescent="0.2">
      <c r="A1214" s="366" t="s">
        <v>17</v>
      </c>
      <c r="B1214" s="386">
        <v>37</v>
      </c>
      <c r="C1214" s="386">
        <v>37</v>
      </c>
      <c r="D1214" s="386">
        <v>37</v>
      </c>
      <c r="E1214" s="386">
        <v>37</v>
      </c>
      <c r="F1214" s="386">
        <v>33.6</v>
      </c>
      <c r="G1214" s="386">
        <v>35</v>
      </c>
      <c r="H1214" s="386">
        <v>35</v>
      </c>
      <c r="I1214" s="386">
        <v>35</v>
      </c>
      <c r="J1214" s="386">
        <v>35</v>
      </c>
      <c r="K1214" s="386">
        <v>35</v>
      </c>
      <c r="L1214" s="386">
        <v>35</v>
      </c>
      <c r="M1214" s="386">
        <v>35</v>
      </c>
      <c r="N1214" s="386">
        <v>35</v>
      </c>
      <c r="O1214" s="386">
        <v>35</v>
      </c>
      <c r="P1214" s="12">
        <v>35</v>
      </c>
      <c r="Q1214" s="12">
        <v>35</v>
      </c>
      <c r="R1214" s="12">
        <v>35</v>
      </c>
      <c r="S1214" s="12">
        <v>35</v>
      </c>
    </row>
    <row r="1215" spans="1:19" x14ac:dyDescent="0.2">
      <c r="A1215" s="366" t="s">
        <v>18</v>
      </c>
      <c r="B1215" s="386">
        <v>37</v>
      </c>
      <c r="C1215" s="386">
        <v>37</v>
      </c>
      <c r="D1215" s="386">
        <v>37</v>
      </c>
      <c r="E1215" s="386">
        <v>37</v>
      </c>
      <c r="F1215" s="386">
        <v>33.6</v>
      </c>
      <c r="G1215" s="386">
        <v>35</v>
      </c>
      <c r="H1215" s="386">
        <v>35</v>
      </c>
      <c r="I1215" s="386">
        <v>42</v>
      </c>
      <c r="J1215" s="386">
        <v>42</v>
      </c>
      <c r="K1215" s="386">
        <v>42</v>
      </c>
      <c r="L1215" s="386">
        <v>42</v>
      </c>
      <c r="M1215" s="386">
        <v>42</v>
      </c>
      <c r="N1215" s="386">
        <v>42</v>
      </c>
      <c r="O1215" s="386">
        <v>42</v>
      </c>
      <c r="P1215" s="12">
        <v>35</v>
      </c>
      <c r="Q1215" s="12">
        <v>35</v>
      </c>
      <c r="R1215" s="12">
        <v>35</v>
      </c>
      <c r="S1215" s="12">
        <v>35</v>
      </c>
    </row>
    <row r="1216" spans="1:19" x14ac:dyDescent="0.2">
      <c r="A1216" s="366" t="s">
        <v>19</v>
      </c>
      <c r="B1216" s="386"/>
      <c r="C1216" s="386"/>
      <c r="D1216" s="386"/>
      <c r="E1216" s="386"/>
      <c r="F1216" s="386"/>
      <c r="G1216" s="386"/>
      <c r="H1216" s="386"/>
      <c r="I1216" s="386"/>
      <c r="J1216" s="386"/>
      <c r="K1216" s="386"/>
      <c r="L1216" s="386"/>
      <c r="M1216" s="386"/>
      <c r="N1216" s="386"/>
      <c r="O1216" s="386"/>
      <c r="P1216" s="12"/>
      <c r="Q1216" s="12"/>
      <c r="R1216" s="12"/>
      <c r="S1216" s="12"/>
    </row>
    <row r="1217" spans="1:19" x14ac:dyDescent="0.2">
      <c r="A1217" s="366" t="s">
        <v>20</v>
      </c>
      <c r="B1217" s="386">
        <v>28.84</v>
      </c>
      <c r="C1217" s="386">
        <v>28.802399999999999</v>
      </c>
      <c r="D1217" s="386">
        <v>40.781999999999996</v>
      </c>
      <c r="E1217" s="386">
        <v>27.9</v>
      </c>
      <c r="F1217" s="386">
        <v>49.6</v>
      </c>
      <c r="G1217" s="386">
        <v>16.899999999999999</v>
      </c>
      <c r="H1217" s="386">
        <v>5.7</v>
      </c>
      <c r="I1217" s="386">
        <v>9.9</v>
      </c>
      <c r="J1217" s="386">
        <v>12.6</v>
      </c>
      <c r="K1217" s="386">
        <v>9.1999999999999993</v>
      </c>
      <c r="L1217" s="386">
        <v>14.4</v>
      </c>
      <c r="M1217" s="386">
        <v>10.852466</v>
      </c>
      <c r="N1217" s="386">
        <v>7.9</v>
      </c>
      <c r="O1217" s="386">
        <v>6.1</v>
      </c>
      <c r="P1217" s="12">
        <v>6.4</v>
      </c>
      <c r="Q1217" s="12">
        <v>6.4</v>
      </c>
      <c r="R1217" s="12">
        <v>1.2</v>
      </c>
      <c r="S1217" s="12"/>
    </row>
    <row r="1218" spans="1:19" x14ac:dyDescent="0.2">
      <c r="A1218" s="366" t="s">
        <v>21</v>
      </c>
      <c r="B1218" s="386">
        <v>8.16</v>
      </c>
      <c r="C1218" s="386">
        <v>8.1976000000000013</v>
      </c>
      <c r="D1218" s="386">
        <v>3.782</v>
      </c>
      <c r="E1218" s="386">
        <v>9.1000000000000014</v>
      </c>
      <c r="F1218" s="386">
        <v>16</v>
      </c>
      <c r="G1218" s="386">
        <v>18.100000000000001</v>
      </c>
      <c r="H1218" s="386">
        <v>29.3</v>
      </c>
      <c r="I1218" s="386">
        <v>32.1</v>
      </c>
      <c r="J1218" s="386">
        <v>29.4</v>
      </c>
      <c r="K1218" s="386">
        <v>32.799999999999997</v>
      </c>
      <c r="L1218" s="386">
        <v>27.6</v>
      </c>
      <c r="M1218" s="386">
        <v>31.147534</v>
      </c>
      <c r="N1218" s="386">
        <f>N1215-N1217</f>
        <v>34.1</v>
      </c>
      <c r="O1218" s="386">
        <f>O1215-O1217</f>
        <v>35.9</v>
      </c>
      <c r="P1218" s="12">
        <f>P1214-P1217</f>
        <v>28.6</v>
      </c>
      <c r="Q1218" s="12">
        <f t="shared" ref="Q1218:R1218" si="48">Q1214-Q1217</f>
        <v>28.6</v>
      </c>
      <c r="R1218" s="12">
        <f t="shared" si="48"/>
        <v>33.799999999999997</v>
      </c>
      <c r="S1218" s="12"/>
    </row>
    <row r="1219" spans="1:19" x14ac:dyDescent="0.2">
      <c r="A1219" s="370" t="s">
        <v>22</v>
      </c>
      <c r="B1219" s="371"/>
      <c r="C1219" s="448"/>
      <c r="D1219" s="371"/>
      <c r="E1219" s="444"/>
      <c r="F1219" s="371"/>
      <c r="G1219" s="371"/>
      <c r="H1219" s="444"/>
      <c r="I1219" s="444"/>
      <c r="J1219" s="444"/>
      <c r="K1219" s="444"/>
      <c r="L1219" s="444"/>
      <c r="M1219" s="444"/>
      <c r="N1219" s="444"/>
      <c r="O1219" s="444"/>
      <c r="P1219" s="17"/>
      <c r="Q1219" s="17"/>
      <c r="R1219" s="17"/>
      <c r="S1219" s="17"/>
    </row>
    <row r="1220" spans="1:19" x14ac:dyDescent="0.2">
      <c r="A1220" s="370" t="s">
        <v>179</v>
      </c>
      <c r="B1220" s="423"/>
      <c r="C1220" s="423"/>
      <c r="D1220" s="423"/>
      <c r="E1220" s="423"/>
      <c r="F1220" s="423"/>
      <c r="G1220" s="423"/>
      <c r="H1220" s="423"/>
      <c r="I1220" s="423"/>
      <c r="J1220" s="423"/>
      <c r="K1220" s="423"/>
      <c r="L1220" s="423"/>
      <c r="M1220" s="423"/>
      <c r="N1220" s="423"/>
      <c r="O1220" s="423"/>
      <c r="P1220" s="46"/>
      <c r="Q1220" s="46"/>
      <c r="R1220" s="46"/>
      <c r="S1220" s="47"/>
    </row>
    <row r="1221" spans="1:19" x14ac:dyDescent="0.2">
      <c r="A1221" s="370" t="s">
        <v>200</v>
      </c>
      <c r="B1221" s="423"/>
      <c r="C1221" s="423"/>
      <c r="D1221" s="423"/>
      <c r="E1221" s="423"/>
      <c r="F1221" s="423"/>
      <c r="G1221" s="423"/>
      <c r="H1221" s="423"/>
      <c r="I1221" s="423"/>
      <c r="J1221" s="423"/>
      <c r="K1221" s="423"/>
      <c r="L1221" s="423"/>
      <c r="M1221" s="423"/>
      <c r="N1221" s="423"/>
      <c r="O1221" s="423"/>
      <c r="P1221" s="46"/>
      <c r="Q1221" s="46"/>
      <c r="R1221" s="46"/>
      <c r="S1221" s="47"/>
    </row>
    <row r="1222" spans="1:19" x14ac:dyDescent="0.2">
      <c r="A1222" s="377" t="s">
        <v>201</v>
      </c>
      <c r="B1222" s="345"/>
      <c r="C1222" s="345"/>
      <c r="D1222" s="345"/>
      <c r="E1222" s="345"/>
      <c r="F1222" s="345"/>
      <c r="G1222" s="345"/>
      <c r="H1222" s="345"/>
      <c r="I1222" s="345"/>
      <c r="J1222" s="345"/>
      <c r="K1222" s="345"/>
      <c r="L1222" s="345"/>
      <c r="M1222" s="345"/>
      <c r="N1222" s="345"/>
      <c r="O1222" s="345"/>
      <c r="S1222" s="64"/>
    </row>
    <row r="1223" spans="1:19" x14ac:dyDescent="0.2">
      <c r="A1223" s="377" t="s">
        <v>212</v>
      </c>
      <c r="B1223" s="345"/>
      <c r="C1223" s="345"/>
      <c r="D1223" s="345"/>
      <c r="E1223" s="345"/>
      <c r="F1223" s="345"/>
      <c r="G1223" s="345"/>
      <c r="H1223" s="345"/>
      <c r="I1223" s="345"/>
      <c r="J1223" s="345"/>
      <c r="K1223" s="345"/>
      <c r="L1223" s="345"/>
      <c r="M1223" s="345"/>
      <c r="N1223" s="345"/>
      <c r="O1223" s="345"/>
      <c r="S1223" s="64"/>
    </row>
    <row r="1224" spans="1:19" x14ac:dyDescent="0.2">
      <c r="A1224" s="377" t="s">
        <v>213</v>
      </c>
      <c r="B1224" s="345"/>
      <c r="C1224" s="345"/>
      <c r="D1224" s="345"/>
      <c r="E1224" s="345"/>
      <c r="F1224" s="345"/>
      <c r="G1224" s="345"/>
      <c r="H1224" s="345"/>
      <c r="I1224" s="345"/>
      <c r="J1224" s="345"/>
      <c r="K1224" s="345"/>
      <c r="L1224" s="345"/>
      <c r="M1224" s="345"/>
      <c r="N1224" s="345"/>
      <c r="O1224" s="345"/>
      <c r="S1224" s="64"/>
    </row>
    <row r="1225" spans="1:19" x14ac:dyDescent="0.2">
      <c r="A1225" s="377" t="s">
        <v>214</v>
      </c>
      <c r="B1225" s="345"/>
      <c r="C1225" s="379"/>
      <c r="D1225" s="381"/>
      <c r="E1225" s="380"/>
      <c r="F1225" s="345"/>
      <c r="G1225" s="345"/>
      <c r="H1225" s="381"/>
      <c r="I1225" s="345"/>
      <c r="J1225" s="345"/>
      <c r="K1225" s="345"/>
      <c r="L1225" s="345"/>
      <c r="M1225" s="345"/>
      <c r="N1225" s="345"/>
      <c r="O1225" s="345"/>
      <c r="S1225" s="64"/>
    </row>
    <row r="1226" spans="1:19" x14ac:dyDescent="0.2">
      <c r="A1226" s="377" t="s">
        <v>241</v>
      </c>
      <c r="B1226" s="345"/>
      <c r="C1226" s="345"/>
      <c r="D1226" s="345"/>
      <c r="E1226" s="345"/>
      <c r="F1226" s="345"/>
      <c r="G1226" s="345"/>
      <c r="H1226" s="381"/>
      <c r="I1226" s="345"/>
      <c r="J1226" s="345"/>
      <c r="K1226" s="345"/>
      <c r="L1226" s="345"/>
      <c r="M1226" s="345"/>
      <c r="N1226" s="345"/>
      <c r="O1226" s="345"/>
      <c r="S1226" s="64"/>
    </row>
    <row r="1227" spans="1:19" x14ac:dyDescent="0.2">
      <c r="A1227" s="377" t="s">
        <v>282</v>
      </c>
      <c r="B1227" s="345"/>
      <c r="C1227" s="345"/>
      <c r="D1227" s="345"/>
      <c r="E1227" s="345"/>
      <c r="F1227" s="345"/>
      <c r="G1227" s="345"/>
      <c r="H1227" s="381"/>
      <c r="I1227" s="345"/>
      <c r="J1227" s="345"/>
      <c r="K1227" s="345"/>
      <c r="L1227" s="345"/>
      <c r="M1227" s="345"/>
      <c r="N1227" s="345"/>
      <c r="O1227" s="345"/>
      <c r="S1227" s="64"/>
    </row>
    <row r="1228" spans="1:19" x14ac:dyDescent="0.2">
      <c r="A1228" s="377" t="s">
        <v>283</v>
      </c>
      <c r="B1228" s="345"/>
      <c r="C1228" s="345"/>
      <c r="D1228" s="345"/>
      <c r="E1228" s="345"/>
      <c r="F1228" s="345"/>
      <c r="G1228" s="345"/>
      <c r="H1228" s="381"/>
      <c r="I1228" s="345"/>
      <c r="J1228" s="345"/>
      <c r="K1228" s="345"/>
      <c r="L1228" s="345"/>
      <c r="M1228" s="345"/>
      <c r="N1228" s="345"/>
      <c r="O1228" s="345"/>
      <c r="S1228" s="64"/>
    </row>
    <row r="1229" spans="1:19" x14ac:dyDescent="0.2">
      <c r="A1229" s="377" t="s">
        <v>284</v>
      </c>
      <c r="B1229" s="345"/>
      <c r="C1229" s="345"/>
      <c r="D1229" s="345"/>
      <c r="E1229" s="345"/>
      <c r="F1229" s="345"/>
      <c r="G1229" s="345"/>
      <c r="H1229" s="381"/>
      <c r="I1229" s="345"/>
      <c r="J1229" s="345"/>
      <c r="K1229" s="345"/>
      <c r="L1229" s="345"/>
      <c r="M1229" s="345"/>
      <c r="N1229" s="345"/>
      <c r="O1229" s="345"/>
      <c r="S1229" s="64"/>
    </row>
    <row r="1230" spans="1:19" x14ac:dyDescent="0.2">
      <c r="A1230" s="377" t="s">
        <v>649</v>
      </c>
      <c r="B1230" s="345"/>
      <c r="C1230" s="345"/>
      <c r="D1230" s="345"/>
      <c r="E1230" s="345"/>
      <c r="F1230" s="345"/>
      <c r="G1230" s="345"/>
      <c r="H1230" s="381"/>
      <c r="I1230" s="345"/>
      <c r="J1230" s="345"/>
      <c r="K1230" s="345"/>
      <c r="L1230" s="345"/>
      <c r="M1230" s="345"/>
      <c r="N1230" s="345"/>
      <c r="O1230" s="345"/>
      <c r="S1230" s="64"/>
    </row>
    <row r="1231" spans="1:19" x14ac:dyDescent="0.2">
      <c r="A1231" s="377" t="s">
        <v>814</v>
      </c>
      <c r="B1231" s="345"/>
      <c r="C1231" s="345"/>
      <c r="D1231" s="345"/>
      <c r="E1231" s="345"/>
      <c r="F1231" s="345"/>
      <c r="G1231" s="345"/>
      <c r="H1231" s="381"/>
      <c r="I1231" s="345"/>
      <c r="J1231" s="345"/>
      <c r="K1231" s="345"/>
      <c r="L1231" s="345"/>
      <c r="M1231" s="345"/>
      <c r="N1231" s="345"/>
      <c r="O1231" s="345"/>
      <c r="S1231" s="64"/>
    </row>
    <row r="1232" spans="1:19" x14ac:dyDescent="0.2">
      <c r="A1232" s="449" t="s">
        <v>1195</v>
      </c>
      <c r="B1232" s="345"/>
      <c r="C1232" s="345"/>
      <c r="D1232" s="345"/>
      <c r="E1232" s="345"/>
      <c r="F1232" s="345"/>
      <c r="G1232" s="345"/>
      <c r="H1232" s="381"/>
      <c r="I1232" s="345"/>
      <c r="J1232" s="345"/>
      <c r="K1232" s="345"/>
      <c r="L1232" s="345"/>
      <c r="M1232" s="345"/>
      <c r="N1232" s="345"/>
      <c r="O1232" s="345"/>
      <c r="S1232" s="64"/>
    </row>
    <row r="1233" spans="1:19" x14ac:dyDescent="0.2">
      <c r="A1233" s="446" t="s">
        <v>1196</v>
      </c>
      <c r="B1233" s="383"/>
      <c r="C1233" s="383"/>
      <c r="D1233" s="383"/>
      <c r="E1233" s="383"/>
      <c r="F1233" s="383"/>
      <c r="G1233" s="383"/>
      <c r="H1233" s="383"/>
      <c r="I1233" s="383"/>
      <c r="J1233" s="383"/>
      <c r="K1233" s="383"/>
      <c r="L1233" s="383"/>
      <c r="M1233" s="383"/>
      <c r="N1233" s="383"/>
      <c r="O1233" s="383"/>
      <c r="P1233" s="34"/>
      <c r="Q1233" s="34"/>
      <c r="R1233" s="34"/>
      <c r="S1233" s="48"/>
    </row>
    <row r="1234" spans="1:19" x14ac:dyDescent="0.2">
      <c r="A1234" s="318"/>
      <c r="C1234" s="354"/>
    </row>
    <row r="1235" spans="1:19" s="203" customFormat="1" x14ac:dyDescent="0.2">
      <c r="A1235" s="358" t="s">
        <v>14</v>
      </c>
      <c r="B1235" s="359" t="s">
        <v>571</v>
      </c>
      <c r="C1235" s="359" t="s">
        <v>15</v>
      </c>
      <c r="D1235" s="345"/>
    </row>
    <row r="1236" spans="1:19" s="203" customFormat="1" x14ac:dyDescent="0.2">
      <c r="A1236" s="363" t="s">
        <v>16</v>
      </c>
      <c r="B1236" s="364">
        <v>2020</v>
      </c>
      <c r="C1236" s="365">
        <v>2021</v>
      </c>
      <c r="D1236" s="365">
        <v>2022</v>
      </c>
      <c r="E1236" s="365">
        <v>2023</v>
      </c>
      <c r="F1236" s="365">
        <v>2024</v>
      </c>
      <c r="G1236" s="365">
        <v>2025</v>
      </c>
    </row>
    <row r="1237" spans="1:19" s="203" customFormat="1" x14ac:dyDescent="0.2">
      <c r="A1237" s="366" t="s">
        <v>17</v>
      </c>
      <c r="B1237" s="386">
        <v>4010</v>
      </c>
      <c r="C1237" s="386">
        <v>4010</v>
      </c>
      <c r="D1237" s="386">
        <v>4010</v>
      </c>
      <c r="E1237" s="386">
        <v>4010</v>
      </c>
      <c r="F1237" s="386">
        <v>3055</v>
      </c>
      <c r="G1237" s="386">
        <v>3055</v>
      </c>
    </row>
    <row r="1238" spans="1:19" s="203" customFormat="1" x14ac:dyDescent="0.2">
      <c r="A1238" s="366" t="s">
        <v>18</v>
      </c>
      <c r="B1238" s="386"/>
      <c r="C1238" s="386"/>
      <c r="D1238" s="386"/>
      <c r="E1238" s="386"/>
      <c r="F1238" s="386">
        <f>F1237-43</f>
        <v>3012</v>
      </c>
      <c r="G1238" s="386">
        <f>G1237-43</f>
        <v>3012</v>
      </c>
    </row>
    <row r="1239" spans="1:19" s="203" customFormat="1" x14ac:dyDescent="0.2">
      <c r="A1239" s="366" t="s">
        <v>19</v>
      </c>
      <c r="B1239" s="386"/>
      <c r="C1239" s="386"/>
      <c r="D1239" s="386"/>
      <c r="E1239" s="386"/>
      <c r="F1239" s="386"/>
      <c r="G1239" s="386"/>
    </row>
    <row r="1240" spans="1:19" s="203" customFormat="1" x14ac:dyDescent="0.2">
      <c r="A1240" s="366" t="s">
        <v>20</v>
      </c>
      <c r="B1240" s="386">
        <v>1896.6</v>
      </c>
      <c r="C1240" s="386">
        <v>1798</v>
      </c>
      <c r="D1240" s="386">
        <v>2237.3000000000002</v>
      </c>
      <c r="E1240" s="386">
        <v>2254.5</v>
      </c>
      <c r="F1240" s="386">
        <v>1633</v>
      </c>
      <c r="G1240" s="386"/>
    </row>
    <row r="1241" spans="1:19" s="203" customFormat="1" x14ac:dyDescent="0.2">
      <c r="A1241" s="366" t="s">
        <v>21</v>
      </c>
      <c r="B1241" s="386">
        <v>2113.4</v>
      </c>
      <c r="C1241" s="386">
        <f>C1237-C1240</f>
        <v>2212</v>
      </c>
      <c r="D1241" s="386">
        <f>D1237-D1240</f>
        <v>1772.6999999999998</v>
      </c>
      <c r="E1241" s="386">
        <f>E1237-E1240</f>
        <v>1755.5</v>
      </c>
      <c r="F1241" s="386">
        <f>F1238-F1240</f>
        <v>1379</v>
      </c>
      <c r="G1241" s="386"/>
    </row>
    <row r="1242" spans="1:19" s="203" customFormat="1" x14ac:dyDescent="0.2">
      <c r="A1242" s="370" t="s">
        <v>22</v>
      </c>
      <c r="B1242" s="371"/>
      <c r="C1242" s="371"/>
      <c r="D1242" s="371"/>
      <c r="E1242" s="371"/>
      <c r="F1242" s="371"/>
      <c r="G1242" s="371"/>
    </row>
    <row r="1243" spans="1:19" s="203" customFormat="1" x14ac:dyDescent="0.2">
      <c r="A1243" s="366" t="s">
        <v>23</v>
      </c>
      <c r="B1243" s="445"/>
      <c r="C1243" s="445"/>
      <c r="D1243" s="445"/>
      <c r="E1243" s="445"/>
      <c r="F1243" s="445"/>
      <c r="G1243" s="450"/>
    </row>
    <row r="1244" spans="1:19" s="203" customFormat="1" x14ac:dyDescent="0.2">
      <c r="A1244" s="377" t="s">
        <v>815</v>
      </c>
      <c r="B1244" s="345"/>
      <c r="C1244" s="345"/>
      <c r="D1244" s="345"/>
      <c r="E1244" s="345"/>
      <c r="F1244" s="345"/>
      <c r="G1244" s="416"/>
    </row>
    <row r="1245" spans="1:19" s="203" customFormat="1" x14ac:dyDescent="0.2">
      <c r="A1245" s="377" t="s">
        <v>650</v>
      </c>
      <c r="B1245" s="345"/>
      <c r="C1245" s="345"/>
      <c r="D1245" s="345"/>
      <c r="E1245" s="345"/>
      <c r="F1245" s="345"/>
      <c r="G1245" s="416"/>
    </row>
    <row r="1246" spans="1:19" s="203" customFormat="1" x14ac:dyDescent="0.2">
      <c r="A1246" s="377" t="s">
        <v>651</v>
      </c>
      <c r="B1246" s="345"/>
      <c r="C1246" s="345"/>
      <c r="D1246" s="345"/>
      <c r="E1246" s="345"/>
      <c r="F1246" s="345"/>
      <c r="G1246" s="416"/>
    </row>
    <row r="1247" spans="1:19" s="203" customFormat="1" x14ac:dyDescent="0.2">
      <c r="A1247" s="377" t="s">
        <v>816</v>
      </c>
      <c r="B1247" s="345"/>
      <c r="C1247" s="345"/>
      <c r="D1247" s="345"/>
      <c r="E1247" s="345"/>
      <c r="F1247" s="345"/>
      <c r="G1247" s="416"/>
    </row>
    <row r="1248" spans="1:19" s="203" customFormat="1" x14ac:dyDescent="0.2">
      <c r="A1248" s="377" t="s">
        <v>817</v>
      </c>
      <c r="B1248" s="345"/>
      <c r="C1248" s="345"/>
      <c r="D1248" s="345"/>
      <c r="E1248" s="345"/>
      <c r="F1248" s="345"/>
      <c r="G1248" s="416"/>
    </row>
    <row r="1249" spans="1:7" s="203" customFormat="1" x14ac:dyDescent="0.2">
      <c r="A1249" s="451" t="s">
        <v>1045</v>
      </c>
      <c r="B1249" s="345"/>
      <c r="C1249" s="345"/>
      <c r="D1249" s="345"/>
      <c r="E1249" s="345"/>
      <c r="F1249" s="345"/>
      <c r="G1249" s="416"/>
    </row>
    <row r="1250" spans="1:7" x14ac:dyDescent="0.2">
      <c r="A1250" s="452" t="s">
        <v>1094</v>
      </c>
      <c r="B1250" s="34"/>
      <c r="C1250" s="316"/>
      <c r="D1250" s="34"/>
      <c r="E1250" s="34"/>
      <c r="F1250" s="34"/>
      <c r="G1250" s="48"/>
    </row>
    <row r="1251" spans="1:7" x14ac:dyDescent="0.2">
      <c r="A1251" s="453"/>
      <c r="C1251" s="354"/>
    </row>
    <row r="1252" spans="1:7" x14ac:dyDescent="0.2">
      <c r="A1252" s="358" t="s">
        <v>14</v>
      </c>
      <c r="B1252" s="426" t="s">
        <v>1057</v>
      </c>
      <c r="C1252" s="426" t="s">
        <v>15</v>
      </c>
      <c r="D1252" s="345"/>
    </row>
    <row r="1253" spans="1:7" x14ac:dyDescent="0.2">
      <c r="A1253" s="366" t="s">
        <v>16</v>
      </c>
      <c r="B1253" s="454">
        <v>2023</v>
      </c>
      <c r="C1253" s="454">
        <v>2024</v>
      </c>
      <c r="D1253" s="454">
        <v>2025</v>
      </c>
      <c r="E1253" s="455"/>
      <c r="F1253" s="454"/>
    </row>
    <row r="1254" spans="1:7" x14ac:dyDescent="0.2">
      <c r="A1254" s="366" t="s">
        <v>17</v>
      </c>
      <c r="B1254" s="367">
        <v>62</v>
      </c>
      <c r="C1254" s="367">
        <v>62</v>
      </c>
      <c r="D1254" s="367">
        <v>62</v>
      </c>
      <c r="E1254" s="456"/>
      <c r="F1254" s="367"/>
    </row>
    <row r="1255" spans="1:7" x14ac:dyDescent="0.2">
      <c r="A1255" s="366" t="s">
        <v>18</v>
      </c>
      <c r="B1255" s="367">
        <v>62</v>
      </c>
      <c r="C1255" s="367">
        <v>62</v>
      </c>
      <c r="D1255" s="367">
        <v>62</v>
      </c>
      <c r="E1255" s="456"/>
      <c r="F1255" s="367"/>
    </row>
    <row r="1256" spans="1:7" x14ac:dyDescent="0.2">
      <c r="A1256" s="366" t="s">
        <v>19</v>
      </c>
      <c r="B1256" s="367"/>
      <c r="C1256" s="367"/>
      <c r="D1256" s="367"/>
      <c r="E1256" s="456"/>
      <c r="F1256" s="367"/>
    </row>
    <row r="1257" spans="1:7" x14ac:dyDescent="0.2">
      <c r="A1257" s="366" t="s">
        <v>20</v>
      </c>
      <c r="B1257" s="367">
        <v>4.4000000000000004</v>
      </c>
      <c r="C1257" s="367">
        <v>0</v>
      </c>
      <c r="D1257" s="367"/>
      <c r="E1257" s="456"/>
      <c r="F1257" s="367"/>
    </row>
    <row r="1258" spans="1:7" x14ac:dyDescent="0.2">
      <c r="A1258" s="366" t="s">
        <v>21</v>
      </c>
      <c r="B1258" s="371">
        <f>B1254-B1257</f>
        <v>57.6</v>
      </c>
      <c r="C1258" s="371">
        <f>C1254-C1257</f>
        <v>62</v>
      </c>
      <c r="D1258" s="371"/>
      <c r="E1258" s="457"/>
      <c r="F1258" s="367"/>
    </row>
    <row r="1259" spans="1:7" x14ac:dyDescent="0.2">
      <c r="A1259" s="366" t="s">
        <v>22</v>
      </c>
      <c r="B1259" s="458"/>
      <c r="C1259" s="434"/>
      <c r="D1259" s="434"/>
      <c r="E1259" s="445"/>
      <c r="F1259" s="434"/>
    </row>
    <row r="1260" spans="1:7" x14ac:dyDescent="0.2">
      <c r="A1260" s="370" t="s">
        <v>23</v>
      </c>
      <c r="B1260" s="345"/>
      <c r="C1260" s="345"/>
      <c r="D1260" s="345"/>
      <c r="F1260" s="64"/>
    </row>
    <row r="1261" spans="1:7" x14ac:dyDescent="0.2">
      <c r="A1261" s="377" t="s">
        <v>1095</v>
      </c>
      <c r="B1261" s="345"/>
      <c r="C1261" s="345"/>
      <c r="D1261" s="345"/>
      <c r="F1261" s="64"/>
    </row>
    <row r="1262" spans="1:7" x14ac:dyDescent="0.2">
      <c r="A1262" s="446" t="s">
        <v>1197</v>
      </c>
      <c r="B1262" s="34"/>
      <c r="C1262" s="34"/>
      <c r="D1262" s="34"/>
      <c r="E1262" s="34"/>
      <c r="F1262" s="48"/>
    </row>
    <row r="1263" spans="1:7" x14ac:dyDescent="0.2">
      <c r="A1263" s="453"/>
      <c r="C1263" s="354"/>
    </row>
    <row r="1264" spans="1:7" x14ac:dyDescent="0.2">
      <c r="A1264" s="318"/>
      <c r="C1264" s="354"/>
    </row>
    <row r="1265" spans="1:14" x14ac:dyDescent="0.2">
      <c r="A1265" s="98" t="s">
        <v>674</v>
      </c>
      <c r="B1265" s="66" t="s">
        <v>673</v>
      </c>
      <c r="C1265" s="8"/>
      <c r="D1265" s="8"/>
      <c r="E1265" s="8"/>
      <c r="F1265" s="8"/>
      <c r="G1265" s="8"/>
    </row>
    <row r="1266" spans="1:14" x14ac:dyDescent="0.2">
      <c r="A1266" s="103" t="s">
        <v>14</v>
      </c>
      <c r="B1266" s="104" t="s">
        <v>624</v>
      </c>
      <c r="C1266" s="66" t="s">
        <v>15</v>
      </c>
      <c r="D1266" s="8"/>
      <c r="E1266" s="8"/>
      <c r="F1266" s="8"/>
      <c r="G1266" s="8"/>
    </row>
    <row r="1267" spans="1:14" x14ac:dyDescent="0.2">
      <c r="A1267" s="95" t="s">
        <v>16</v>
      </c>
      <c r="B1267" s="273">
        <v>2014</v>
      </c>
      <c r="C1267" s="265">
        <v>2015</v>
      </c>
      <c r="D1267" s="265">
        <v>2016</v>
      </c>
      <c r="E1267" s="265">
        <v>2017</v>
      </c>
      <c r="F1267" s="347">
        <v>2018</v>
      </c>
      <c r="G1267" s="347">
        <v>2019</v>
      </c>
      <c r="H1267" s="155">
        <v>2020</v>
      </c>
      <c r="I1267" s="155">
        <v>2021</v>
      </c>
      <c r="J1267" s="155">
        <v>2022</v>
      </c>
      <c r="K1267" s="155">
        <v>2023</v>
      </c>
      <c r="L1267" s="155">
        <v>2024</v>
      </c>
      <c r="M1267" s="155">
        <v>2025</v>
      </c>
    </row>
    <row r="1268" spans="1:14" x14ac:dyDescent="0.2">
      <c r="A1268" s="68" t="s">
        <v>17</v>
      </c>
      <c r="B1268" s="72">
        <v>200</v>
      </c>
      <c r="C1268" s="72">
        <v>200</v>
      </c>
      <c r="D1268" s="72">
        <v>200</v>
      </c>
      <c r="E1268" s="72">
        <v>200</v>
      </c>
      <c r="F1268" s="97">
        <v>200</v>
      </c>
      <c r="G1268" s="97">
        <v>215</v>
      </c>
      <c r="H1268" s="97">
        <v>215</v>
      </c>
      <c r="I1268" s="97">
        <v>242</v>
      </c>
      <c r="J1268" s="97">
        <v>242</v>
      </c>
      <c r="K1268" s="97">
        <v>242</v>
      </c>
      <c r="L1268" s="97">
        <v>302</v>
      </c>
      <c r="M1268" s="97">
        <v>302</v>
      </c>
    </row>
    <row r="1269" spans="1:14" x14ac:dyDescent="0.2">
      <c r="A1269" s="68" t="s">
        <v>18</v>
      </c>
      <c r="B1269" s="72">
        <v>250</v>
      </c>
      <c r="C1269" s="72">
        <v>215.6</v>
      </c>
      <c r="D1269" s="72">
        <v>250</v>
      </c>
      <c r="E1269" s="72">
        <v>250</v>
      </c>
      <c r="F1269" s="97">
        <v>250</v>
      </c>
      <c r="G1269" s="97">
        <v>265</v>
      </c>
      <c r="H1269" s="97">
        <v>265</v>
      </c>
      <c r="I1269" s="97">
        <f>I1268+0.25*G1268</f>
        <v>295.75</v>
      </c>
      <c r="J1269" s="97">
        <f>J1268+0.25*H1268</f>
        <v>295.75</v>
      </c>
      <c r="K1269" s="97">
        <f>K1268+I1268*0.25</f>
        <v>302.5</v>
      </c>
      <c r="L1269" s="97">
        <f>L1268+J1268*0.25</f>
        <v>362.5</v>
      </c>
      <c r="M1269" s="97">
        <f>M1268+K1268*0.25</f>
        <v>362.5</v>
      </c>
    </row>
    <row r="1270" spans="1:14" x14ac:dyDescent="0.2">
      <c r="A1270" s="68" t="s">
        <v>19</v>
      </c>
      <c r="B1270" s="459" t="s">
        <v>132</v>
      </c>
      <c r="C1270" s="254" t="s">
        <v>133</v>
      </c>
      <c r="D1270" s="254" t="s">
        <v>134</v>
      </c>
      <c r="E1270" s="254" t="s">
        <v>134</v>
      </c>
      <c r="F1270" s="254" t="s">
        <v>134</v>
      </c>
      <c r="G1270" s="254" t="s">
        <v>497</v>
      </c>
      <c r="H1270" s="254" t="s">
        <v>497</v>
      </c>
      <c r="I1270" s="254" t="s">
        <v>498</v>
      </c>
      <c r="J1270" s="254" t="s">
        <v>498</v>
      </c>
      <c r="K1270" s="254" t="s">
        <v>823</v>
      </c>
      <c r="L1270" s="254" t="s">
        <v>823</v>
      </c>
      <c r="M1270" s="254" t="s">
        <v>823</v>
      </c>
    </row>
    <row r="1271" spans="1:14" x14ac:dyDescent="0.2">
      <c r="A1271" s="68" t="s">
        <v>20</v>
      </c>
      <c r="B1271" s="72">
        <v>63.87</v>
      </c>
      <c r="C1271" s="72">
        <v>4.54</v>
      </c>
      <c r="D1271" s="72">
        <v>13.18</v>
      </c>
      <c r="E1271" s="72">
        <v>7.9</v>
      </c>
      <c r="F1271" s="97">
        <v>27.27</v>
      </c>
      <c r="G1271" s="97">
        <v>48.48</v>
      </c>
      <c r="H1271" s="12">
        <v>115.9</v>
      </c>
      <c r="I1271" s="12">
        <v>114.61</v>
      </c>
      <c r="J1271" s="12">
        <v>124.28</v>
      </c>
      <c r="K1271" s="12">
        <v>105.64</v>
      </c>
      <c r="L1271" s="12">
        <v>127.99</v>
      </c>
      <c r="M1271" s="12"/>
    </row>
    <row r="1272" spans="1:14" x14ac:dyDescent="0.2">
      <c r="A1272" s="68" t="s">
        <v>21</v>
      </c>
      <c r="B1272" s="72">
        <v>186.13</v>
      </c>
      <c r="C1272" s="72">
        <v>211.06</v>
      </c>
      <c r="D1272" s="72">
        <v>236.82</v>
      </c>
      <c r="E1272" s="72">
        <v>242.1</v>
      </c>
      <c r="F1272" s="97">
        <v>222.73</v>
      </c>
      <c r="G1272" s="97">
        <f t="shared" ref="G1272:L1272" si="49">G1269-G1271</f>
        <v>216.52</v>
      </c>
      <c r="H1272" s="12">
        <f t="shared" si="49"/>
        <v>149.1</v>
      </c>
      <c r="I1272" s="12">
        <f t="shared" si="49"/>
        <v>181.14</v>
      </c>
      <c r="J1272" s="12">
        <f t="shared" si="49"/>
        <v>171.47</v>
      </c>
      <c r="K1272" s="12">
        <f t="shared" si="49"/>
        <v>196.86</v>
      </c>
      <c r="L1272" s="12">
        <f t="shared" si="49"/>
        <v>234.51</v>
      </c>
      <c r="M1272" s="12"/>
    </row>
    <row r="1273" spans="1:14" x14ac:dyDescent="0.2">
      <c r="A1273" s="73" t="s">
        <v>22</v>
      </c>
      <c r="B1273" s="255">
        <v>2016</v>
      </c>
      <c r="C1273" s="255">
        <v>2017</v>
      </c>
      <c r="D1273" s="255">
        <v>2018</v>
      </c>
      <c r="E1273" s="255">
        <v>2019</v>
      </c>
      <c r="F1273" s="460">
        <v>2020</v>
      </c>
      <c r="G1273" s="460">
        <v>2021</v>
      </c>
      <c r="H1273" s="160">
        <v>2022</v>
      </c>
      <c r="I1273" s="160">
        <v>2023</v>
      </c>
      <c r="J1273" s="160">
        <v>2024</v>
      </c>
      <c r="K1273" s="160">
        <v>2025</v>
      </c>
      <c r="L1273" s="160">
        <v>2026</v>
      </c>
      <c r="M1273" s="181">
        <v>2027</v>
      </c>
    </row>
    <row r="1274" spans="1:14" x14ac:dyDescent="0.2">
      <c r="A1274" s="461" t="s">
        <v>135</v>
      </c>
      <c r="B1274" s="462"/>
      <c r="C1274" s="462"/>
      <c r="D1274" s="462"/>
      <c r="E1274" s="462"/>
      <c r="F1274" s="462"/>
      <c r="G1274" s="462"/>
      <c r="H1274" s="462"/>
      <c r="I1274" s="462"/>
      <c r="J1274" s="30"/>
      <c r="K1274" s="30"/>
      <c r="L1274" s="30"/>
      <c r="M1274" s="88"/>
    </row>
    <row r="1275" spans="1:14" x14ac:dyDescent="0.2">
      <c r="A1275" s="318"/>
      <c r="C1275" s="354"/>
    </row>
    <row r="1276" spans="1:14" x14ac:dyDescent="0.2">
      <c r="A1276" s="98" t="s">
        <v>14</v>
      </c>
      <c r="B1276" s="66" t="s">
        <v>638</v>
      </c>
      <c r="C1276" s="66" t="s">
        <v>15</v>
      </c>
      <c r="D1276" s="8"/>
      <c r="E1276" s="8"/>
      <c r="F1276" s="8"/>
      <c r="G1276" s="8"/>
    </row>
    <row r="1277" spans="1:14" x14ac:dyDescent="0.2">
      <c r="A1277" s="95" t="s">
        <v>16</v>
      </c>
      <c r="B1277" s="273">
        <v>2014</v>
      </c>
      <c r="C1277" s="265">
        <v>2015</v>
      </c>
      <c r="D1277" s="265">
        <v>2016</v>
      </c>
      <c r="E1277" s="265">
        <v>2017</v>
      </c>
      <c r="F1277" s="347">
        <v>2018</v>
      </c>
      <c r="G1277" s="347">
        <v>2019</v>
      </c>
      <c r="H1277" s="155">
        <v>2020</v>
      </c>
      <c r="I1277" s="155">
        <v>2021</v>
      </c>
      <c r="J1277" s="155">
        <v>2022</v>
      </c>
      <c r="K1277" s="155">
        <v>2023</v>
      </c>
      <c r="L1277" s="155">
        <v>2024</v>
      </c>
      <c r="M1277" s="155">
        <v>2025</v>
      </c>
      <c r="N1277" s="155">
        <v>2026</v>
      </c>
    </row>
    <row r="1278" spans="1:14" x14ac:dyDescent="0.2">
      <c r="A1278" s="68" t="s">
        <v>17</v>
      </c>
      <c r="B1278" s="72">
        <v>140</v>
      </c>
      <c r="C1278" s="72">
        <v>140</v>
      </c>
      <c r="D1278" s="72">
        <v>140</v>
      </c>
      <c r="E1278" s="72">
        <v>140</v>
      </c>
      <c r="F1278" s="97">
        <v>140</v>
      </c>
      <c r="G1278" s="97">
        <v>140</v>
      </c>
      <c r="H1278" s="97">
        <v>140</v>
      </c>
      <c r="I1278" s="97">
        <v>140</v>
      </c>
      <c r="J1278" s="97">
        <v>140</v>
      </c>
      <c r="K1278" s="97">
        <v>170</v>
      </c>
      <c r="L1278" s="97">
        <v>170</v>
      </c>
      <c r="M1278" s="97">
        <v>170</v>
      </c>
      <c r="N1278" s="97">
        <v>170</v>
      </c>
    </row>
    <row r="1279" spans="1:14" x14ac:dyDescent="0.2">
      <c r="A1279" s="68" t="s">
        <v>18</v>
      </c>
      <c r="B1279" s="72">
        <v>140</v>
      </c>
      <c r="C1279" s="72">
        <v>177.5</v>
      </c>
      <c r="D1279" s="72">
        <v>175</v>
      </c>
      <c r="E1279" s="72">
        <v>175</v>
      </c>
      <c r="F1279" s="97">
        <v>175</v>
      </c>
      <c r="G1279" s="97">
        <v>175</v>
      </c>
      <c r="H1279" s="97">
        <v>148.36000000000001</v>
      </c>
      <c r="I1279" s="97">
        <v>144.99</v>
      </c>
      <c r="J1279" s="97">
        <f>J1278+H1282</f>
        <v>156.91000000000003</v>
      </c>
      <c r="K1279" s="97">
        <f>K1278+I1282</f>
        <v>183.97</v>
      </c>
      <c r="L1279" s="97">
        <f>L1278+2.08</f>
        <v>172.08</v>
      </c>
      <c r="M1279" s="97">
        <f>M1278+0.25*K1278</f>
        <v>212.5</v>
      </c>
      <c r="N1279" s="97">
        <f>N1278+0.25*L1278</f>
        <v>212.5</v>
      </c>
    </row>
    <row r="1280" spans="1:14" x14ac:dyDescent="0.2">
      <c r="A1280" s="68" t="s">
        <v>19</v>
      </c>
      <c r="B1280" s="254" t="s">
        <v>136</v>
      </c>
      <c r="C1280" s="254" t="s">
        <v>137</v>
      </c>
      <c r="D1280" s="254" t="s">
        <v>138</v>
      </c>
      <c r="E1280" s="254" t="s">
        <v>138</v>
      </c>
      <c r="F1280" s="254" t="s">
        <v>138</v>
      </c>
      <c r="G1280" s="254" t="s">
        <v>138</v>
      </c>
      <c r="H1280" s="254" t="s">
        <v>285</v>
      </c>
      <c r="I1280" s="254" t="s">
        <v>499</v>
      </c>
      <c r="J1280" s="254" t="s">
        <v>500</v>
      </c>
      <c r="K1280" s="254" t="s">
        <v>734</v>
      </c>
      <c r="L1280" s="254" t="s">
        <v>929</v>
      </c>
      <c r="M1280" s="254" t="s">
        <v>1110</v>
      </c>
      <c r="N1280" s="254" t="s">
        <v>1110</v>
      </c>
    </row>
    <row r="1281" spans="1:14" x14ac:dyDescent="0.2">
      <c r="A1281" s="68" t="s">
        <v>20</v>
      </c>
      <c r="B1281" s="72">
        <v>3.42</v>
      </c>
      <c r="C1281" s="72">
        <v>3.47</v>
      </c>
      <c r="D1281" s="72">
        <v>48.27</v>
      </c>
      <c r="E1281" s="72">
        <v>85.96</v>
      </c>
      <c r="F1281" s="97">
        <v>166.64</v>
      </c>
      <c r="G1281" s="97">
        <v>170.01</v>
      </c>
      <c r="H1281" s="12">
        <v>131.44999999999999</v>
      </c>
      <c r="I1281" s="12">
        <v>131.02000000000001</v>
      </c>
      <c r="J1281" s="12">
        <v>152.91999999999999</v>
      </c>
      <c r="K1281" s="12">
        <v>88</v>
      </c>
      <c r="L1281" s="12">
        <v>168.33</v>
      </c>
      <c r="M1281" s="12"/>
      <c r="N1281" s="12"/>
    </row>
    <row r="1282" spans="1:14" x14ac:dyDescent="0.2">
      <c r="A1282" s="68" t="s">
        <v>21</v>
      </c>
      <c r="B1282" s="463">
        <v>136.58000000000001</v>
      </c>
      <c r="C1282" s="72">
        <v>174.03</v>
      </c>
      <c r="D1282" s="72">
        <v>126.73</v>
      </c>
      <c r="E1282" s="72">
        <v>89.04</v>
      </c>
      <c r="F1282" s="97">
        <v>8.36</v>
      </c>
      <c r="G1282" s="97">
        <f t="shared" ref="G1282:K1282" si="50">G1279-G1281</f>
        <v>4.9900000000000091</v>
      </c>
      <c r="H1282" s="12">
        <f t="shared" si="50"/>
        <v>16.910000000000025</v>
      </c>
      <c r="I1282" s="12">
        <f t="shared" si="50"/>
        <v>13.969999999999999</v>
      </c>
      <c r="J1282" s="12">
        <f t="shared" si="50"/>
        <v>3.9900000000000375</v>
      </c>
      <c r="K1282" s="12">
        <f t="shared" si="50"/>
        <v>95.97</v>
      </c>
      <c r="L1282" s="12">
        <f>L1279-L1281</f>
        <v>3.75</v>
      </c>
      <c r="M1282" s="12"/>
      <c r="N1282" s="12"/>
    </row>
    <row r="1283" spans="1:14" x14ac:dyDescent="0.2">
      <c r="A1283" s="73" t="s">
        <v>22</v>
      </c>
      <c r="B1283" s="255">
        <v>2016</v>
      </c>
      <c r="C1283" s="255">
        <v>2017</v>
      </c>
      <c r="D1283" s="255">
        <v>2018</v>
      </c>
      <c r="E1283" s="255">
        <v>2019</v>
      </c>
      <c r="F1283" s="460">
        <v>2020</v>
      </c>
      <c r="G1283" s="460">
        <v>2021</v>
      </c>
      <c r="H1283" s="160">
        <v>2022</v>
      </c>
      <c r="I1283" s="160">
        <v>2023</v>
      </c>
      <c r="J1283" s="160">
        <v>2024</v>
      </c>
      <c r="K1283" s="160">
        <v>2025</v>
      </c>
      <c r="L1283" s="160">
        <v>2026</v>
      </c>
      <c r="M1283" s="160">
        <v>2027</v>
      </c>
      <c r="N1283" s="198">
        <v>2028</v>
      </c>
    </row>
    <row r="1284" spans="1:14" x14ac:dyDescent="0.2">
      <c r="A1284" s="92" t="s">
        <v>135</v>
      </c>
      <c r="B1284" s="256"/>
      <c r="C1284" s="256"/>
      <c r="D1284" s="256"/>
      <c r="E1284" s="256"/>
      <c r="F1284" s="256"/>
      <c r="G1284" s="256"/>
      <c r="H1284" s="464"/>
      <c r="I1284" s="464"/>
      <c r="J1284" s="464"/>
      <c r="K1284" s="464"/>
      <c r="L1284" s="464"/>
      <c r="M1284" s="464"/>
      <c r="N1284" s="63"/>
    </row>
    <row r="1285" spans="1:14" x14ac:dyDescent="0.2">
      <c r="A1285" s="465" t="s">
        <v>930</v>
      </c>
      <c r="B1285" s="111"/>
      <c r="C1285" s="111"/>
      <c r="D1285" s="111"/>
      <c r="E1285" s="111"/>
      <c r="F1285" s="111"/>
      <c r="G1285" s="111"/>
      <c r="H1285" s="111"/>
      <c r="I1285" s="182"/>
      <c r="J1285" s="182"/>
      <c r="K1285" s="182"/>
      <c r="L1285" s="182"/>
      <c r="M1285" s="182"/>
      <c r="N1285" s="48"/>
    </row>
    <row r="1286" spans="1:14" x14ac:dyDescent="0.2">
      <c r="A1286" s="318"/>
      <c r="C1286" s="354"/>
    </row>
    <row r="1287" spans="1:14" x14ac:dyDescent="0.2">
      <c r="A1287" s="98" t="s">
        <v>14</v>
      </c>
      <c r="B1287" s="66" t="s">
        <v>623</v>
      </c>
      <c r="C1287" s="66" t="s">
        <v>152</v>
      </c>
      <c r="D1287" s="8"/>
      <c r="E1287" s="8"/>
      <c r="F1287" s="8"/>
      <c r="G1287" s="8"/>
    </row>
    <row r="1288" spans="1:14" x14ac:dyDescent="0.2">
      <c r="A1288" s="95" t="s">
        <v>16</v>
      </c>
      <c r="B1288" s="273">
        <v>2014</v>
      </c>
      <c r="C1288" s="265">
        <v>2015</v>
      </c>
      <c r="D1288" s="265">
        <v>2016</v>
      </c>
      <c r="E1288" s="265" t="s">
        <v>242</v>
      </c>
      <c r="F1288" s="265" t="s">
        <v>243</v>
      </c>
      <c r="G1288" s="265" t="s">
        <v>244</v>
      </c>
      <c r="H1288" s="265" t="s">
        <v>286</v>
      </c>
      <c r="I1288" s="265" t="s">
        <v>504</v>
      </c>
      <c r="J1288" s="265" t="s">
        <v>675</v>
      </c>
      <c r="K1288" s="265" t="s">
        <v>824</v>
      </c>
      <c r="L1288" s="265" t="s">
        <v>1047</v>
      </c>
      <c r="M1288" s="466" t="s">
        <v>1198</v>
      </c>
    </row>
    <row r="1289" spans="1:14" x14ac:dyDescent="0.2">
      <c r="A1289" s="68" t="s">
        <v>17</v>
      </c>
      <c r="B1289" s="72">
        <v>50</v>
      </c>
      <c r="C1289" s="72">
        <v>50</v>
      </c>
      <c r="D1289" s="72">
        <v>50</v>
      </c>
      <c r="E1289" s="72">
        <v>50</v>
      </c>
      <c r="F1289" s="72">
        <v>50</v>
      </c>
      <c r="G1289" s="72">
        <v>50</v>
      </c>
      <c r="H1289" s="12">
        <v>50</v>
      </c>
      <c r="I1289" s="12">
        <v>50</v>
      </c>
      <c r="J1289" s="12">
        <v>50</v>
      </c>
      <c r="K1289" s="12">
        <v>50</v>
      </c>
      <c r="L1289" s="12">
        <v>50</v>
      </c>
      <c r="M1289" s="467">
        <v>50</v>
      </c>
    </row>
    <row r="1290" spans="1:14" x14ac:dyDescent="0.2">
      <c r="A1290" s="68" t="s">
        <v>18</v>
      </c>
      <c r="B1290" s="72">
        <v>45.6</v>
      </c>
      <c r="C1290" s="72">
        <v>45.6</v>
      </c>
      <c r="D1290" s="72">
        <v>65.34</v>
      </c>
      <c r="E1290" s="72">
        <v>75</v>
      </c>
      <c r="F1290" s="72">
        <v>70</v>
      </c>
      <c r="G1290" s="72">
        <v>70</v>
      </c>
      <c r="H1290" s="12">
        <v>70</v>
      </c>
      <c r="I1290" s="12">
        <v>70</v>
      </c>
      <c r="J1290" s="12">
        <v>70</v>
      </c>
      <c r="K1290" s="12">
        <v>70</v>
      </c>
      <c r="L1290" s="12">
        <v>70</v>
      </c>
      <c r="M1290" s="467">
        <f>M1289+(K1289*0.4)</f>
        <v>70</v>
      </c>
    </row>
    <row r="1291" spans="1:14" x14ac:dyDescent="0.2">
      <c r="A1291" s="68" t="s">
        <v>19</v>
      </c>
      <c r="B1291" s="252" t="s">
        <v>139</v>
      </c>
      <c r="C1291" s="254" t="s">
        <v>139</v>
      </c>
      <c r="D1291" s="254" t="s">
        <v>140</v>
      </c>
      <c r="E1291" s="254" t="s">
        <v>141</v>
      </c>
      <c r="F1291" s="254" t="s">
        <v>245</v>
      </c>
      <c r="G1291" s="254" t="s">
        <v>245</v>
      </c>
      <c r="H1291" s="11" t="s">
        <v>245</v>
      </c>
      <c r="I1291" s="11" t="s">
        <v>245</v>
      </c>
      <c r="J1291" s="11" t="s">
        <v>245</v>
      </c>
      <c r="K1291" s="11" t="s">
        <v>245</v>
      </c>
      <c r="L1291" s="11" t="s">
        <v>245</v>
      </c>
      <c r="M1291" s="468" t="s">
        <v>1199</v>
      </c>
    </row>
    <row r="1292" spans="1:14" x14ac:dyDescent="0.2">
      <c r="A1292" s="68" t="s">
        <v>20</v>
      </c>
      <c r="B1292" s="72">
        <v>34.659999999999997</v>
      </c>
      <c r="C1292" s="72">
        <v>0</v>
      </c>
      <c r="D1292" s="72">
        <v>9.14</v>
      </c>
      <c r="E1292" s="72">
        <v>18.559999999999999</v>
      </c>
      <c r="F1292" s="72">
        <v>8.7899999999999991</v>
      </c>
      <c r="G1292" s="72">
        <v>9.3699999999999992</v>
      </c>
      <c r="H1292" s="12">
        <v>13.7</v>
      </c>
      <c r="I1292" s="12">
        <v>13.48</v>
      </c>
      <c r="J1292" s="12">
        <v>16.86</v>
      </c>
      <c r="K1292" s="12">
        <v>19.89</v>
      </c>
      <c r="L1292" s="12">
        <v>17.59</v>
      </c>
      <c r="M1292" s="467"/>
    </row>
    <row r="1293" spans="1:14" x14ac:dyDescent="0.2">
      <c r="A1293" s="68" t="s">
        <v>21</v>
      </c>
      <c r="B1293" s="72">
        <v>10.94</v>
      </c>
      <c r="C1293" s="72">
        <v>45.6</v>
      </c>
      <c r="D1293" s="72">
        <v>56.2</v>
      </c>
      <c r="E1293" s="72">
        <v>56.44</v>
      </c>
      <c r="F1293" s="72">
        <v>61.21</v>
      </c>
      <c r="G1293" s="72">
        <f t="shared" ref="G1293:L1293" si="51">G1290-G1292</f>
        <v>60.63</v>
      </c>
      <c r="H1293" s="72">
        <f t="shared" si="51"/>
        <v>56.3</v>
      </c>
      <c r="I1293" s="72">
        <f t="shared" si="51"/>
        <v>56.519999999999996</v>
      </c>
      <c r="J1293" s="72">
        <f t="shared" si="51"/>
        <v>53.14</v>
      </c>
      <c r="K1293" s="72">
        <f t="shared" si="51"/>
        <v>50.11</v>
      </c>
      <c r="L1293" s="72">
        <f t="shared" si="51"/>
        <v>52.41</v>
      </c>
      <c r="M1293" s="467"/>
    </row>
    <row r="1294" spans="1:14" x14ac:dyDescent="0.2">
      <c r="A1294" s="73" t="s">
        <v>22</v>
      </c>
      <c r="B1294" s="255">
        <v>2016</v>
      </c>
      <c r="C1294" s="255">
        <v>2017</v>
      </c>
      <c r="D1294" s="255">
        <v>2018</v>
      </c>
      <c r="E1294" s="255">
        <v>2019</v>
      </c>
      <c r="F1294" s="255">
        <v>2020</v>
      </c>
      <c r="G1294" s="255">
        <v>2021</v>
      </c>
      <c r="H1294" s="160">
        <v>2022</v>
      </c>
      <c r="I1294" s="160">
        <v>2023</v>
      </c>
      <c r="J1294" s="160">
        <v>2024</v>
      </c>
      <c r="K1294" s="160">
        <v>2025</v>
      </c>
      <c r="L1294" s="160">
        <v>2026</v>
      </c>
      <c r="M1294" s="469">
        <v>2026</v>
      </c>
    </row>
    <row r="1295" spans="1:14" x14ac:dyDescent="0.2">
      <c r="A1295" s="92" t="s">
        <v>579</v>
      </c>
      <c r="B1295" s="256"/>
      <c r="C1295" s="256"/>
      <c r="D1295" s="256"/>
      <c r="E1295" s="256"/>
      <c r="F1295" s="256"/>
      <c r="G1295" s="256"/>
      <c r="H1295" s="464"/>
      <c r="I1295" s="464"/>
      <c r="J1295" s="464"/>
      <c r="K1295" s="464"/>
      <c r="L1295" s="464"/>
      <c r="M1295" s="63"/>
    </row>
    <row r="1296" spans="1:14" x14ac:dyDescent="0.2">
      <c r="A1296" s="94" t="s">
        <v>502</v>
      </c>
      <c r="B1296" s="470"/>
      <c r="C1296" s="470"/>
      <c r="D1296" s="470"/>
      <c r="E1296" s="470"/>
      <c r="F1296" s="470"/>
      <c r="G1296" s="470"/>
      <c r="H1296" s="471"/>
      <c r="M1296" s="64"/>
    </row>
    <row r="1297" spans="1:14" x14ac:dyDescent="0.2">
      <c r="A1297" s="95" t="s">
        <v>503</v>
      </c>
      <c r="B1297" s="85"/>
      <c r="C1297" s="85"/>
      <c r="D1297" s="85"/>
      <c r="E1297" s="85"/>
      <c r="F1297" s="85"/>
      <c r="G1297" s="85"/>
      <c r="H1297" s="85"/>
      <c r="I1297" s="34"/>
      <c r="J1297" s="34"/>
      <c r="K1297" s="34"/>
      <c r="L1297" s="34"/>
      <c r="M1297" s="48"/>
    </row>
    <row r="1298" spans="1:14" ht="15.6" customHeight="1" x14ac:dyDescent="0.2">
      <c r="A1298" s="119"/>
      <c r="B1298" s="8"/>
      <c r="C1298" s="8"/>
      <c r="D1298" s="8"/>
      <c r="E1298" s="8"/>
      <c r="F1298" s="8"/>
      <c r="G1298" s="8"/>
    </row>
    <row r="1299" spans="1:14" x14ac:dyDescent="0.2">
      <c r="A1299" s="98" t="s">
        <v>14</v>
      </c>
      <c r="B1299" s="66" t="s">
        <v>641</v>
      </c>
      <c r="C1299" s="137" t="s">
        <v>152</v>
      </c>
      <c r="D1299" s="8"/>
      <c r="E1299" s="8"/>
      <c r="F1299" s="8"/>
      <c r="G1299" s="8"/>
    </row>
    <row r="1300" spans="1:14" x14ac:dyDescent="0.2">
      <c r="A1300" s="95" t="s">
        <v>16</v>
      </c>
      <c r="B1300" s="273">
        <v>2014</v>
      </c>
      <c r="C1300" s="265">
        <v>2015</v>
      </c>
      <c r="D1300" s="265">
        <v>2016</v>
      </c>
      <c r="E1300" s="265">
        <v>2017</v>
      </c>
      <c r="F1300" s="265" t="s">
        <v>243</v>
      </c>
      <c r="G1300" s="265" t="s">
        <v>244</v>
      </c>
      <c r="H1300" s="155" t="s">
        <v>286</v>
      </c>
      <c r="I1300" s="155" t="s">
        <v>504</v>
      </c>
      <c r="J1300" s="155" t="s">
        <v>675</v>
      </c>
      <c r="K1300" s="155">
        <v>2023</v>
      </c>
      <c r="L1300" s="155">
        <v>2023</v>
      </c>
      <c r="M1300" s="472">
        <v>2024</v>
      </c>
      <c r="N1300" s="472">
        <v>2025</v>
      </c>
    </row>
    <row r="1301" spans="1:14" x14ac:dyDescent="0.2">
      <c r="A1301" s="68" t="s">
        <v>17</v>
      </c>
      <c r="B1301" s="72">
        <v>50</v>
      </c>
      <c r="C1301" s="72">
        <v>50</v>
      </c>
      <c r="D1301" s="72">
        <v>50</v>
      </c>
      <c r="E1301" s="72">
        <v>50</v>
      </c>
      <c r="F1301" s="72">
        <v>50</v>
      </c>
      <c r="G1301" s="72">
        <v>50</v>
      </c>
      <c r="H1301" s="12">
        <v>50</v>
      </c>
      <c r="I1301" s="12">
        <v>50</v>
      </c>
      <c r="J1301" s="12">
        <v>50</v>
      </c>
      <c r="K1301" s="12">
        <v>50</v>
      </c>
      <c r="L1301" s="12">
        <v>50</v>
      </c>
      <c r="M1301" s="467">
        <v>50</v>
      </c>
      <c r="N1301" s="467">
        <v>50</v>
      </c>
    </row>
    <row r="1302" spans="1:14" x14ac:dyDescent="0.2">
      <c r="A1302" s="68" t="s">
        <v>18</v>
      </c>
      <c r="B1302" s="72">
        <v>50</v>
      </c>
      <c r="C1302" s="72">
        <v>60.7</v>
      </c>
      <c r="D1302" s="72">
        <v>47.37</v>
      </c>
      <c r="E1302" s="72">
        <v>65</v>
      </c>
      <c r="F1302" s="72">
        <v>60</v>
      </c>
      <c r="G1302" s="72">
        <v>60</v>
      </c>
      <c r="H1302" s="12">
        <f>H1301*1.2</f>
        <v>60</v>
      </c>
      <c r="I1302" s="12">
        <f>I1301*1.2</f>
        <v>60</v>
      </c>
      <c r="J1302" s="12">
        <f>J1301*1.2</f>
        <v>60</v>
      </c>
      <c r="K1302" s="12">
        <v>55</v>
      </c>
      <c r="L1302" s="12">
        <v>55</v>
      </c>
      <c r="M1302" s="467">
        <f>M1301+(K1301*0.1)</f>
        <v>55</v>
      </c>
      <c r="N1302" s="467">
        <f>N1301+(L1301*0.1)</f>
        <v>55</v>
      </c>
    </row>
    <row r="1303" spans="1:14" x14ac:dyDescent="0.2">
      <c r="A1303" s="68" t="s">
        <v>19</v>
      </c>
      <c r="B1303" s="254"/>
      <c r="C1303" s="254" t="s">
        <v>142</v>
      </c>
      <c r="D1303" s="254" t="s">
        <v>143</v>
      </c>
      <c r="E1303" s="254" t="s">
        <v>144</v>
      </c>
      <c r="F1303" s="254" t="s">
        <v>287</v>
      </c>
      <c r="G1303" s="254" t="s">
        <v>287</v>
      </c>
      <c r="H1303" s="254" t="s">
        <v>287</v>
      </c>
      <c r="I1303" s="254" t="s">
        <v>287</v>
      </c>
      <c r="J1303" s="254" t="s">
        <v>287</v>
      </c>
      <c r="K1303" s="254" t="s">
        <v>827</v>
      </c>
      <c r="L1303" s="254" t="s">
        <v>827</v>
      </c>
      <c r="M1303" s="473" t="s">
        <v>1200</v>
      </c>
      <c r="N1303" s="473" t="s">
        <v>1200</v>
      </c>
    </row>
    <row r="1304" spans="1:14" x14ac:dyDescent="0.2">
      <c r="A1304" s="68" t="s">
        <v>20</v>
      </c>
      <c r="B1304" s="72">
        <v>52.63</v>
      </c>
      <c r="C1304" s="72">
        <v>5.45</v>
      </c>
      <c r="D1304" s="72">
        <v>19.25</v>
      </c>
      <c r="E1304" s="72">
        <v>10.92</v>
      </c>
      <c r="F1304" s="72">
        <v>17.18</v>
      </c>
      <c r="G1304" s="72">
        <v>8.6999999999999993</v>
      </c>
      <c r="H1304" s="12">
        <v>15.41</v>
      </c>
      <c r="I1304" s="12">
        <v>5.56</v>
      </c>
      <c r="J1304" s="12">
        <v>6.37</v>
      </c>
      <c r="K1304" s="12">
        <v>4.57</v>
      </c>
      <c r="L1304" s="12"/>
      <c r="M1304" s="467">
        <v>9.85</v>
      </c>
      <c r="N1304" s="467"/>
    </row>
    <row r="1305" spans="1:14" x14ac:dyDescent="0.2">
      <c r="A1305" s="68" t="s">
        <v>21</v>
      </c>
      <c r="B1305" s="72">
        <v>-2.63</v>
      </c>
      <c r="C1305" s="72">
        <v>55.25</v>
      </c>
      <c r="D1305" s="72">
        <v>28.12</v>
      </c>
      <c r="E1305" s="72">
        <v>54.08</v>
      </c>
      <c r="F1305" s="72">
        <f t="shared" ref="F1305:K1305" si="52">F1302-F1304</f>
        <v>42.82</v>
      </c>
      <c r="G1305" s="72">
        <f t="shared" si="52"/>
        <v>51.3</v>
      </c>
      <c r="H1305" s="12">
        <f t="shared" si="52"/>
        <v>44.59</v>
      </c>
      <c r="I1305" s="12">
        <f t="shared" si="52"/>
        <v>54.44</v>
      </c>
      <c r="J1305" s="12">
        <f t="shared" si="52"/>
        <v>53.63</v>
      </c>
      <c r="K1305" s="12">
        <f t="shared" si="52"/>
        <v>50.43</v>
      </c>
      <c r="L1305" s="12"/>
      <c r="M1305" s="467">
        <f>M1302-M1304</f>
        <v>45.15</v>
      </c>
      <c r="N1305" s="467"/>
    </row>
    <row r="1306" spans="1:14" x14ac:dyDescent="0.2">
      <c r="A1306" s="73" t="s">
        <v>22</v>
      </c>
      <c r="B1306" s="255">
        <v>2016</v>
      </c>
      <c r="C1306" s="255">
        <v>2017</v>
      </c>
      <c r="D1306" s="255">
        <v>2018</v>
      </c>
      <c r="E1306" s="255">
        <v>2019</v>
      </c>
      <c r="F1306" s="255">
        <v>2020</v>
      </c>
      <c r="G1306" s="255">
        <v>2021</v>
      </c>
      <c r="H1306" s="160">
        <v>2022</v>
      </c>
      <c r="I1306" s="160">
        <v>2023</v>
      </c>
      <c r="J1306" s="160">
        <v>2024</v>
      </c>
      <c r="K1306" s="160">
        <v>2025</v>
      </c>
      <c r="L1306" s="160">
        <v>2025</v>
      </c>
      <c r="M1306" s="474">
        <v>2026</v>
      </c>
      <c r="N1306" s="474">
        <v>2026</v>
      </c>
    </row>
    <row r="1307" spans="1:14" x14ac:dyDescent="0.2">
      <c r="A1307" s="92" t="s">
        <v>455</v>
      </c>
      <c r="B1307" s="256"/>
      <c r="C1307" s="256"/>
      <c r="D1307" s="256"/>
      <c r="E1307" s="256"/>
      <c r="F1307" s="256"/>
      <c r="G1307" s="256"/>
      <c r="H1307" s="464"/>
      <c r="I1307" s="19"/>
      <c r="J1307" s="19"/>
      <c r="K1307" s="19"/>
      <c r="L1307" s="19"/>
      <c r="M1307" s="19"/>
      <c r="N1307" s="63"/>
    </row>
    <row r="1308" spans="1:14" x14ac:dyDescent="0.2">
      <c r="A1308" s="94" t="s">
        <v>825</v>
      </c>
      <c r="B1308" s="470"/>
      <c r="C1308" s="470"/>
      <c r="D1308" s="470"/>
      <c r="E1308" s="470"/>
      <c r="F1308" s="470"/>
      <c r="G1308" s="470"/>
      <c r="H1308" s="471"/>
      <c r="N1308" s="64"/>
    </row>
    <row r="1309" spans="1:14" x14ac:dyDescent="0.2">
      <c r="A1309" s="95" t="s">
        <v>826</v>
      </c>
      <c r="B1309" s="85"/>
      <c r="C1309" s="85"/>
      <c r="D1309" s="85"/>
      <c r="E1309" s="85"/>
      <c r="F1309" s="85"/>
      <c r="G1309" s="85"/>
      <c r="H1309" s="85"/>
      <c r="I1309" s="34"/>
      <c r="J1309" s="34"/>
      <c r="K1309" s="34"/>
      <c r="L1309" s="34"/>
      <c r="M1309" s="34"/>
      <c r="N1309" s="48"/>
    </row>
    <row r="1310" spans="1:14" ht="14.45" customHeight="1" x14ac:dyDescent="0.2">
      <c r="A1310" s="138"/>
      <c r="B1310" s="138"/>
      <c r="C1310" s="138"/>
      <c r="D1310" s="138"/>
      <c r="E1310" s="138"/>
      <c r="F1310" s="138"/>
      <c r="G1310" s="138"/>
      <c r="H1310" s="138"/>
    </row>
    <row r="1311" spans="1:14" ht="14.45" customHeight="1" x14ac:dyDescent="0.2">
      <c r="A1311" s="98" t="s">
        <v>203</v>
      </c>
      <c r="B1311" s="66" t="s">
        <v>642</v>
      </c>
      <c r="C1311" s="66" t="s">
        <v>152</v>
      </c>
      <c r="D1311" s="8"/>
      <c r="E1311" s="8"/>
      <c r="F1311" s="8"/>
      <c r="G1311" s="8"/>
    </row>
    <row r="1312" spans="1:14" ht="14.45" customHeight="1" x14ac:dyDescent="0.2">
      <c r="A1312" s="95" t="s">
        <v>16</v>
      </c>
      <c r="B1312" s="248"/>
      <c r="C1312" s="69"/>
      <c r="D1312" s="265">
        <v>2016</v>
      </c>
      <c r="E1312" s="265">
        <v>2017</v>
      </c>
      <c r="F1312" s="265">
        <v>2018</v>
      </c>
      <c r="G1312" s="265">
        <v>2019</v>
      </c>
      <c r="H1312" s="155">
        <v>2020</v>
      </c>
      <c r="I1312" s="155">
        <v>2021</v>
      </c>
      <c r="J1312" s="155">
        <v>2022</v>
      </c>
      <c r="K1312" s="155">
        <v>2023</v>
      </c>
      <c r="L1312" s="155">
        <v>2024</v>
      </c>
      <c r="M1312" s="155">
        <v>2025</v>
      </c>
    </row>
    <row r="1313" spans="1:13" ht="14.45" customHeight="1" x14ac:dyDescent="0.2">
      <c r="A1313" s="68" t="s">
        <v>17</v>
      </c>
      <c r="B1313" s="72"/>
      <c r="C1313" s="72"/>
      <c r="D1313" s="72">
        <v>113.66</v>
      </c>
      <c r="E1313" s="72">
        <v>136.46</v>
      </c>
      <c r="F1313" s="72">
        <v>160</v>
      </c>
      <c r="G1313" s="72">
        <v>184</v>
      </c>
      <c r="H1313" s="12">
        <v>200</v>
      </c>
      <c r="I1313" s="12">
        <v>200</v>
      </c>
      <c r="J1313" s="12">
        <v>200</v>
      </c>
      <c r="K1313" s="12">
        <v>221</v>
      </c>
      <c r="L1313" s="12">
        <v>221</v>
      </c>
      <c r="M1313" s="90">
        <v>221</v>
      </c>
    </row>
    <row r="1314" spans="1:13" ht="14.45" customHeight="1" x14ac:dyDescent="0.2">
      <c r="A1314" s="68" t="s">
        <v>18</v>
      </c>
      <c r="B1314" s="72"/>
      <c r="C1314" s="72"/>
      <c r="D1314" s="72">
        <v>163.66</v>
      </c>
      <c r="E1314" s="72">
        <v>181.46</v>
      </c>
      <c r="F1314" s="72">
        <v>210</v>
      </c>
      <c r="G1314" s="72">
        <v>234</v>
      </c>
      <c r="H1314" s="12">
        <v>251.57</v>
      </c>
      <c r="I1314" s="12">
        <f>I1313+50+H1317</f>
        <v>254.29999999999998</v>
      </c>
      <c r="J1314" s="12">
        <f>J1313+50+10</f>
        <v>260</v>
      </c>
      <c r="K1314" s="12">
        <f>K1313+50+J1317</f>
        <v>278.72399999999999</v>
      </c>
      <c r="L1314" s="12">
        <v>276.17</v>
      </c>
      <c r="M1314" s="90">
        <v>279.22000000000003</v>
      </c>
    </row>
    <row r="1315" spans="1:13" ht="14.45" customHeight="1" x14ac:dyDescent="0.2">
      <c r="A1315" s="68" t="s">
        <v>19</v>
      </c>
      <c r="B1315" s="253"/>
      <c r="C1315" s="253"/>
      <c r="D1315" s="254" t="s">
        <v>290</v>
      </c>
      <c r="E1315" s="254" t="s">
        <v>291</v>
      </c>
      <c r="F1315" s="254" t="s">
        <v>292</v>
      </c>
      <c r="G1315" s="254" t="s">
        <v>293</v>
      </c>
      <c r="H1315" s="11" t="s">
        <v>294</v>
      </c>
      <c r="I1315" s="11" t="s">
        <v>506</v>
      </c>
      <c r="J1315" s="11" t="s">
        <v>677</v>
      </c>
      <c r="K1315" s="11" t="s">
        <v>830</v>
      </c>
      <c r="L1315" s="11" t="s">
        <v>1148</v>
      </c>
      <c r="M1315" s="90" t="s">
        <v>1149</v>
      </c>
    </row>
    <row r="1316" spans="1:13" ht="14.45" customHeight="1" x14ac:dyDescent="0.2">
      <c r="A1316" s="68" t="s">
        <v>20</v>
      </c>
      <c r="B1316" s="72"/>
      <c r="C1316" s="72"/>
      <c r="D1316" s="72">
        <v>161.08000000000001</v>
      </c>
      <c r="E1316" s="72">
        <v>181.19</v>
      </c>
      <c r="F1316" s="72">
        <v>207.97</v>
      </c>
      <c r="G1316" s="72">
        <v>232.43299999999999</v>
      </c>
      <c r="H1316" s="12">
        <v>247.27</v>
      </c>
      <c r="I1316" s="12">
        <v>242.24</v>
      </c>
      <c r="J1316" s="12">
        <v>252.27600000000001</v>
      </c>
      <c r="K1316" s="12">
        <v>273.55</v>
      </c>
      <c r="L1316" s="12">
        <v>267.99</v>
      </c>
      <c r="M1316" s="90"/>
    </row>
    <row r="1317" spans="1:13" ht="14.45" customHeight="1" x14ac:dyDescent="0.2">
      <c r="A1317" s="68" t="s">
        <v>21</v>
      </c>
      <c r="B1317" s="72"/>
      <c r="C1317" s="72"/>
      <c r="D1317" s="72">
        <v>2.58</v>
      </c>
      <c r="E1317" s="72">
        <v>0.27</v>
      </c>
      <c r="F1317" s="72">
        <v>2.0299999999999998</v>
      </c>
      <c r="G1317" s="72">
        <v>1.5670000000000073</v>
      </c>
      <c r="H1317" s="12">
        <f>H1314-H1316</f>
        <v>4.2999999999999829</v>
      </c>
      <c r="I1317" s="12">
        <f>I1314-I1316</f>
        <v>12.059999999999974</v>
      </c>
      <c r="J1317" s="12">
        <f>J1314-J1316</f>
        <v>7.7239999999999895</v>
      </c>
      <c r="K1317" s="12">
        <f>K1314-K1316</f>
        <v>5.1739999999999782</v>
      </c>
      <c r="L1317" s="12">
        <v>8.1800000000000068</v>
      </c>
      <c r="M1317" s="90"/>
    </row>
    <row r="1318" spans="1:13" ht="14.45" customHeight="1" x14ac:dyDescent="0.2">
      <c r="A1318" s="73" t="s">
        <v>22</v>
      </c>
      <c r="B1318" s="74"/>
      <c r="C1318" s="74"/>
      <c r="D1318" s="74"/>
      <c r="E1318" s="74"/>
      <c r="F1318" s="74"/>
      <c r="G1318" s="255">
        <v>2020</v>
      </c>
      <c r="H1318" s="160">
        <v>2021</v>
      </c>
      <c r="I1318" s="17">
        <v>2022</v>
      </c>
      <c r="J1318" s="17">
        <v>2023</v>
      </c>
      <c r="K1318" s="17">
        <v>2024</v>
      </c>
      <c r="L1318" s="17">
        <v>2025</v>
      </c>
      <c r="M1318" s="90">
        <v>2026</v>
      </c>
    </row>
    <row r="1319" spans="1:13" ht="14.45" customHeight="1" x14ac:dyDescent="0.2">
      <c r="A1319" s="92" t="s">
        <v>295</v>
      </c>
      <c r="B1319" s="93"/>
      <c r="C1319" s="93"/>
      <c r="D1319" s="93"/>
      <c r="E1319" s="93"/>
      <c r="F1319" s="93"/>
      <c r="G1319" s="93"/>
      <c r="H1319" s="19"/>
      <c r="I1319" s="19"/>
      <c r="J1319" s="19"/>
      <c r="K1319" s="19"/>
      <c r="L1319" s="19"/>
      <c r="M1319" s="63"/>
    </row>
    <row r="1320" spans="1:13" ht="14.45" customHeight="1" x14ac:dyDescent="0.2">
      <c r="A1320" s="94" t="s">
        <v>296</v>
      </c>
      <c r="B1320" s="8"/>
      <c r="C1320" s="8"/>
      <c r="D1320" s="8"/>
      <c r="E1320" s="8"/>
      <c r="F1320" s="8"/>
      <c r="G1320" s="8"/>
      <c r="M1320" s="64"/>
    </row>
    <row r="1321" spans="1:13" ht="14.45" customHeight="1" x14ac:dyDescent="0.2">
      <c r="A1321" s="94" t="s">
        <v>297</v>
      </c>
      <c r="B1321" s="8"/>
      <c r="C1321" s="8"/>
      <c r="D1321" s="8"/>
      <c r="E1321" s="8"/>
      <c r="F1321" s="8"/>
      <c r="G1321" s="8"/>
      <c r="M1321" s="64"/>
    </row>
    <row r="1322" spans="1:13" ht="14.45" customHeight="1" x14ac:dyDescent="0.2">
      <c r="A1322" s="94" t="s">
        <v>298</v>
      </c>
      <c r="B1322" s="8"/>
      <c r="C1322" s="8"/>
      <c r="D1322" s="8"/>
      <c r="E1322" s="8"/>
      <c r="F1322" s="8"/>
      <c r="G1322" s="8"/>
      <c r="M1322" s="64"/>
    </row>
    <row r="1323" spans="1:13" ht="14.45" customHeight="1" x14ac:dyDescent="0.2">
      <c r="A1323" s="94" t="s">
        <v>505</v>
      </c>
      <c r="B1323" s="8"/>
      <c r="C1323" s="8"/>
      <c r="D1323" s="8"/>
      <c r="E1323" s="8"/>
      <c r="F1323" s="8"/>
      <c r="G1323" s="8"/>
      <c r="M1323" s="64"/>
    </row>
    <row r="1324" spans="1:13" ht="14.45" customHeight="1" x14ac:dyDescent="0.2">
      <c r="A1324" s="94" t="s">
        <v>676</v>
      </c>
      <c r="B1324" s="8"/>
      <c r="C1324" s="8"/>
      <c r="D1324" s="8"/>
      <c r="E1324" s="8"/>
      <c r="F1324" s="8"/>
      <c r="G1324" s="8"/>
      <c r="M1324" s="64"/>
    </row>
    <row r="1325" spans="1:13" ht="14.45" customHeight="1" x14ac:dyDescent="0.2">
      <c r="A1325" s="94" t="s">
        <v>828</v>
      </c>
      <c r="B1325" s="8"/>
      <c r="C1325" s="8"/>
      <c r="D1325" s="8"/>
      <c r="E1325" s="8"/>
      <c r="F1325" s="8"/>
      <c r="G1325" s="8"/>
      <c r="M1325" s="64"/>
    </row>
    <row r="1326" spans="1:13" ht="14.45" customHeight="1" x14ac:dyDescent="0.2">
      <c r="A1326" s="95" t="s">
        <v>829</v>
      </c>
      <c r="B1326" s="85"/>
      <c r="C1326" s="85"/>
      <c r="D1326" s="85"/>
      <c r="E1326" s="85"/>
      <c r="F1326" s="85"/>
      <c r="G1326" s="85"/>
      <c r="H1326" s="34"/>
      <c r="I1326" s="34"/>
      <c r="J1326" s="34"/>
      <c r="K1326" s="34"/>
      <c r="L1326" s="34"/>
      <c r="M1326" s="48"/>
    </row>
    <row r="1327" spans="1:13" ht="14.45" customHeight="1" x14ac:dyDescent="0.2">
      <c r="A1327" s="138"/>
      <c r="B1327" s="138"/>
      <c r="C1327" s="138"/>
      <c r="D1327" s="138"/>
      <c r="E1327" s="138"/>
      <c r="F1327" s="138"/>
      <c r="G1327" s="138"/>
      <c r="H1327" s="138"/>
    </row>
    <row r="1328" spans="1:13" x14ac:dyDescent="0.2">
      <c r="A1328" s="98" t="s">
        <v>203</v>
      </c>
      <c r="B1328" s="66" t="s">
        <v>66</v>
      </c>
      <c r="C1328" s="66" t="s">
        <v>152</v>
      </c>
      <c r="D1328" s="8"/>
      <c r="E1328" s="8"/>
      <c r="F1328" s="8"/>
      <c r="G1328" s="8"/>
    </row>
    <row r="1329" spans="1:13" x14ac:dyDescent="0.2">
      <c r="A1329" s="95" t="s">
        <v>16</v>
      </c>
      <c r="B1329" s="273">
        <v>2014</v>
      </c>
      <c r="C1329" s="265">
        <v>2015</v>
      </c>
      <c r="D1329" s="265">
        <v>2016</v>
      </c>
      <c r="E1329" s="265">
        <v>2017</v>
      </c>
      <c r="F1329" s="265">
        <v>2018</v>
      </c>
      <c r="G1329" s="265">
        <v>2019</v>
      </c>
      <c r="H1329" s="155">
        <v>2020</v>
      </c>
      <c r="I1329" s="155">
        <v>2021</v>
      </c>
      <c r="J1329" s="155">
        <v>2022</v>
      </c>
      <c r="K1329" s="155">
        <v>2023</v>
      </c>
      <c r="L1329" s="155">
        <v>2024</v>
      </c>
      <c r="M1329" s="472" t="s">
        <v>1201</v>
      </c>
    </row>
    <row r="1330" spans="1:13" x14ac:dyDescent="0.2">
      <c r="A1330" s="68" t="s">
        <v>17</v>
      </c>
      <c r="B1330" s="72">
        <v>1983</v>
      </c>
      <c r="C1330" s="72">
        <v>1983</v>
      </c>
      <c r="D1330" s="72">
        <v>1486</v>
      </c>
      <c r="E1330" s="72">
        <v>1486</v>
      </c>
      <c r="F1330" s="72">
        <v>1486</v>
      </c>
      <c r="G1330" s="72">
        <v>1486</v>
      </c>
      <c r="H1330" s="12">
        <v>1000</v>
      </c>
      <c r="I1330" s="12">
        <v>984</v>
      </c>
      <c r="J1330" s="12">
        <v>992</v>
      </c>
      <c r="K1330" s="12">
        <v>992</v>
      </c>
      <c r="L1330" s="12">
        <v>992</v>
      </c>
      <c r="M1330" s="467">
        <v>1100</v>
      </c>
    </row>
    <row r="1331" spans="1:13" x14ac:dyDescent="0.2">
      <c r="A1331" s="68" t="s">
        <v>18</v>
      </c>
      <c r="B1331" s="72">
        <v>2557.9</v>
      </c>
      <c r="C1331" s="72">
        <v>2557.9</v>
      </c>
      <c r="D1331" s="72">
        <v>2080.9</v>
      </c>
      <c r="E1331" s="72">
        <v>1708.9</v>
      </c>
      <c r="F1331" s="72">
        <v>1485.9</v>
      </c>
      <c r="G1331" s="72">
        <v>1485.9</v>
      </c>
      <c r="H1331" s="12">
        <f>H1330+F1330*0.15-223</f>
        <v>999.90000000000009</v>
      </c>
      <c r="I1331" s="12">
        <f>I1330-223+G1330*0.1</f>
        <v>909.6</v>
      </c>
      <c r="J1331" s="12">
        <f>J1330-223+H1330*0.1</f>
        <v>869</v>
      </c>
      <c r="K1331" s="12">
        <f>K1330+0.1*I1330-223</f>
        <v>867.40000000000009</v>
      </c>
      <c r="L1331" s="12">
        <f>L1330+0.1*J1330-223</f>
        <v>868.2</v>
      </c>
      <c r="M1331" s="475">
        <v>1010.74</v>
      </c>
    </row>
    <row r="1332" spans="1:13" ht="28.9" customHeight="1" x14ac:dyDescent="0.2">
      <c r="A1332" s="68" t="s">
        <v>19</v>
      </c>
      <c r="B1332" s="253" t="s">
        <v>145</v>
      </c>
      <c r="C1332" s="253" t="s">
        <v>145</v>
      </c>
      <c r="D1332" s="253" t="s">
        <v>146</v>
      </c>
      <c r="E1332" s="253" t="s">
        <v>147</v>
      </c>
      <c r="F1332" s="253" t="s">
        <v>215</v>
      </c>
      <c r="G1332" s="253" t="s">
        <v>216</v>
      </c>
      <c r="H1332" s="196" t="s">
        <v>508</v>
      </c>
      <c r="I1332" s="196" t="s">
        <v>678</v>
      </c>
      <c r="J1332" s="196" t="s">
        <v>679</v>
      </c>
      <c r="K1332" s="196" t="s">
        <v>833</v>
      </c>
      <c r="L1332" s="196" t="s">
        <v>1048</v>
      </c>
      <c r="M1332" s="475"/>
    </row>
    <row r="1333" spans="1:13" x14ac:dyDescent="0.2">
      <c r="A1333" s="68" t="s">
        <v>20</v>
      </c>
      <c r="B1333" s="72">
        <v>1038.83</v>
      </c>
      <c r="C1333" s="72">
        <v>670.7</v>
      </c>
      <c r="D1333" s="72">
        <v>561.97</v>
      </c>
      <c r="E1333" s="72">
        <v>432.09</v>
      </c>
      <c r="F1333" s="72">
        <v>662.7</v>
      </c>
      <c r="G1333" s="72">
        <v>539.84</v>
      </c>
      <c r="H1333" s="12">
        <v>587.15</v>
      </c>
      <c r="I1333" s="12">
        <v>674.38</v>
      </c>
      <c r="J1333" s="12">
        <v>763.45</v>
      </c>
      <c r="K1333" s="12">
        <v>724.12</v>
      </c>
      <c r="L1333" s="12">
        <v>729.68</v>
      </c>
      <c r="M1333" s="467"/>
    </row>
    <row r="1334" spans="1:13" x14ac:dyDescent="0.2">
      <c r="A1334" s="68" t="s">
        <v>21</v>
      </c>
      <c r="B1334" s="72">
        <v>1519.07</v>
      </c>
      <c r="C1334" s="72">
        <v>1887.2</v>
      </c>
      <c r="D1334" s="72">
        <v>1518.93</v>
      </c>
      <c r="E1334" s="72">
        <v>1276.8100000000002</v>
      </c>
      <c r="F1334" s="72">
        <v>823.2</v>
      </c>
      <c r="G1334" s="72">
        <f>G1331-G1333</f>
        <v>946.06000000000006</v>
      </c>
      <c r="H1334" s="12">
        <f>H1331-H1333</f>
        <v>412.75000000000011</v>
      </c>
      <c r="I1334" s="12">
        <f>I1331-I1333</f>
        <v>235.22000000000003</v>
      </c>
      <c r="J1334" s="12">
        <f>J1331-J1333</f>
        <v>105.54999999999995</v>
      </c>
      <c r="K1334" s="12">
        <f>K1331-K1333</f>
        <v>143.28000000000009</v>
      </c>
      <c r="L1334" s="12">
        <v>484.72000000000014</v>
      </c>
      <c r="M1334" s="467"/>
    </row>
    <row r="1335" spans="1:13" x14ac:dyDescent="0.2">
      <c r="A1335" s="73" t="s">
        <v>22</v>
      </c>
      <c r="B1335" s="255">
        <v>2016</v>
      </c>
      <c r="C1335" s="255">
        <v>2017</v>
      </c>
      <c r="D1335" s="255">
        <v>2018</v>
      </c>
      <c r="E1335" s="255">
        <v>2019</v>
      </c>
      <c r="F1335" s="255">
        <v>2020</v>
      </c>
      <c r="G1335" s="255">
        <v>2021</v>
      </c>
      <c r="H1335" s="160">
        <v>2022</v>
      </c>
      <c r="I1335" s="160">
        <v>2023</v>
      </c>
      <c r="J1335" s="160">
        <v>2024</v>
      </c>
      <c r="K1335" s="160">
        <v>2025</v>
      </c>
      <c r="L1335" s="160">
        <v>2026</v>
      </c>
      <c r="M1335" s="469">
        <v>2027</v>
      </c>
    </row>
    <row r="1336" spans="1:13" x14ac:dyDescent="0.2">
      <c r="A1336" s="92" t="s">
        <v>580</v>
      </c>
      <c r="B1336" s="256"/>
      <c r="C1336" s="256"/>
      <c r="D1336" s="256"/>
      <c r="E1336" s="256"/>
      <c r="F1336" s="256"/>
      <c r="G1336" s="256"/>
      <c r="H1336" s="464"/>
      <c r="I1336" s="464"/>
      <c r="J1336" s="464"/>
      <c r="K1336" s="464"/>
      <c r="L1336" s="464"/>
      <c r="M1336" s="63"/>
    </row>
    <row r="1337" spans="1:13" x14ac:dyDescent="0.2">
      <c r="A1337" s="94" t="s">
        <v>288</v>
      </c>
      <c r="B1337" s="8"/>
      <c r="C1337" s="8"/>
      <c r="D1337" s="8"/>
      <c r="E1337" s="8"/>
      <c r="F1337" s="8"/>
      <c r="G1337" s="8"/>
      <c r="M1337" s="64"/>
    </row>
    <row r="1338" spans="1:13" x14ac:dyDescent="0.2">
      <c r="A1338" s="94" t="s">
        <v>289</v>
      </c>
      <c r="B1338" s="8"/>
      <c r="C1338" s="8"/>
      <c r="D1338" s="8"/>
      <c r="E1338" s="8"/>
      <c r="F1338" s="8"/>
      <c r="G1338" s="8"/>
      <c r="M1338" s="64"/>
    </row>
    <row r="1339" spans="1:13" x14ac:dyDescent="0.2">
      <c r="A1339" s="94" t="s">
        <v>509</v>
      </c>
      <c r="B1339" s="8"/>
      <c r="C1339" s="8"/>
      <c r="D1339" s="8"/>
      <c r="E1339" s="8"/>
      <c r="F1339" s="8"/>
      <c r="G1339" s="8"/>
      <c r="M1339" s="64"/>
    </row>
    <row r="1340" spans="1:13" x14ac:dyDescent="0.2">
      <c r="A1340" s="94" t="s">
        <v>148</v>
      </c>
      <c r="B1340" s="8"/>
      <c r="C1340" s="8"/>
      <c r="D1340" s="8"/>
      <c r="E1340" s="8"/>
      <c r="F1340" s="8"/>
      <c r="G1340" s="8"/>
      <c r="M1340" s="64"/>
    </row>
    <row r="1341" spans="1:13" x14ac:dyDescent="0.2">
      <c r="A1341" s="94" t="s">
        <v>507</v>
      </c>
      <c r="B1341" s="8"/>
      <c r="C1341" s="8"/>
      <c r="D1341" s="8"/>
      <c r="E1341" s="8"/>
      <c r="F1341" s="8"/>
      <c r="G1341" s="8"/>
      <c r="M1341" s="64"/>
    </row>
    <row r="1342" spans="1:13" x14ac:dyDescent="0.2">
      <c r="A1342" s="94" t="s">
        <v>680</v>
      </c>
      <c r="B1342" s="8"/>
      <c r="C1342" s="8"/>
      <c r="D1342" s="8"/>
      <c r="E1342" s="8"/>
      <c r="F1342" s="8"/>
      <c r="G1342" s="8"/>
      <c r="M1342" s="64"/>
    </row>
    <row r="1343" spans="1:13" x14ac:dyDescent="0.2">
      <c r="A1343" s="94" t="s">
        <v>831</v>
      </c>
      <c r="B1343" s="8"/>
      <c r="C1343" s="8"/>
      <c r="D1343" s="8"/>
      <c r="E1343" s="8"/>
      <c r="F1343" s="8"/>
      <c r="G1343" s="8"/>
      <c r="M1343" s="64"/>
    </row>
    <row r="1344" spans="1:13" x14ac:dyDescent="0.2">
      <c r="A1344" s="95" t="s">
        <v>832</v>
      </c>
      <c r="B1344" s="85"/>
      <c r="C1344" s="85"/>
      <c r="D1344" s="85"/>
      <c r="E1344" s="85"/>
      <c r="F1344" s="85"/>
      <c r="G1344" s="85"/>
      <c r="H1344" s="34"/>
      <c r="I1344" s="34"/>
      <c r="J1344" s="34"/>
      <c r="K1344" s="34"/>
      <c r="L1344" s="34"/>
      <c r="M1344" s="48"/>
    </row>
    <row r="1345" spans="1:13" x14ac:dyDescent="0.2">
      <c r="A1345" s="8"/>
      <c r="B1345" s="8"/>
      <c r="C1345" s="8"/>
      <c r="D1345" s="8"/>
      <c r="E1345" s="8"/>
      <c r="F1345" s="8"/>
      <c r="G1345" s="8"/>
    </row>
    <row r="1346" spans="1:13" x14ac:dyDescent="0.2">
      <c r="A1346" s="318"/>
      <c r="C1346" s="354"/>
    </row>
    <row r="1347" spans="1:13" x14ac:dyDescent="0.2">
      <c r="A1347" s="98" t="s">
        <v>203</v>
      </c>
      <c r="B1347" s="66" t="s">
        <v>74</v>
      </c>
      <c r="C1347" s="66" t="s">
        <v>152</v>
      </c>
      <c r="D1347" s="8"/>
      <c r="E1347" s="8"/>
      <c r="F1347" s="8"/>
      <c r="G1347" s="8"/>
    </row>
    <row r="1348" spans="1:13" x14ac:dyDescent="0.2">
      <c r="A1348" s="95" t="s">
        <v>16</v>
      </c>
      <c r="B1348" s="273">
        <v>2014</v>
      </c>
      <c r="C1348" s="265">
        <v>2015</v>
      </c>
      <c r="D1348" s="265">
        <v>2016</v>
      </c>
      <c r="E1348" s="265">
        <v>2017</v>
      </c>
      <c r="F1348" s="265">
        <v>2018</v>
      </c>
      <c r="G1348" s="265">
        <v>2019</v>
      </c>
      <c r="H1348" s="155">
        <v>2020</v>
      </c>
      <c r="I1348" s="155">
        <v>2021</v>
      </c>
      <c r="J1348" s="155">
        <v>2022</v>
      </c>
      <c r="K1348" s="155">
        <v>2023</v>
      </c>
      <c r="L1348" s="155">
        <v>2024</v>
      </c>
      <c r="M1348" s="155">
        <v>2025</v>
      </c>
    </row>
    <row r="1349" spans="1:13" x14ac:dyDescent="0.2">
      <c r="A1349" s="68" t="s">
        <v>17</v>
      </c>
      <c r="B1349" s="72">
        <v>35</v>
      </c>
      <c r="C1349" s="72">
        <v>35</v>
      </c>
      <c r="D1349" s="72">
        <v>35</v>
      </c>
      <c r="E1349" s="72">
        <v>35</v>
      </c>
      <c r="F1349" s="72">
        <v>35</v>
      </c>
      <c r="G1349" s="72">
        <v>35</v>
      </c>
      <c r="H1349" s="12">
        <v>29.4</v>
      </c>
      <c r="I1349" s="12">
        <v>29.4</v>
      </c>
      <c r="J1349" s="12">
        <v>29.4</v>
      </c>
      <c r="K1349" s="12">
        <v>29.4</v>
      </c>
      <c r="L1349" s="12">
        <v>29.4</v>
      </c>
      <c r="M1349" s="12">
        <v>29.4</v>
      </c>
    </row>
    <row r="1350" spans="1:13" x14ac:dyDescent="0.2">
      <c r="A1350" s="68" t="s">
        <v>18</v>
      </c>
      <c r="B1350" s="72">
        <v>35</v>
      </c>
      <c r="C1350" s="72">
        <v>42</v>
      </c>
      <c r="D1350" s="72">
        <v>42</v>
      </c>
      <c r="E1350" s="72">
        <v>42</v>
      </c>
      <c r="F1350" s="72">
        <v>42</v>
      </c>
      <c r="G1350" s="72">
        <v>42</v>
      </c>
      <c r="H1350" s="12">
        <v>36.4</v>
      </c>
      <c r="I1350" s="12">
        <v>36.4</v>
      </c>
      <c r="J1350" s="12"/>
      <c r="K1350" s="12"/>
      <c r="L1350" s="12">
        <v>29.4</v>
      </c>
      <c r="M1350" s="12">
        <v>29.4</v>
      </c>
    </row>
    <row r="1351" spans="1:13" x14ac:dyDescent="0.2">
      <c r="A1351" s="68" t="s">
        <v>19</v>
      </c>
      <c r="B1351" s="266" t="s">
        <v>136</v>
      </c>
      <c r="C1351" s="476" t="s">
        <v>149</v>
      </c>
      <c r="D1351" s="476" t="s">
        <v>149</v>
      </c>
      <c r="E1351" s="476" t="s">
        <v>149</v>
      </c>
      <c r="F1351" s="476" t="s">
        <v>149</v>
      </c>
      <c r="G1351" s="476" t="s">
        <v>149</v>
      </c>
      <c r="H1351" s="287" t="s">
        <v>299</v>
      </c>
      <c r="I1351" s="287" t="s">
        <v>299</v>
      </c>
      <c r="J1351" s="287"/>
      <c r="K1351" s="287"/>
      <c r="L1351" s="12">
        <v>29.4</v>
      </c>
      <c r="M1351" s="12">
        <v>29.4</v>
      </c>
    </row>
    <row r="1352" spans="1:13" x14ac:dyDescent="0.2">
      <c r="A1352" s="68" t="s">
        <v>20</v>
      </c>
      <c r="B1352" s="72">
        <v>9.7799999999999994</v>
      </c>
      <c r="C1352" s="72">
        <v>3.07</v>
      </c>
      <c r="D1352" s="72">
        <v>26.19</v>
      </c>
      <c r="E1352" s="72">
        <v>25.13</v>
      </c>
      <c r="F1352" s="72">
        <v>24.55</v>
      </c>
      <c r="G1352" s="72">
        <v>12.91</v>
      </c>
      <c r="H1352" s="12">
        <v>20.36</v>
      </c>
      <c r="I1352" s="12">
        <v>11.52</v>
      </c>
      <c r="J1352" s="12">
        <v>10.3</v>
      </c>
      <c r="K1352" s="12">
        <v>12.92</v>
      </c>
      <c r="L1352" s="12">
        <v>16.309999999999999</v>
      </c>
      <c r="M1352" s="12"/>
    </row>
    <row r="1353" spans="1:13" x14ac:dyDescent="0.2">
      <c r="A1353" s="68" t="s">
        <v>21</v>
      </c>
      <c r="B1353" s="72">
        <v>25.22</v>
      </c>
      <c r="C1353" s="72">
        <v>38.93</v>
      </c>
      <c r="D1353" s="72">
        <v>15.81</v>
      </c>
      <c r="E1353" s="72">
        <v>16.87</v>
      </c>
      <c r="F1353" s="72">
        <v>17.45</v>
      </c>
      <c r="G1353" s="72">
        <f>G1350-G1352</f>
        <v>29.09</v>
      </c>
      <c r="H1353" s="12">
        <f>H1350-H1352</f>
        <v>16.04</v>
      </c>
      <c r="I1353" s="12">
        <f>I1350-I1352</f>
        <v>24.88</v>
      </c>
      <c r="J1353" s="12">
        <f>J1349-J1352</f>
        <v>19.099999999999998</v>
      </c>
      <c r="K1353" s="12">
        <f>K1349-K1352</f>
        <v>16.479999999999997</v>
      </c>
      <c r="L1353" s="12">
        <f>L1349-L1352</f>
        <v>13.09</v>
      </c>
      <c r="M1353" s="90"/>
    </row>
    <row r="1354" spans="1:13" x14ac:dyDescent="0.2">
      <c r="A1354" s="73" t="s">
        <v>22</v>
      </c>
      <c r="B1354" s="255">
        <v>2016</v>
      </c>
      <c r="C1354" s="255">
        <v>2017</v>
      </c>
      <c r="D1354" s="255">
        <v>2018</v>
      </c>
      <c r="E1354" s="255">
        <v>2019</v>
      </c>
      <c r="F1354" s="255">
        <v>2020</v>
      </c>
      <c r="G1354" s="255">
        <v>2021</v>
      </c>
      <c r="H1354" s="255">
        <v>2022</v>
      </c>
      <c r="I1354" s="255">
        <v>2023</v>
      </c>
      <c r="J1354" s="255">
        <v>2024</v>
      </c>
      <c r="K1354" s="255">
        <v>2025</v>
      </c>
      <c r="L1354" s="255">
        <v>2026</v>
      </c>
      <c r="M1354" s="255">
        <v>2027</v>
      </c>
    </row>
    <row r="1355" spans="1:13" x14ac:dyDescent="0.2">
      <c r="A1355" s="92" t="s">
        <v>150</v>
      </c>
      <c r="B1355" s="256"/>
      <c r="C1355" s="256"/>
      <c r="D1355" s="256"/>
      <c r="E1355" s="256"/>
      <c r="F1355" s="256"/>
      <c r="G1355" s="256"/>
      <c r="H1355" s="256"/>
      <c r="I1355" s="256"/>
      <c r="J1355" s="256"/>
      <c r="K1355" s="256"/>
      <c r="L1355" s="19"/>
      <c r="M1355" s="63"/>
    </row>
    <row r="1356" spans="1:13" x14ac:dyDescent="0.2">
      <c r="A1356" s="94" t="s">
        <v>581</v>
      </c>
      <c r="B1356" s="470"/>
      <c r="C1356" s="470"/>
      <c r="D1356" s="470"/>
      <c r="E1356" s="470"/>
      <c r="F1356" s="470"/>
      <c r="G1356" s="470"/>
      <c r="H1356" s="470"/>
      <c r="I1356" s="470"/>
      <c r="J1356" s="470"/>
      <c r="K1356" s="470"/>
      <c r="M1356" s="64"/>
    </row>
    <row r="1357" spans="1:13" x14ac:dyDescent="0.2">
      <c r="A1357" s="110" t="s">
        <v>510</v>
      </c>
      <c r="B1357" s="111"/>
      <c r="C1357" s="111"/>
      <c r="D1357" s="111"/>
      <c r="E1357" s="111"/>
      <c r="F1357" s="111"/>
      <c r="G1357" s="111"/>
      <c r="H1357" s="111"/>
      <c r="I1357" s="111"/>
      <c r="J1357" s="111"/>
      <c r="K1357" s="111"/>
      <c r="L1357" s="34"/>
      <c r="M1357" s="48"/>
    </row>
    <row r="1358" spans="1:13" x14ac:dyDescent="0.2">
      <c r="A1358" s="318"/>
      <c r="C1358" s="354"/>
    </row>
    <row r="1359" spans="1:13" x14ac:dyDescent="0.2">
      <c r="A1359" s="98" t="s">
        <v>14</v>
      </c>
      <c r="B1359" s="66" t="s">
        <v>79</v>
      </c>
      <c r="C1359" s="66" t="s">
        <v>152</v>
      </c>
      <c r="D1359" s="8"/>
      <c r="E1359" s="8"/>
      <c r="F1359" s="8"/>
      <c r="G1359" s="8"/>
    </row>
    <row r="1360" spans="1:13" x14ac:dyDescent="0.2">
      <c r="A1360" s="95" t="s">
        <v>16</v>
      </c>
      <c r="B1360" s="273">
        <v>2014</v>
      </c>
      <c r="C1360" s="265">
        <v>2015</v>
      </c>
      <c r="D1360" s="265">
        <v>2016</v>
      </c>
      <c r="E1360" s="265">
        <v>2017</v>
      </c>
      <c r="F1360" s="265">
        <v>2018</v>
      </c>
      <c r="G1360" s="265">
        <v>2019</v>
      </c>
      <c r="H1360" s="155">
        <v>2020</v>
      </c>
      <c r="I1360" s="155">
        <v>2021</v>
      </c>
      <c r="J1360" s="155">
        <v>2022</v>
      </c>
      <c r="K1360" s="155">
        <v>2023</v>
      </c>
      <c r="L1360" s="472">
        <v>2024</v>
      </c>
      <c r="M1360" s="472">
        <v>2025</v>
      </c>
    </row>
    <row r="1361" spans="1:13" x14ac:dyDescent="0.2">
      <c r="A1361" s="68" t="s">
        <v>17</v>
      </c>
      <c r="B1361" s="72">
        <v>20</v>
      </c>
      <c r="C1361" s="72">
        <v>20</v>
      </c>
      <c r="D1361" s="72">
        <v>20</v>
      </c>
      <c r="E1361" s="72">
        <v>20</v>
      </c>
      <c r="F1361" s="72">
        <v>20</v>
      </c>
      <c r="G1361" s="72">
        <v>20</v>
      </c>
      <c r="H1361" s="72">
        <v>20</v>
      </c>
      <c r="I1361" s="72">
        <v>20</v>
      </c>
      <c r="J1361" s="72">
        <v>20</v>
      </c>
      <c r="K1361" s="72">
        <v>20</v>
      </c>
      <c r="L1361" s="477">
        <v>20</v>
      </c>
      <c r="M1361" s="477">
        <v>20</v>
      </c>
    </row>
    <row r="1362" spans="1:13" x14ac:dyDescent="0.2">
      <c r="A1362" s="68" t="s">
        <v>18</v>
      </c>
      <c r="B1362" s="72">
        <v>20</v>
      </c>
      <c r="C1362" s="72">
        <v>24</v>
      </c>
      <c r="D1362" s="72">
        <v>24</v>
      </c>
      <c r="E1362" s="72">
        <v>24</v>
      </c>
      <c r="F1362" s="72">
        <v>24</v>
      </c>
      <c r="G1362" s="72">
        <v>24</v>
      </c>
      <c r="H1362" s="72">
        <v>24</v>
      </c>
      <c r="I1362" s="72">
        <v>24</v>
      </c>
      <c r="J1362" s="72"/>
      <c r="K1362" s="72"/>
      <c r="L1362" s="477">
        <v>20</v>
      </c>
      <c r="M1362" s="477">
        <v>20</v>
      </c>
    </row>
    <row r="1363" spans="1:13" x14ac:dyDescent="0.2">
      <c r="A1363" s="68" t="s">
        <v>19</v>
      </c>
      <c r="B1363" s="266" t="s">
        <v>136</v>
      </c>
      <c r="C1363" s="266" t="s">
        <v>151</v>
      </c>
      <c r="D1363" s="266" t="s">
        <v>151</v>
      </c>
      <c r="E1363" s="266" t="s">
        <v>151</v>
      </c>
      <c r="F1363" s="266" t="s">
        <v>151</v>
      </c>
      <c r="G1363" s="266" t="s">
        <v>151</v>
      </c>
      <c r="H1363" s="266" t="s">
        <v>151</v>
      </c>
      <c r="I1363" s="266" t="s">
        <v>151</v>
      </c>
      <c r="J1363" s="266"/>
      <c r="K1363" s="266"/>
      <c r="L1363" s="478">
        <v>20</v>
      </c>
      <c r="M1363" s="478">
        <v>20</v>
      </c>
    </row>
    <row r="1364" spans="1:13" x14ac:dyDescent="0.2">
      <c r="A1364" s="68" t="s">
        <v>20</v>
      </c>
      <c r="B1364" s="72">
        <v>0.15</v>
      </c>
      <c r="C1364" s="72">
        <v>0</v>
      </c>
      <c r="D1364" s="72">
        <v>0</v>
      </c>
      <c r="E1364" s="72">
        <v>0.14000000000000001</v>
      </c>
      <c r="F1364" s="72">
        <v>0</v>
      </c>
      <c r="G1364" s="72">
        <v>0</v>
      </c>
      <c r="H1364" s="12">
        <v>0</v>
      </c>
      <c r="I1364" s="12">
        <v>0</v>
      </c>
      <c r="J1364" s="12">
        <v>0</v>
      </c>
      <c r="K1364" s="12">
        <v>0</v>
      </c>
      <c r="L1364" s="467">
        <v>0</v>
      </c>
      <c r="M1364" s="467"/>
    </row>
    <row r="1365" spans="1:13" x14ac:dyDescent="0.2">
      <c r="A1365" s="68" t="s">
        <v>21</v>
      </c>
      <c r="B1365" s="72">
        <v>19.850000000000001</v>
      </c>
      <c r="C1365" s="72">
        <v>24</v>
      </c>
      <c r="D1365" s="72">
        <v>24</v>
      </c>
      <c r="E1365" s="72">
        <v>23.86</v>
      </c>
      <c r="F1365" s="72">
        <v>24</v>
      </c>
      <c r="G1365" s="72">
        <f>G1362-G1364</f>
        <v>24</v>
      </c>
      <c r="H1365" s="72">
        <f>H1362-H1364</f>
        <v>24</v>
      </c>
      <c r="I1365" s="12">
        <v>24</v>
      </c>
      <c r="J1365" s="12">
        <v>20</v>
      </c>
      <c r="K1365" s="12">
        <v>20</v>
      </c>
      <c r="L1365" s="467">
        <v>20</v>
      </c>
      <c r="M1365" s="467"/>
    </row>
    <row r="1366" spans="1:13" x14ac:dyDescent="0.2">
      <c r="A1366" s="73" t="s">
        <v>22</v>
      </c>
      <c r="B1366" s="255">
        <v>2016</v>
      </c>
      <c r="C1366" s="255">
        <v>2017</v>
      </c>
      <c r="D1366" s="255">
        <v>2018</v>
      </c>
      <c r="E1366" s="255">
        <v>2019</v>
      </c>
      <c r="F1366" s="255">
        <v>2020</v>
      </c>
      <c r="G1366" s="255">
        <v>2021</v>
      </c>
      <c r="H1366" s="255"/>
      <c r="I1366" s="255"/>
      <c r="J1366" s="255"/>
      <c r="K1366" s="255"/>
      <c r="L1366" s="255"/>
      <c r="M1366" s="255"/>
    </row>
    <row r="1367" spans="1:13" x14ac:dyDescent="0.2">
      <c r="A1367" s="92" t="s">
        <v>150</v>
      </c>
      <c r="B1367" s="256"/>
      <c r="C1367" s="256"/>
      <c r="D1367" s="256"/>
      <c r="E1367" s="256"/>
      <c r="F1367" s="256"/>
      <c r="G1367" s="256"/>
      <c r="H1367" s="256"/>
      <c r="I1367" s="256"/>
      <c r="J1367" s="256"/>
      <c r="K1367" s="256"/>
      <c r="L1367" s="19"/>
      <c r="M1367" s="63"/>
    </row>
    <row r="1368" spans="1:13" x14ac:dyDescent="0.2">
      <c r="A1368" s="110" t="s">
        <v>510</v>
      </c>
      <c r="B1368" s="111"/>
      <c r="C1368" s="111"/>
      <c r="D1368" s="111"/>
      <c r="E1368" s="111"/>
      <c r="F1368" s="111"/>
      <c r="G1368" s="111"/>
      <c r="H1368" s="111"/>
      <c r="I1368" s="111"/>
      <c r="J1368" s="111"/>
      <c r="K1368" s="111"/>
      <c r="L1368" s="34"/>
      <c r="M1368" s="48"/>
    </row>
    <row r="1369" spans="1:13" x14ac:dyDescent="0.2">
      <c r="A1369" s="318"/>
      <c r="C1369" s="354"/>
    </row>
    <row r="1370" spans="1:13" x14ac:dyDescent="0.2">
      <c r="A1370" s="318"/>
      <c r="C1370" s="354"/>
    </row>
    <row r="1371" spans="1:13" x14ac:dyDescent="0.2">
      <c r="A1371" s="6" t="s">
        <v>12</v>
      </c>
      <c r="B1371" s="7" t="s">
        <v>398</v>
      </c>
    </row>
    <row r="1372" spans="1:13" s="203" customFormat="1" x14ac:dyDescent="0.2">
      <c r="A1372" s="6" t="s">
        <v>14</v>
      </c>
      <c r="B1372" s="7" t="s">
        <v>623</v>
      </c>
      <c r="C1372" s="7" t="s">
        <v>152</v>
      </c>
      <c r="D1372" s="3"/>
      <c r="E1372" s="3"/>
      <c r="F1372" s="3"/>
      <c r="G1372" s="3"/>
      <c r="H1372" s="3"/>
      <c r="I1372" s="3"/>
      <c r="J1372" s="3"/>
    </row>
    <row r="1373" spans="1:13" s="203" customFormat="1" x14ac:dyDescent="0.2">
      <c r="A1373" s="41" t="s">
        <v>16</v>
      </c>
      <c r="B1373" s="277">
        <v>2016</v>
      </c>
      <c r="C1373" s="155">
        <v>2017</v>
      </c>
      <c r="D1373" s="155">
        <v>2018</v>
      </c>
      <c r="E1373" s="155">
        <v>2019</v>
      </c>
      <c r="F1373" s="155">
        <v>2020</v>
      </c>
      <c r="G1373" s="155">
        <v>2021</v>
      </c>
      <c r="H1373" s="155">
        <v>2022</v>
      </c>
      <c r="I1373" s="155">
        <v>2023</v>
      </c>
      <c r="J1373" s="155">
        <v>2024</v>
      </c>
    </row>
    <row r="1374" spans="1:13" s="203" customFormat="1" x14ac:dyDescent="0.2">
      <c r="A1374" s="10" t="s">
        <v>17</v>
      </c>
      <c r="B1374" s="12"/>
      <c r="C1374" s="12"/>
      <c r="D1374" s="12"/>
      <c r="E1374" s="12"/>
      <c r="F1374" s="12"/>
      <c r="G1374" s="12"/>
      <c r="H1374" s="12"/>
      <c r="I1374" s="12"/>
      <c r="J1374" s="12"/>
    </row>
    <row r="1375" spans="1:13" s="203" customFormat="1" x14ac:dyDescent="0.2">
      <c r="A1375" s="10" t="s">
        <v>18</v>
      </c>
      <c r="B1375" s="12"/>
      <c r="C1375" s="12"/>
      <c r="D1375" s="12">
        <f>D1374-C1377</f>
        <v>-94.685890000000001</v>
      </c>
      <c r="E1375" s="12">
        <f t="shared" ref="E1375:J1375" si="53">E1374+D1378</f>
        <v>-97.335890000000006</v>
      </c>
      <c r="F1375" s="12">
        <f t="shared" si="53"/>
        <v>-104.01589000000001</v>
      </c>
      <c r="G1375" s="12">
        <f t="shared" si="53"/>
        <v>-110.74589000000002</v>
      </c>
      <c r="H1375" s="12">
        <f t="shared" si="53"/>
        <v>-114.20589000000001</v>
      </c>
      <c r="I1375" s="12">
        <f t="shared" si="53"/>
        <v>-114.69860000000001</v>
      </c>
      <c r="J1375" s="12">
        <f t="shared" si="53"/>
        <v>-115.27760000000001</v>
      </c>
    </row>
    <row r="1376" spans="1:13" s="203" customFormat="1" x14ac:dyDescent="0.2">
      <c r="A1376" s="10" t="s">
        <v>19</v>
      </c>
      <c r="B1376" s="157"/>
      <c r="C1376" s="663" t="s">
        <v>866</v>
      </c>
      <c r="D1376" s="664"/>
      <c r="E1376" s="664"/>
      <c r="F1376" s="664"/>
      <c r="G1376" s="664"/>
      <c r="H1376" s="664"/>
      <c r="I1376" s="664"/>
      <c r="J1376" s="665"/>
    </row>
    <row r="1377" spans="1:11" s="203" customFormat="1" x14ac:dyDescent="0.2">
      <c r="A1377" s="10" t="s">
        <v>20</v>
      </c>
      <c r="B1377" s="157"/>
      <c r="C1377" s="479">
        <v>94.685890000000001</v>
      </c>
      <c r="D1377" s="479">
        <v>2.65</v>
      </c>
      <c r="E1377" s="480">
        <v>6.68</v>
      </c>
      <c r="F1377" s="157">
        <v>6.73</v>
      </c>
      <c r="G1377" s="157">
        <v>3.46</v>
      </c>
      <c r="H1377" s="12">
        <v>0.49270999999999998</v>
      </c>
      <c r="I1377" s="12">
        <v>0.57899999999999996</v>
      </c>
      <c r="J1377" s="12"/>
    </row>
    <row r="1378" spans="1:11" s="203" customFormat="1" x14ac:dyDescent="0.2">
      <c r="A1378" s="10" t="s">
        <v>21</v>
      </c>
      <c r="B1378" s="12"/>
      <c r="C1378" s="12">
        <f>C1374-C1377</f>
        <v>-94.685890000000001</v>
      </c>
      <c r="D1378" s="12">
        <f t="shared" ref="D1378:I1378" si="54">D1375-D1377</f>
        <v>-97.335890000000006</v>
      </c>
      <c r="E1378" s="12">
        <f t="shared" si="54"/>
        <v>-104.01589000000001</v>
      </c>
      <c r="F1378" s="12">
        <f t="shared" si="54"/>
        <v>-110.74589000000002</v>
      </c>
      <c r="G1378" s="12">
        <f t="shared" si="54"/>
        <v>-114.20589000000001</v>
      </c>
      <c r="H1378" s="12">
        <f t="shared" si="54"/>
        <v>-114.69860000000001</v>
      </c>
      <c r="I1378" s="12">
        <f t="shared" si="54"/>
        <v>-115.27760000000001</v>
      </c>
      <c r="J1378" s="12"/>
    </row>
    <row r="1379" spans="1:11" s="203" customFormat="1" x14ac:dyDescent="0.2">
      <c r="A1379" s="16" t="s">
        <v>22</v>
      </c>
      <c r="B1379" s="481">
        <v>2017</v>
      </c>
      <c r="C1379" s="481">
        <v>2018</v>
      </c>
      <c r="D1379" s="481">
        <v>2019</v>
      </c>
      <c r="E1379" s="481">
        <v>2020</v>
      </c>
      <c r="F1379" s="481">
        <v>2021</v>
      </c>
      <c r="G1379" s="481">
        <v>2022</v>
      </c>
      <c r="H1379" s="481">
        <v>2023</v>
      </c>
      <c r="I1379" s="481">
        <v>2024</v>
      </c>
      <c r="J1379" s="481">
        <v>2025</v>
      </c>
    </row>
    <row r="1380" spans="1:11" s="203" customFormat="1" x14ac:dyDescent="0.2">
      <c r="A1380" s="10" t="s">
        <v>179</v>
      </c>
      <c r="B1380" s="36"/>
      <c r="C1380" s="36"/>
      <c r="D1380" s="36"/>
      <c r="E1380" s="36"/>
      <c r="F1380" s="36"/>
      <c r="G1380" s="36"/>
      <c r="H1380" s="36"/>
      <c r="I1380" s="36"/>
      <c r="J1380" s="37"/>
    </row>
    <row r="1381" spans="1:11" s="203" customFormat="1" x14ac:dyDescent="0.2">
      <c r="A1381" s="41" t="s">
        <v>1019</v>
      </c>
      <c r="B1381" s="34"/>
      <c r="C1381" s="34"/>
      <c r="D1381" s="34"/>
      <c r="E1381" s="34"/>
      <c r="F1381" s="34"/>
      <c r="G1381" s="34"/>
      <c r="H1381" s="34"/>
      <c r="I1381" s="34"/>
      <c r="J1381" s="48"/>
    </row>
    <row r="1382" spans="1:11" s="203" customFormat="1" x14ac:dyDescent="0.2">
      <c r="A1382" s="39"/>
      <c r="B1382" s="3"/>
      <c r="C1382" s="3"/>
      <c r="D1382" s="3"/>
      <c r="E1382" s="3"/>
      <c r="F1382" s="3"/>
      <c r="G1382" s="3"/>
      <c r="H1382" s="3"/>
      <c r="I1382" s="3"/>
      <c r="J1382" s="3"/>
    </row>
    <row r="1383" spans="1:11" s="203" customFormat="1" x14ac:dyDescent="0.2">
      <c r="A1383" s="39"/>
      <c r="B1383" s="3"/>
      <c r="C1383" s="3"/>
      <c r="D1383" s="3"/>
      <c r="E1383" s="3"/>
      <c r="F1383" s="3"/>
      <c r="G1383" s="3"/>
      <c r="H1383" s="3"/>
      <c r="I1383" s="3"/>
      <c r="J1383" s="3"/>
    </row>
    <row r="1384" spans="1:11" x14ac:dyDescent="0.2">
      <c r="A1384" s="6" t="s">
        <v>14</v>
      </c>
      <c r="B1384" s="7" t="s">
        <v>74</v>
      </c>
      <c r="C1384" s="9" t="s">
        <v>152</v>
      </c>
    </row>
    <row r="1385" spans="1:11" x14ac:dyDescent="0.2">
      <c r="A1385" s="41" t="s">
        <v>16</v>
      </c>
      <c r="B1385" s="277">
        <v>2016</v>
      </c>
      <c r="C1385" s="155">
        <v>2017</v>
      </c>
      <c r="D1385" s="155">
        <v>2018</v>
      </c>
      <c r="E1385" s="155">
        <v>2019</v>
      </c>
      <c r="F1385" s="155">
        <v>2020</v>
      </c>
      <c r="G1385" s="155">
        <v>2021</v>
      </c>
      <c r="H1385" s="155">
        <v>2022</v>
      </c>
      <c r="I1385" s="155">
        <v>2023</v>
      </c>
      <c r="J1385" s="155">
        <v>2024</v>
      </c>
      <c r="K1385" s="155">
        <v>2025</v>
      </c>
    </row>
    <row r="1386" spans="1:11" x14ac:dyDescent="0.2">
      <c r="A1386" s="10" t="s">
        <v>17</v>
      </c>
      <c r="B1386" s="12">
        <v>10</v>
      </c>
      <c r="C1386" s="12">
        <v>10</v>
      </c>
      <c r="D1386" s="12">
        <v>10</v>
      </c>
      <c r="E1386" s="12">
        <v>10</v>
      </c>
      <c r="F1386" s="12">
        <v>10</v>
      </c>
      <c r="G1386" s="12">
        <v>10</v>
      </c>
      <c r="H1386" s="12">
        <v>10</v>
      </c>
      <c r="I1386" s="12">
        <v>10</v>
      </c>
      <c r="J1386" s="12">
        <v>10</v>
      </c>
      <c r="K1386" s="12">
        <v>10</v>
      </c>
    </row>
    <row r="1387" spans="1:11" x14ac:dyDescent="0.2">
      <c r="A1387" s="10" t="s">
        <v>18</v>
      </c>
      <c r="B1387" s="12">
        <v>10</v>
      </c>
      <c r="C1387" s="12">
        <f>C1386+B1390</f>
        <v>-106.85</v>
      </c>
      <c r="D1387" s="12">
        <f>D1386+C1390</f>
        <v>-107.18599999999999</v>
      </c>
      <c r="E1387" s="12">
        <f>E1386+D1390</f>
        <v>-97.965349999999987</v>
      </c>
      <c r="F1387" s="12">
        <f>F1386+E1390</f>
        <v>-89.945349999999991</v>
      </c>
      <c r="G1387" s="12">
        <f>F1390+G1386</f>
        <v>-81.765349999999984</v>
      </c>
      <c r="H1387" s="12">
        <f xml:space="preserve"> 1.25*G1390+H1386</f>
        <v>-94.519187499999973</v>
      </c>
      <c r="I1387" s="12">
        <f xml:space="preserve"> 1.25*H1390+I1386</f>
        <v>-115.64898437499997</v>
      </c>
      <c r="J1387" s="12">
        <f xml:space="preserve"> 1.25*I1390+J1386</f>
        <v>-136.97123046874995</v>
      </c>
      <c r="K1387" s="12">
        <f xml:space="preserve"> 1.25*J1390+K1386</f>
        <v>10</v>
      </c>
    </row>
    <row r="1388" spans="1:11" x14ac:dyDescent="0.2">
      <c r="A1388" s="10" t="s">
        <v>19</v>
      </c>
      <c r="B1388" s="157"/>
      <c r="C1388" s="157" t="s">
        <v>399</v>
      </c>
      <c r="D1388" s="157" t="s">
        <v>400</v>
      </c>
      <c r="E1388" s="157" t="s">
        <v>401</v>
      </c>
      <c r="F1388" s="157" t="s">
        <v>402</v>
      </c>
      <c r="G1388" s="157" t="s">
        <v>566</v>
      </c>
      <c r="H1388" s="157" t="s">
        <v>604</v>
      </c>
      <c r="I1388" s="157" t="s">
        <v>625</v>
      </c>
      <c r="J1388" s="157" t="s">
        <v>785</v>
      </c>
      <c r="K1388" s="157" t="s">
        <v>1002</v>
      </c>
    </row>
    <row r="1389" spans="1:11" x14ac:dyDescent="0.2">
      <c r="A1389" s="10" t="s">
        <v>20</v>
      </c>
      <c r="B1389" s="157">
        <v>126.85</v>
      </c>
      <c r="C1389" s="157">
        <v>10.336</v>
      </c>
      <c r="D1389" s="157">
        <v>0.77934999999999999</v>
      </c>
      <c r="E1389" s="157">
        <v>1.98</v>
      </c>
      <c r="F1389" s="157">
        <v>1.82</v>
      </c>
      <c r="G1389" s="157">
        <v>1.85</v>
      </c>
      <c r="H1389" s="157">
        <v>6</v>
      </c>
      <c r="I1389" s="157">
        <v>1.9279999999999999</v>
      </c>
      <c r="J1389" s="157"/>
      <c r="K1389" s="157"/>
    </row>
    <row r="1390" spans="1:11" x14ac:dyDescent="0.2">
      <c r="A1390" s="10" t="s">
        <v>21</v>
      </c>
      <c r="B1390" s="12">
        <f t="shared" ref="B1390:I1390" si="55">B1387-B1389</f>
        <v>-116.85</v>
      </c>
      <c r="C1390" s="12">
        <f t="shared" si="55"/>
        <v>-117.18599999999999</v>
      </c>
      <c r="D1390" s="12">
        <f t="shared" si="55"/>
        <v>-107.96534999999999</v>
      </c>
      <c r="E1390" s="12">
        <f t="shared" si="55"/>
        <v>-99.945349999999991</v>
      </c>
      <c r="F1390" s="12">
        <f t="shared" si="55"/>
        <v>-91.765349999999984</v>
      </c>
      <c r="G1390" s="12">
        <f t="shared" si="55"/>
        <v>-83.615349999999978</v>
      </c>
      <c r="H1390" s="12">
        <f t="shared" si="55"/>
        <v>-100.51918749999997</v>
      </c>
      <c r="I1390" s="12">
        <f t="shared" si="55"/>
        <v>-117.57698437499997</v>
      </c>
      <c r="J1390" s="12"/>
      <c r="K1390" s="12"/>
    </row>
    <row r="1391" spans="1:11" x14ac:dyDescent="0.2">
      <c r="A1391" s="16" t="s">
        <v>22</v>
      </c>
      <c r="B1391" s="481">
        <v>2017</v>
      </c>
      <c r="C1391" s="481">
        <v>2018</v>
      </c>
      <c r="D1391" s="481">
        <v>2019</v>
      </c>
      <c r="E1391" s="481">
        <v>2020</v>
      </c>
      <c r="F1391" s="481">
        <v>2021</v>
      </c>
      <c r="G1391" s="481">
        <v>2022</v>
      </c>
      <c r="H1391" s="481">
        <v>2023</v>
      </c>
      <c r="I1391" s="481">
        <v>2024</v>
      </c>
      <c r="J1391" s="481">
        <v>2025</v>
      </c>
      <c r="K1391" s="481">
        <v>2026</v>
      </c>
    </row>
    <row r="1392" spans="1:11" x14ac:dyDescent="0.2">
      <c r="A1392" s="16" t="s">
        <v>179</v>
      </c>
      <c r="B1392" s="46"/>
      <c r="C1392" s="46"/>
      <c r="D1392" s="46"/>
      <c r="E1392" s="46"/>
      <c r="F1392" s="46"/>
      <c r="G1392" s="46"/>
      <c r="H1392" s="46"/>
      <c r="I1392" s="46"/>
      <c r="J1392" s="47"/>
    </row>
    <row r="1393" spans="1:11" x14ac:dyDescent="0.2">
      <c r="A1393" s="56" t="s">
        <v>403</v>
      </c>
      <c r="J1393" s="64"/>
    </row>
    <row r="1394" spans="1:11" x14ac:dyDescent="0.2">
      <c r="A1394" s="56" t="s">
        <v>404</v>
      </c>
      <c r="J1394" s="64"/>
    </row>
    <row r="1395" spans="1:11" x14ac:dyDescent="0.2">
      <c r="A1395" s="56" t="s">
        <v>405</v>
      </c>
      <c r="J1395" s="64"/>
    </row>
    <row r="1396" spans="1:11" x14ac:dyDescent="0.2">
      <c r="A1396" s="56" t="s">
        <v>565</v>
      </c>
      <c r="C1396" s="354"/>
      <c r="J1396" s="64"/>
    </row>
    <row r="1397" spans="1:11" x14ac:dyDescent="0.2">
      <c r="A1397" s="56" t="s">
        <v>567</v>
      </c>
      <c r="C1397" s="354"/>
      <c r="J1397" s="64"/>
    </row>
    <row r="1398" spans="1:11" x14ac:dyDescent="0.2">
      <c r="A1398" s="56" t="s">
        <v>898</v>
      </c>
      <c r="C1398" s="354"/>
      <c r="J1398" s="64"/>
    </row>
    <row r="1399" spans="1:11" x14ac:dyDescent="0.2">
      <c r="A1399" s="56" t="s">
        <v>899</v>
      </c>
      <c r="C1399" s="354"/>
      <c r="J1399" s="64"/>
    </row>
    <row r="1400" spans="1:11" x14ac:dyDescent="0.2">
      <c r="A1400" s="49" t="s">
        <v>1029</v>
      </c>
      <c r="C1400" s="354"/>
    </row>
    <row r="1401" spans="1:11" s="34" customFormat="1" x14ac:dyDescent="0.2">
      <c r="A1401" s="315" t="s">
        <v>1138</v>
      </c>
      <c r="C1401" s="316"/>
    </row>
    <row r="1402" spans="1:11" x14ac:dyDescent="0.2">
      <c r="A1402" s="318"/>
      <c r="C1402" s="354"/>
    </row>
    <row r="1404" spans="1:11" x14ac:dyDescent="0.2">
      <c r="A1404" s="6" t="s">
        <v>11</v>
      </c>
      <c r="B1404" s="7" t="s">
        <v>0</v>
      </c>
    </row>
    <row r="1405" spans="1:11" s="203" customFormat="1" x14ac:dyDescent="0.2">
      <c r="A1405" s="6" t="s">
        <v>1</v>
      </c>
      <c r="B1405" s="7" t="s">
        <v>624</v>
      </c>
      <c r="C1405" s="9" t="s">
        <v>2</v>
      </c>
      <c r="D1405" s="3"/>
      <c r="E1405" s="3"/>
      <c r="F1405" s="3"/>
      <c r="G1405" s="3"/>
    </row>
    <row r="1406" spans="1:11" s="203" customFormat="1" x14ac:dyDescent="0.2">
      <c r="A1406" s="10" t="s">
        <v>3</v>
      </c>
      <c r="B1406" s="155">
        <v>2017</v>
      </c>
      <c r="C1406" s="155">
        <v>2018</v>
      </c>
      <c r="D1406" s="173">
        <v>2019</v>
      </c>
      <c r="E1406" s="155">
        <v>2020</v>
      </c>
      <c r="F1406" s="155">
        <v>2021</v>
      </c>
      <c r="G1406" s="155">
        <v>2022</v>
      </c>
      <c r="H1406" s="155">
        <v>2023</v>
      </c>
      <c r="I1406" s="155">
        <v>2024</v>
      </c>
      <c r="J1406" s="155">
        <v>2025</v>
      </c>
      <c r="K1406" s="482">
        <v>2026</v>
      </c>
    </row>
    <row r="1407" spans="1:11" s="203" customFormat="1" x14ac:dyDescent="0.2">
      <c r="A1407" s="10" t="s">
        <v>4</v>
      </c>
      <c r="B1407" s="157">
        <v>200</v>
      </c>
      <c r="C1407" s="157">
        <v>200</v>
      </c>
      <c r="D1407" s="175">
        <v>215</v>
      </c>
      <c r="E1407" s="157">
        <v>215</v>
      </c>
      <c r="F1407" s="176">
        <v>242</v>
      </c>
      <c r="G1407" s="176">
        <v>242</v>
      </c>
      <c r="H1407" s="176">
        <v>242</v>
      </c>
      <c r="I1407" s="176">
        <v>302</v>
      </c>
      <c r="J1407" s="176">
        <v>302</v>
      </c>
      <c r="K1407" s="483">
        <v>302</v>
      </c>
    </row>
    <row r="1408" spans="1:11" s="203" customFormat="1" x14ac:dyDescent="0.2">
      <c r="A1408" s="10" t="s">
        <v>5</v>
      </c>
      <c r="B1408" s="157">
        <v>250</v>
      </c>
      <c r="C1408" s="157">
        <v>250</v>
      </c>
      <c r="D1408" s="175">
        <v>265</v>
      </c>
      <c r="E1408" s="157">
        <v>265</v>
      </c>
      <c r="F1408" s="176">
        <f>F1407+0.25*D1407</f>
        <v>295.75</v>
      </c>
      <c r="G1408" s="176">
        <f>G1407+0.25*E1407</f>
        <v>295.75</v>
      </c>
      <c r="H1408" s="176">
        <f>H1407+0.25*F1407</f>
        <v>302.5</v>
      </c>
      <c r="I1408" s="176">
        <f>I1407+0.25*G1407</f>
        <v>362.5</v>
      </c>
      <c r="J1408" s="176">
        <f>J1407+0.25*H1407</f>
        <v>362.5</v>
      </c>
      <c r="K1408" s="483">
        <f t="shared" ref="K1408" si="56">K1407+0.25*I1407</f>
        <v>377.5</v>
      </c>
    </row>
    <row r="1409" spans="1:11" s="203" customFormat="1" x14ac:dyDescent="0.2">
      <c r="A1409" s="10" t="s">
        <v>6</v>
      </c>
      <c r="B1409" s="157"/>
      <c r="C1409" s="157"/>
      <c r="D1409" s="157"/>
      <c r="E1409" s="157"/>
      <c r="F1409" s="176"/>
      <c r="G1409" s="176"/>
      <c r="H1409" s="176"/>
      <c r="I1409" s="176"/>
      <c r="J1409" s="176"/>
      <c r="K1409" s="483"/>
    </row>
    <row r="1410" spans="1:11" s="203" customFormat="1" x14ac:dyDescent="0.2">
      <c r="A1410" s="10" t="s">
        <v>7</v>
      </c>
      <c r="B1410" s="157">
        <v>20</v>
      </c>
      <c r="C1410" s="157">
        <v>20</v>
      </c>
      <c r="D1410" s="157">
        <v>25</v>
      </c>
      <c r="E1410" s="157">
        <v>29</v>
      </c>
      <c r="F1410" s="176">
        <v>40</v>
      </c>
      <c r="G1410" s="176">
        <v>60</v>
      </c>
      <c r="H1410" s="176">
        <v>90</v>
      </c>
      <c r="I1410" s="176">
        <v>120</v>
      </c>
      <c r="J1410" s="176"/>
      <c r="K1410" s="483"/>
    </row>
    <row r="1411" spans="1:11" s="203" customFormat="1" x14ac:dyDescent="0.2">
      <c r="A1411" s="10" t="s">
        <v>8</v>
      </c>
      <c r="B1411" s="157">
        <v>230</v>
      </c>
      <c r="C1411" s="157">
        <v>230</v>
      </c>
      <c r="D1411" s="157">
        <v>240</v>
      </c>
      <c r="E1411" s="157">
        <v>236</v>
      </c>
      <c r="F1411" s="176">
        <f>F1408-F1410</f>
        <v>255.75</v>
      </c>
      <c r="G1411" s="176">
        <f>G1408-G1410</f>
        <v>235.75</v>
      </c>
      <c r="H1411" s="176">
        <f>H1408-H1410</f>
        <v>212.5</v>
      </c>
      <c r="I1411" s="176">
        <f>I1408-I1410</f>
        <v>242.5</v>
      </c>
      <c r="J1411" s="176"/>
      <c r="K1411" s="483"/>
    </row>
    <row r="1412" spans="1:11" s="203" customFormat="1" x14ac:dyDescent="0.2">
      <c r="A1412" s="16" t="s">
        <v>9</v>
      </c>
      <c r="B1412" s="160">
        <v>2019</v>
      </c>
      <c r="C1412" s="160">
        <v>2020</v>
      </c>
      <c r="D1412" s="179">
        <v>2021</v>
      </c>
      <c r="E1412" s="160">
        <v>2022</v>
      </c>
      <c r="F1412" s="180">
        <v>2023</v>
      </c>
      <c r="G1412" s="180">
        <v>2024</v>
      </c>
      <c r="H1412" s="180">
        <v>2025</v>
      </c>
      <c r="I1412" s="180">
        <v>2026</v>
      </c>
      <c r="J1412" s="180">
        <v>2027</v>
      </c>
      <c r="K1412" s="484">
        <v>2028</v>
      </c>
    </row>
    <row r="1413" spans="1:11" s="203" customFormat="1" x14ac:dyDescent="0.2">
      <c r="A1413" s="29" t="s">
        <v>10</v>
      </c>
      <c r="B1413" s="30"/>
      <c r="C1413" s="30"/>
      <c r="D1413" s="30"/>
      <c r="E1413" s="30"/>
      <c r="F1413" s="30"/>
      <c r="G1413" s="30"/>
      <c r="H1413" s="485"/>
      <c r="I1413" s="485"/>
      <c r="J1413" s="485"/>
      <c r="K1413" s="229"/>
    </row>
    <row r="1414" spans="1:11" s="203" customFormat="1" x14ac:dyDescent="0.2">
      <c r="A1414" s="649" t="s">
        <v>738</v>
      </c>
      <c r="B1414" s="650"/>
      <c r="C1414" s="650"/>
      <c r="D1414" s="650"/>
      <c r="E1414" s="650"/>
      <c r="F1414" s="650"/>
      <c r="G1414" s="650"/>
      <c r="H1414" s="486"/>
      <c r="I1414" s="486"/>
      <c r="J1414" s="486"/>
      <c r="K1414" s="233"/>
    </row>
    <row r="1415" spans="1:11" s="203" customFormat="1" x14ac:dyDescent="0.2">
      <c r="A1415" s="657" t="s">
        <v>739</v>
      </c>
      <c r="B1415" s="658"/>
      <c r="C1415" s="658"/>
      <c r="D1415" s="658"/>
      <c r="E1415" s="658"/>
      <c r="F1415" s="658"/>
      <c r="G1415" s="658"/>
      <c r="K1415" s="235"/>
    </row>
    <row r="1416" spans="1:11" s="203" customFormat="1" x14ac:dyDescent="0.2">
      <c r="A1416" s="657" t="s">
        <v>740</v>
      </c>
      <c r="B1416" s="658"/>
      <c r="C1416" s="658"/>
      <c r="D1416" s="658"/>
      <c r="E1416" s="658"/>
      <c r="F1416" s="658"/>
      <c r="G1416" s="658"/>
      <c r="K1416" s="235"/>
    </row>
    <row r="1417" spans="1:11" x14ac:dyDescent="0.2">
      <c r="A1417" s="657" t="s">
        <v>741</v>
      </c>
      <c r="B1417" s="658"/>
      <c r="C1417" s="658"/>
      <c r="D1417" s="658"/>
      <c r="E1417" s="658"/>
      <c r="F1417" s="658"/>
      <c r="G1417" s="658"/>
      <c r="K1417" s="64"/>
    </row>
    <row r="1418" spans="1:11" x14ac:dyDescent="0.2">
      <c r="A1418" s="487" t="s">
        <v>942</v>
      </c>
      <c r="B1418" s="318"/>
      <c r="C1418" s="318"/>
      <c r="D1418" s="318"/>
      <c r="E1418" s="318"/>
      <c r="F1418" s="318"/>
      <c r="G1418" s="318"/>
      <c r="K1418" s="64"/>
    </row>
    <row r="1419" spans="1:11" x14ac:dyDescent="0.2">
      <c r="A1419" s="487" t="s">
        <v>962</v>
      </c>
      <c r="B1419" s="318"/>
      <c r="C1419" s="318"/>
      <c r="D1419" s="318"/>
      <c r="E1419" s="318"/>
      <c r="F1419" s="318"/>
      <c r="G1419" s="318"/>
      <c r="K1419" s="64"/>
    </row>
    <row r="1420" spans="1:11" x14ac:dyDescent="0.2">
      <c r="A1420" s="452" t="s">
        <v>1202</v>
      </c>
      <c r="B1420" s="488"/>
      <c r="C1420" s="488"/>
      <c r="D1420" s="488"/>
      <c r="E1420" s="488"/>
      <c r="F1420" s="488"/>
      <c r="G1420" s="488"/>
      <c r="H1420" s="34"/>
      <c r="I1420" s="34"/>
      <c r="J1420" s="34"/>
      <c r="K1420" s="48"/>
    </row>
    <row r="1421" spans="1:11" x14ac:dyDescent="0.2">
      <c r="A1421" s="2"/>
      <c r="B1421" s="2"/>
    </row>
    <row r="1422" spans="1:11" x14ac:dyDescent="0.2">
      <c r="A1422" s="6" t="s">
        <v>1</v>
      </c>
      <c r="B1422" s="7" t="s">
        <v>623</v>
      </c>
      <c r="C1422" s="9" t="s">
        <v>2</v>
      </c>
    </row>
    <row r="1423" spans="1:11" x14ac:dyDescent="0.2">
      <c r="A1423" s="10" t="s">
        <v>3</v>
      </c>
      <c r="B1423" s="155">
        <v>2017</v>
      </c>
      <c r="C1423" s="155">
        <v>2018</v>
      </c>
      <c r="D1423" s="173">
        <v>2019</v>
      </c>
      <c r="E1423" s="155">
        <v>2020</v>
      </c>
      <c r="F1423" s="155">
        <v>2021</v>
      </c>
      <c r="G1423" s="155">
        <v>2022</v>
      </c>
      <c r="H1423" s="155">
        <v>2023</v>
      </c>
      <c r="I1423" s="155">
        <v>2024</v>
      </c>
      <c r="J1423" s="155">
        <v>2025</v>
      </c>
      <c r="K1423" s="482">
        <v>2026</v>
      </c>
    </row>
    <row r="1424" spans="1:11" x14ac:dyDescent="0.2">
      <c r="A1424" s="10" t="s">
        <v>4</v>
      </c>
      <c r="B1424" s="157">
        <v>850</v>
      </c>
      <c r="C1424" s="157">
        <v>850</v>
      </c>
      <c r="D1424" s="175">
        <v>850</v>
      </c>
      <c r="E1424" s="157">
        <v>850</v>
      </c>
      <c r="F1424" s="176">
        <v>850</v>
      </c>
      <c r="G1424" s="176">
        <v>850</v>
      </c>
      <c r="H1424" s="176">
        <v>850</v>
      </c>
      <c r="I1424" s="176">
        <v>850</v>
      </c>
      <c r="J1424" s="176">
        <v>850</v>
      </c>
      <c r="K1424" s="489">
        <v>1186</v>
      </c>
    </row>
    <row r="1425" spans="1:11" x14ac:dyDescent="0.2">
      <c r="A1425" s="10" t="s">
        <v>5</v>
      </c>
      <c r="B1425" s="157">
        <v>950</v>
      </c>
      <c r="C1425" s="157">
        <v>900</v>
      </c>
      <c r="D1425" s="175">
        <v>1000</v>
      </c>
      <c r="E1425" s="157">
        <v>995</v>
      </c>
      <c r="F1425" s="176">
        <v>1095</v>
      </c>
      <c r="G1425" s="176">
        <f>G1424+E1428+150+20+25</f>
        <v>1104.1799999999998</v>
      </c>
      <c r="H1425" s="176">
        <f>H1424+0.15*F1424+150+20+25</f>
        <v>1172.5</v>
      </c>
      <c r="I1425" s="176">
        <f>I1424+G1428+150+20+25+200</f>
        <v>1263.81</v>
      </c>
      <c r="J1425" s="176">
        <f>J1424+H1428+150+20+25+200</f>
        <v>1272.43</v>
      </c>
      <c r="K1425" s="489">
        <f>K1424+I1424*0.15+150+25</f>
        <v>1488.5</v>
      </c>
    </row>
    <row r="1426" spans="1:11" x14ac:dyDescent="0.2">
      <c r="A1426" s="10" t="s">
        <v>6</v>
      </c>
      <c r="B1426" s="157"/>
      <c r="C1426" s="157"/>
      <c r="D1426" s="175"/>
      <c r="E1426" s="157"/>
      <c r="F1426" s="176"/>
      <c r="G1426" s="176"/>
      <c r="H1426" s="176"/>
      <c r="I1426" s="176"/>
      <c r="J1426" s="176"/>
      <c r="K1426" s="483"/>
    </row>
    <row r="1427" spans="1:11" x14ac:dyDescent="0.2">
      <c r="A1427" s="10" t="s">
        <v>7</v>
      </c>
      <c r="B1427" s="157">
        <v>900</v>
      </c>
      <c r="C1427" s="157">
        <v>950</v>
      </c>
      <c r="D1427" s="175">
        <v>950</v>
      </c>
      <c r="E1427" s="157">
        <v>935.82</v>
      </c>
      <c r="F1427" s="176">
        <v>955.3</v>
      </c>
      <c r="G1427" s="176">
        <v>1085.3699999999999</v>
      </c>
      <c r="H1427" s="176">
        <v>1145.07</v>
      </c>
      <c r="I1427" s="176">
        <v>886.85</v>
      </c>
      <c r="J1427" s="176"/>
      <c r="K1427" s="483"/>
    </row>
    <row r="1428" spans="1:11" x14ac:dyDescent="0.2">
      <c r="A1428" s="10" t="s">
        <v>8</v>
      </c>
      <c r="B1428" s="157">
        <f t="shared" ref="B1428:I1428" si="57">B1425-B1427</f>
        <v>50</v>
      </c>
      <c r="C1428" s="157">
        <f t="shared" si="57"/>
        <v>-50</v>
      </c>
      <c r="D1428" s="157">
        <f t="shared" si="57"/>
        <v>50</v>
      </c>
      <c r="E1428" s="157">
        <f t="shared" si="57"/>
        <v>59.17999999999995</v>
      </c>
      <c r="F1428" s="176">
        <f t="shared" si="57"/>
        <v>139.70000000000005</v>
      </c>
      <c r="G1428" s="176">
        <f t="shared" si="57"/>
        <v>18.809999999999945</v>
      </c>
      <c r="H1428" s="176">
        <f t="shared" si="57"/>
        <v>27.430000000000064</v>
      </c>
      <c r="I1428" s="176">
        <f t="shared" si="57"/>
        <v>376.95999999999992</v>
      </c>
      <c r="J1428" s="176"/>
      <c r="K1428" s="483"/>
    </row>
    <row r="1429" spans="1:11" ht="13.15" customHeight="1" x14ac:dyDescent="0.2">
      <c r="A1429" s="16" t="s">
        <v>9</v>
      </c>
      <c r="B1429" s="160">
        <v>2019</v>
      </c>
      <c r="C1429" s="160">
        <v>2020</v>
      </c>
      <c r="D1429" s="179">
        <v>2021</v>
      </c>
      <c r="E1429" s="160">
        <v>2022</v>
      </c>
      <c r="F1429" s="180">
        <v>2023</v>
      </c>
      <c r="G1429" s="180">
        <v>2024</v>
      </c>
      <c r="H1429" s="180">
        <v>2025</v>
      </c>
      <c r="I1429" s="180">
        <v>2026</v>
      </c>
      <c r="J1429" s="180">
        <v>2027</v>
      </c>
      <c r="K1429" s="484">
        <v>2028</v>
      </c>
    </row>
    <row r="1430" spans="1:11" ht="13.15" customHeight="1" x14ac:dyDescent="0.2">
      <c r="A1430" s="29" t="s">
        <v>10</v>
      </c>
      <c r="B1430" s="30"/>
      <c r="C1430" s="30"/>
      <c r="D1430" s="30"/>
      <c r="E1430" s="30"/>
      <c r="F1430" s="30"/>
      <c r="G1430" s="30"/>
      <c r="H1430" s="30"/>
      <c r="I1430" s="30"/>
      <c r="J1430" s="30"/>
      <c r="K1430" s="88"/>
    </row>
    <row r="1431" spans="1:11" x14ac:dyDescent="0.2">
      <c r="A1431" s="18" t="s">
        <v>742</v>
      </c>
      <c r="B1431" s="19"/>
      <c r="C1431" s="19"/>
      <c r="D1431" s="19"/>
      <c r="E1431" s="19"/>
      <c r="F1431" s="19"/>
      <c r="G1431" s="19"/>
      <c r="H1431" s="19"/>
      <c r="I1431" s="19"/>
      <c r="J1431" s="19"/>
      <c r="K1431" s="63"/>
    </row>
    <row r="1432" spans="1:11" x14ac:dyDescent="0.2">
      <c r="A1432" s="39" t="s">
        <v>743</v>
      </c>
      <c r="K1432" s="64"/>
    </row>
    <row r="1433" spans="1:11" x14ac:dyDescent="0.2">
      <c r="A1433" s="56" t="s">
        <v>744</v>
      </c>
      <c r="B1433" s="49"/>
      <c r="C1433" s="49"/>
      <c r="D1433" s="49"/>
      <c r="E1433" s="49"/>
      <c r="F1433" s="49"/>
      <c r="G1433" s="49"/>
      <c r="H1433" s="49"/>
      <c r="K1433" s="64"/>
    </row>
    <row r="1434" spans="1:11" x14ac:dyDescent="0.2">
      <c r="A1434" s="39" t="s">
        <v>745</v>
      </c>
      <c r="K1434" s="64"/>
    </row>
    <row r="1435" spans="1:11" x14ac:dyDescent="0.2">
      <c r="A1435" s="39" t="s">
        <v>746</v>
      </c>
      <c r="K1435" s="64"/>
    </row>
    <row r="1436" spans="1:11" x14ac:dyDescent="0.2">
      <c r="A1436" s="39" t="s">
        <v>747</v>
      </c>
      <c r="K1436" s="64"/>
    </row>
    <row r="1437" spans="1:11" x14ac:dyDescent="0.2">
      <c r="A1437" s="162" t="s">
        <v>963</v>
      </c>
      <c r="B1437" s="32"/>
      <c r="C1437" s="32"/>
      <c r="D1437" s="32"/>
      <c r="E1437" s="32"/>
      <c r="F1437" s="32"/>
      <c r="G1437" s="32"/>
      <c r="H1437" s="32"/>
      <c r="K1437" s="64"/>
    </row>
    <row r="1438" spans="1:11" x14ac:dyDescent="0.2">
      <c r="A1438" s="162" t="s">
        <v>964</v>
      </c>
      <c r="B1438" s="32"/>
      <c r="C1438" s="32"/>
      <c r="D1438" s="32"/>
      <c r="E1438" s="32"/>
      <c r="F1438" s="32"/>
      <c r="G1438" s="32"/>
      <c r="H1438" s="32"/>
      <c r="K1438" s="64"/>
    </row>
    <row r="1439" spans="1:11" x14ac:dyDescent="0.2">
      <c r="A1439" s="163" t="s">
        <v>1203</v>
      </c>
      <c r="B1439" s="22"/>
      <c r="C1439" s="22"/>
      <c r="D1439" s="22"/>
      <c r="E1439" s="22"/>
      <c r="F1439" s="22"/>
      <c r="G1439" s="22"/>
      <c r="H1439" s="22"/>
      <c r="I1439" s="34"/>
      <c r="J1439" s="34"/>
      <c r="K1439" s="48"/>
    </row>
    <row r="1441" spans="1:10" x14ac:dyDescent="0.2">
      <c r="A1441" s="6" t="s">
        <v>1</v>
      </c>
      <c r="B1441" s="7" t="s">
        <v>642</v>
      </c>
      <c r="C1441" s="9" t="s">
        <v>2</v>
      </c>
    </row>
    <row r="1442" spans="1:10" x14ac:dyDescent="0.2">
      <c r="A1442" s="10" t="s">
        <v>3</v>
      </c>
      <c r="B1442" s="11"/>
      <c r="C1442" s="198"/>
      <c r="D1442" s="36"/>
      <c r="E1442" s="155">
        <v>2020</v>
      </c>
      <c r="F1442" s="155">
        <v>2021</v>
      </c>
      <c r="G1442" s="155">
        <v>2022</v>
      </c>
      <c r="H1442" s="155">
        <v>2023</v>
      </c>
      <c r="I1442" s="490">
        <v>2024</v>
      </c>
      <c r="J1442" s="490">
        <v>2025</v>
      </c>
    </row>
    <row r="1443" spans="1:10" x14ac:dyDescent="0.2">
      <c r="A1443" s="10" t="s">
        <v>4</v>
      </c>
      <c r="B1443" s="11"/>
      <c r="C1443" s="491"/>
      <c r="D1443" s="189"/>
      <c r="E1443" s="12">
        <v>3284</v>
      </c>
      <c r="F1443" s="190">
        <v>3284</v>
      </c>
      <c r="G1443" s="190">
        <v>3284</v>
      </c>
      <c r="H1443" s="190">
        <v>3700</v>
      </c>
      <c r="I1443" s="492">
        <v>3700</v>
      </c>
      <c r="J1443" s="492">
        <v>3700</v>
      </c>
    </row>
    <row r="1444" spans="1:10" x14ac:dyDescent="0.2">
      <c r="A1444" s="10" t="s">
        <v>5</v>
      </c>
      <c r="B1444" s="11"/>
      <c r="C1444" s="491"/>
      <c r="D1444" s="189"/>
      <c r="E1444" s="12">
        <v>3488.62</v>
      </c>
      <c r="F1444" s="190">
        <v>3318.91</v>
      </c>
      <c r="G1444" s="190">
        <f>G1443+F1447+259.62</f>
        <v>3568.2699999999995</v>
      </c>
      <c r="H1444" s="190">
        <f>H1443+3</f>
        <v>3703</v>
      </c>
      <c r="I1444" s="492">
        <f>I1443+H1447</f>
        <v>3739</v>
      </c>
      <c r="J1444" s="493">
        <f>J1443+I1447+50</f>
        <v>3870.13</v>
      </c>
    </row>
    <row r="1445" spans="1:10" x14ac:dyDescent="0.2">
      <c r="A1445" s="10" t="s">
        <v>6</v>
      </c>
      <c r="B1445" s="11"/>
      <c r="C1445" s="491"/>
      <c r="D1445" s="189"/>
      <c r="E1445" s="12"/>
      <c r="F1445" s="190"/>
      <c r="G1445" s="190"/>
      <c r="H1445" s="190"/>
      <c r="I1445" s="492"/>
      <c r="J1445" s="492"/>
    </row>
    <row r="1446" spans="1:10" x14ac:dyDescent="0.2">
      <c r="A1446" s="10" t="s">
        <v>7</v>
      </c>
      <c r="B1446" s="11"/>
      <c r="C1446" s="491"/>
      <c r="D1446" s="189"/>
      <c r="E1446" s="12">
        <v>3453.71</v>
      </c>
      <c r="F1446" s="190">
        <v>3294.26</v>
      </c>
      <c r="G1446" s="190">
        <v>3565.05</v>
      </c>
      <c r="H1446" s="190">
        <v>3664</v>
      </c>
      <c r="I1446" s="492">
        <v>3618.87</v>
      </c>
      <c r="J1446" s="492"/>
    </row>
    <row r="1447" spans="1:10" x14ac:dyDescent="0.2">
      <c r="A1447" s="10" t="s">
        <v>8</v>
      </c>
      <c r="B1447" s="11"/>
      <c r="C1447" s="491"/>
      <c r="D1447" s="189"/>
      <c r="E1447" s="12">
        <v>34.909999999999997</v>
      </c>
      <c r="F1447" s="190">
        <f>F1444-F1446</f>
        <v>24.649999999999636</v>
      </c>
      <c r="G1447" s="190">
        <f>G1444-G1446</f>
        <v>3.2199999999993452</v>
      </c>
      <c r="H1447" s="190">
        <f>H1444-H1446</f>
        <v>39</v>
      </c>
      <c r="I1447" s="492">
        <f>I1444-I1446</f>
        <v>120.13000000000011</v>
      </c>
      <c r="J1447" s="492"/>
    </row>
    <row r="1448" spans="1:10" x14ac:dyDescent="0.2">
      <c r="A1448" s="16" t="s">
        <v>9</v>
      </c>
      <c r="B1448" s="17"/>
      <c r="C1448" s="160"/>
      <c r="D1448" s="46"/>
      <c r="E1448" s="160">
        <v>2021</v>
      </c>
      <c r="F1448" s="180">
        <v>2022</v>
      </c>
      <c r="G1448" s="180">
        <v>2023</v>
      </c>
      <c r="H1448" s="180">
        <v>2024</v>
      </c>
      <c r="I1448" s="180">
        <v>2025</v>
      </c>
      <c r="J1448" s="180">
        <v>2026</v>
      </c>
    </row>
    <row r="1449" spans="1:10" x14ac:dyDescent="0.2">
      <c r="A1449" s="29" t="s">
        <v>10</v>
      </c>
      <c r="B1449" s="30"/>
      <c r="C1449" s="30"/>
      <c r="D1449" s="30"/>
      <c r="E1449" s="30"/>
      <c r="F1449" s="30"/>
      <c r="G1449" s="30"/>
      <c r="H1449" s="30"/>
      <c r="I1449" s="30"/>
      <c r="J1449" s="88"/>
    </row>
    <row r="1450" spans="1:10" x14ac:dyDescent="0.2">
      <c r="A1450" s="56" t="s">
        <v>749</v>
      </c>
      <c r="I1450" s="64"/>
    </row>
    <row r="1451" spans="1:10" x14ac:dyDescent="0.2">
      <c r="A1451" s="487" t="s">
        <v>750</v>
      </c>
      <c r="I1451" s="64"/>
    </row>
    <row r="1452" spans="1:10" x14ac:dyDescent="0.2">
      <c r="A1452" s="487" t="s">
        <v>751</v>
      </c>
      <c r="B1452" s="453"/>
      <c r="C1452" s="453"/>
      <c r="D1452" s="453"/>
      <c r="E1452" s="453"/>
      <c r="F1452" s="453"/>
      <c r="G1452" s="453"/>
      <c r="I1452" s="64"/>
    </row>
    <row r="1453" spans="1:10" x14ac:dyDescent="0.2">
      <c r="A1453" s="39" t="s">
        <v>748</v>
      </c>
      <c r="I1453" s="64"/>
    </row>
    <row r="1454" spans="1:10" x14ac:dyDescent="0.2">
      <c r="A1454" s="39" t="s">
        <v>965</v>
      </c>
      <c r="I1454" s="64"/>
    </row>
    <row r="1455" spans="1:10" s="34" customFormat="1" x14ac:dyDescent="0.2">
      <c r="A1455" s="43" t="s">
        <v>1150</v>
      </c>
    </row>
    <row r="1456" spans="1:10" x14ac:dyDescent="0.2">
      <c r="A1456" s="41"/>
      <c r="B1456" s="34"/>
      <c r="C1456" s="34"/>
    </row>
    <row r="1457" spans="1:10" x14ac:dyDescent="0.2">
      <c r="A1457" s="152" t="s">
        <v>1</v>
      </c>
      <c r="B1457" s="24" t="s">
        <v>74</v>
      </c>
      <c r="C1457" s="494" t="s">
        <v>2</v>
      </c>
    </row>
    <row r="1458" spans="1:10" x14ac:dyDescent="0.2">
      <c r="A1458" s="10" t="s">
        <v>3</v>
      </c>
      <c r="B1458" s="155">
        <v>2017</v>
      </c>
      <c r="C1458" s="155">
        <v>2018</v>
      </c>
      <c r="D1458" s="173">
        <v>2019</v>
      </c>
      <c r="E1458" s="155">
        <v>2020</v>
      </c>
      <c r="F1458" s="155">
        <v>2021</v>
      </c>
      <c r="G1458" s="155">
        <v>2022</v>
      </c>
      <c r="H1458" s="155">
        <v>2023</v>
      </c>
      <c r="I1458" s="155">
        <v>2024</v>
      </c>
      <c r="J1458" s="482">
        <v>2025</v>
      </c>
    </row>
    <row r="1459" spans="1:10" x14ac:dyDescent="0.2">
      <c r="A1459" s="10" t="s">
        <v>4</v>
      </c>
      <c r="B1459" s="12">
        <v>10</v>
      </c>
      <c r="C1459" s="491">
        <v>10</v>
      </c>
      <c r="D1459" s="189">
        <v>10</v>
      </c>
      <c r="E1459" s="12">
        <v>10</v>
      </c>
      <c r="F1459" s="190">
        <v>10</v>
      </c>
      <c r="G1459" s="190">
        <v>10</v>
      </c>
      <c r="H1459" s="190">
        <v>10</v>
      </c>
      <c r="I1459" s="190">
        <v>10</v>
      </c>
      <c r="J1459" s="495">
        <v>10</v>
      </c>
    </row>
    <row r="1460" spans="1:10" x14ac:dyDescent="0.2">
      <c r="A1460" s="10" t="s">
        <v>5</v>
      </c>
      <c r="B1460" s="12">
        <v>10</v>
      </c>
      <c r="C1460" s="491">
        <v>-62</v>
      </c>
      <c r="D1460" s="189">
        <v>-52</v>
      </c>
      <c r="E1460" s="12">
        <v>-42</v>
      </c>
      <c r="F1460" s="190">
        <v>-32</v>
      </c>
      <c r="G1460" s="190">
        <v>-22</v>
      </c>
      <c r="H1460" s="190">
        <v>-12</v>
      </c>
      <c r="I1460" s="190">
        <f>H1463+I1459</f>
        <v>-2</v>
      </c>
      <c r="J1460" s="495">
        <f>I1463+J1459</f>
        <v>8</v>
      </c>
    </row>
    <row r="1461" spans="1:10" x14ac:dyDescent="0.2">
      <c r="A1461" s="10" t="s">
        <v>6</v>
      </c>
      <c r="B1461" s="12"/>
      <c r="C1461" s="491"/>
      <c r="D1461" s="189"/>
      <c r="E1461" s="12"/>
      <c r="F1461" s="190"/>
      <c r="G1461" s="190"/>
      <c r="H1461" s="190"/>
      <c r="I1461" s="190"/>
      <c r="J1461" s="495"/>
    </row>
    <row r="1462" spans="1:10" x14ac:dyDescent="0.2">
      <c r="A1462" s="10" t="s">
        <v>7</v>
      </c>
      <c r="B1462" s="12">
        <v>82</v>
      </c>
      <c r="C1462" s="491">
        <v>0</v>
      </c>
      <c r="D1462" s="189">
        <v>0</v>
      </c>
      <c r="E1462" s="12">
        <v>0</v>
      </c>
      <c r="F1462" s="190">
        <v>0</v>
      </c>
      <c r="G1462" s="190">
        <v>0</v>
      </c>
      <c r="H1462" s="190">
        <v>0</v>
      </c>
      <c r="I1462" s="190">
        <v>0</v>
      </c>
      <c r="J1462" s="495"/>
    </row>
    <row r="1463" spans="1:10" x14ac:dyDescent="0.2">
      <c r="A1463" s="10" t="s">
        <v>8</v>
      </c>
      <c r="B1463" s="12">
        <v>-72</v>
      </c>
      <c r="C1463" s="491">
        <v>-62</v>
      </c>
      <c r="D1463" s="189">
        <v>-52</v>
      </c>
      <c r="E1463" s="12">
        <v>-42</v>
      </c>
      <c r="F1463" s="190">
        <v>-32</v>
      </c>
      <c r="G1463" s="190">
        <v>-22</v>
      </c>
      <c r="H1463" s="190">
        <f>H1460-H1462</f>
        <v>-12</v>
      </c>
      <c r="I1463" s="190">
        <f>I1460-I1462</f>
        <v>-2</v>
      </c>
      <c r="J1463" s="495"/>
    </row>
    <row r="1464" spans="1:10" x14ac:dyDescent="0.2">
      <c r="A1464" s="16" t="s">
        <v>9</v>
      </c>
      <c r="B1464" s="160">
        <v>2018</v>
      </c>
      <c r="C1464" s="160">
        <v>2019</v>
      </c>
      <c r="D1464" s="160">
        <v>2020</v>
      </c>
      <c r="E1464" s="160">
        <v>2021</v>
      </c>
      <c r="F1464" s="160">
        <v>2022</v>
      </c>
      <c r="G1464" s="160">
        <v>2023</v>
      </c>
      <c r="H1464" s="160">
        <v>2024</v>
      </c>
      <c r="I1464" s="160">
        <v>2025</v>
      </c>
      <c r="J1464" s="298">
        <v>2026</v>
      </c>
    </row>
    <row r="1465" spans="1:10" x14ac:dyDescent="0.2">
      <c r="A1465" s="18" t="s">
        <v>10</v>
      </c>
      <c r="B1465" s="19"/>
      <c r="C1465" s="19"/>
      <c r="D1465" s="19"/>
      <c r="E1465" s="19"/>
      <c r="F1465" s="19"/>
      <c r="G1465" s="19"/>
      <c r="H1465" s="19"/>
      <c r="I1465" s="63"/>
      <c r="J1465" s="496"/>
    </row>
    <row r="1466" spans="1:10" x14ac:dyDescent="0.2">
      <c r="A1466" s="497" t="s">
        <v>753</v>
      </c>
      <c r="B1466" s="53"/>
      <c r="C1466" s="53"/>
      <c r="D1466" s="53"/>
      <c r="E1466" s="53"/>
      <c r="F1466" s="53"/>
      <c r="G1466" s="19"/>
      <c r="H1466" s="19"/>
      <c r="I1466" s="19"/>
      <c r="J1466" s="63"/>
    </row>
    <row r="1467" spans="1:10" x14ac:dyDescent="0.2">
      <c r="A1467" s="39" t="s">
        <v>754</v>
      </c>
      <c r="B1467" s="49"/>
      <c r="C1467" s="49"/>
      <c r="D1467" s="49"/>
      <c r="E1467" s="49"/>
      <c r="F1467" s="49"/>
      <c r="J1467" s="64"/>
    </row>
    <row r="1468" spans="1:10" x14ac:dyDescent="0.2">
      <c r="A1468" s="56" t="s">
        <v>755</v>
      </c>
      <c r="B1468" s="49"/>
      <c r="C1468" s="49"/>
      <c r="D1468" s="49"/>
      <c r="E1468" s="49"/>
      <c r="F1468" s="49"/>
      <c r="J1468" s="64"/>
    </row>
    <row r="1469" spans="1:10" x14ac:dyDescent="0.2">
      <c r="A1469" s="39" t="s">
        <v>756</v>
      </c>
      <c r="J1469" s="64"/>
    </row>
    <row r="1470" spans="1:10" x14ac:dyDescent="0.2">
      <c r="A1470" s="41" t="s">
        <v>752</v>
      </c>
      <c r="J1470" s="64"/>
    </row>
    <row r="1471" spans="1:10" x14ac:dyDescent="0.2">
      <c r="A1471" s="42" t="s">
        <v>1204</v>
      </c>
      <c r="B1471" s="34"/>
      <c r="C1471" s="34"/>
      <c r="D1471" s="34"/>
      <c r="E1471" s="34"/>
      <c r="F1471" s="34"/>
      <c r="G1471" s="34"/>
      <c r="H1471" s="34"/>
      <c r="I1471" s="34"/>
      <c r="J1471" s="48"/>
    </row>
    <row r="1474" spans="1:14" x14ac:dyDescent="0.2">
      <c r="A1474" s="6" t="s">
        <v>24</v>
      </c>
      <c r="B1474" s="7" t="s">
        <v>25</v>
      </c>
    </row>
    <row r="1475" spans="1:14" x14ac:dyDescent="0.2">
      <c r="A1475" s="152" t="s">
        <v>14</v>
      </c>
      <c r="B1475" s="24" t="s">
        <v>624</v>
      </c>
      <c r="C1475" s="498" t="s">
        <v>26</v>
      </c>
    </row>
    <row r="1476" spans="1:14" x14ac:dyDescent="0.2">
      <c r="A1476" s="171" t="s">
        <v>27</v>
      </c>
      <c r="B1476" s="277">
        <v>2016</v>
      </c>
      <c r="C1476" s="155">
        <v>2017</v>
      </c>
      <c r="D1476" s="499">
        <v>2018</v>
      </c>
      <c r="E1476" s="155">
        <v>2019</v>
      </c>
      <c r="F1476" s="155">
        <v>2020</v>
      </c>
      <c r="G1476" s="155">
        <v>2021</v>
      </c>
      <c r="H1476" s="155">
        <v>2022</v>
      </c>
      <c r="I1476" s="155">
        <v>2023</v>
      </c>
      <c r="J1476" s="155">
        <v>2024</v>
      </c>
      <c r="K1476" s="155">
        <v>2025</v>
      </c>
    </row>
    <row r="1477" spans="1:14" x14ac:dyDescent="0.2">
      <c r="A1477" s="11" t="s">
        <v>28</v>
      </c>
      <c r="B1477" s="72">
        <v>200</v>
      </c>
      <c r="C1477" s="72">
        <v>200</v>
      </c>
      <c r="D1477" s="72">
        <v>200</v>
      </c>
      <c r="E1477" s="72">
        <v>215</v>
      </c>
      <c r="F1477" s="12">
        <v>215</v>
      </c>
      <c r="G1477" s="11">
        <v>242</v>
      </c>
      <c r="H1477" s="11">
        <v>242</v>
      </c>
      <c r="I1477" s="11">
        <v>242</v>
      </c>
      <c r="J1477" s="11">
        <v>302</v>
      </c>
      <c r="K1477" s="11">
        <v>302</v>
      </c>
    </row>
    <row r="1478" spans="1:14" x14ac:dyDescent="0.2">
      <c r="A1478" s="11" t="s">
        <v>29</v>
      </c>
      <c r="B1478" s="72">
        <f>200+200*0.25</f>
        <v>250</v>
      </c>
      <c r="C1478" s="72">
        <f>200+200*0.25</f>
        <v>250</v>
      </c>
      <c r="D1478" s="72">
        <f t="shared" ref="D1478:K1478" si="58">D1477+B1477*0.25</f>
        <v>250</v>
      </c>
      <c r="E1478" s="72">
        <f t="shared" si="58"/>
        <v>265</v>
      </c>
      <c r="F1478" s="72">
        <f t="shared" si="58"/>
        <v>265</v>
      </c>
      <c r="G1478" s="72">
        <f t="shared" si="58"/>
        <v>295.75</v>
      </c>
      <c r="H1478" s="72">
        <f t="shared" si="58"/>
        <v>295.75</v>
      </c>
      <c r="I1478" s="72">
        <f t="shared" si="58"/>
        <v>302.5</v>
      </c>
      <c r="J1478" s="72">
        <f t="shared" si="58"/>
        <v>362.5</v>
      </c>
      <c r="K1478" s="72">
        <f t="shared" si="58"/>
        <v>362.5</v>
      </c>
    </row>
    <row r="1479" spans="1:14" x14ac:dyDescent="0.2">
      <c r="A1479" s="11" t="s">
        <v>30</v>
      </c>
      <c r="B1479" s="253" t="s">
        <v>410</v>
      </c>
      <c r="C1479" s="253" t="s">
        <v>410</v>
      </c>
      <c r="D1479" s="253" t="s">
        <v>410</v>
      </c>
      <c r="E1479" s="253" t="s">
        <v>411</v>
      </c>
      <c r="F1479" s="253" t="s">
        <v>411</v>
      </c>
      <c r="G1479" s="253" t="s">
        <v>430</v>
      </c>
      <c r="H1479" s="253" t="s">
        <v>430</v>
      </c>
      <c r="I1479" s="253" t="s">
        <v>804</v>
      </c>
      <c r="J1479" s="253" t="s">
        <v>1053</v>
      </c>
      <c r="K1479" s="253" t="s">
        <v>1053</v>
      </c>
    </row>
    <row r="1480" spans="1:14" x14ac:dyDescent="0.2">
      <c r="A1480" s="11" t="s">
        <v>31</v>
      </c>
      <c r="B1480" s="72">
        <v>2.19</v>
      </c>
      <c r="C1480" s="72">
        <v>0.38</v>
      </c>
      <c r="D1480" s="72">
        <v>7.19</v>
      </c>
      <c r="E1480" s="72">
        <v>0.28999999999999998</v>
      </c>
      <c r="F1480" s="12">
        <v>1.45</v>
      </c>
      <c r="G1480" s="11">
        <v>0.72</v>
      </c>
      <c r="H1480" s="11">
        <v>0.64</v>
      </c>
      <c r="I1480" s="11">
        <v>0.2</v>
      </c>
      <c r="J1480" s="11">
        <v>0</v>
      </c>
      <c r="K1480" s="11"/>
    </row>
    <row r="1481" spans="1:14" x14ac:dyDescent="0.2">
      <c r="A1481" s="11" t="s">
        <v>32</v>
      </c>
      <c r="B1481" s="72">
        <f t="shared" ref="B1481:J1481" si="59">B1478-B1480</f>
        <v>247.81</v>
      </c>
      <c r="C1481" s="72">
        <f t="shared" si="59"/>
        <v>249.62</v>
      </c>
      <c r="D1481" s="72">
        <f t="shared" si="59"/>
        <v>242.81</v>
      </c>
      <c r="E1481" s="72">
        <f t="shared" si="59"/>
        <v>264.70999999999998</v>
      </c>
      <c r="F1481" s="72">
        <f t="shared" si="59"/>
        <v>263.55</v>
      </c>
      <c r="G1481" s="12">
        <f t="shared" si="59"/>
        <v>295.02999999999997</v>
      </c>
      <c r="H1481" s="12">
        <f t="shared" si="59"/>
        <v>295.11</v>
      </c>
      <c r="I1481" s="12">
        <f t="shared" si="59"/>
        <v>302.3</v>
      </c>
      <c r="J1481" s="12">
        <f t="shared" si="59"/>
        <v>362.5</v>
      </c>
      <c r="K1481" s="12"/>
    </row>
    <row r="1482" spans="1:14" x14ac:dyDescent="0.2">
      <c r="A1482" s="16" t="s">
        <v>33</v>
      </c>
      <c r="B1482" s="160">
        <v>2018</v>
      </c>
      <c r="C1482" s="160">
        <v>2019</v>
      </c>
      <c r="D1482" s="500">
        <v>2020</v>
      </c>
      <c r="E1482" s="160">
        <v>2021</v>
      </c>
      <c r="F1482" s="160">
        <v>2022</v>
      </c>
      <c r="G1482" s="17">
        <v>2023</v>
      </c>
      <c r="H1482" s="17">
        <v>2024</v>
      </c>
      <c r="I1482" s="17">
        <v>2025</v>
      </c>
      <c r="J1482" s="17">
        <v>2026</v>
      </c>
      <c r="K1482" s="17">
        <v>2027</v>
      </c>
    </row>
    <row r="1483" spans="1:14" ht="13.15" customHeight="1" x14ac:dyDescent="0.2">
      <c r="A1483" s="10" t="s">
        <v>135</v>
      </c>
      <c r="B1483" s="36"/>
      <c r="C1483" s="36"/>
      <c r="D1483" s="36"/>
      <c r="E1483" s="36"/>
      <c r="F1483" s="36"/>
      <c r="G1483" s="36"/>
      <c r="H1483" s="37"/>
      <c r="I1483" s="37"/>
      <c r="J1483" s="37"/>
      <c r="K1483" s="37"/>
    </row>
    <row r="1484" spans="1:14" x14ac:dyDescent="0.2">
      <c r="A1484" s="2"/>
      <c r="B1484" s="2"/>
    </row>
    <row r="1485" spans="1:14" x14ac:dyDescent="0.2">
      <c r="A1485" s="6" t="s">
        <v>14</v>
      </c>
      <c r="B1485" s="7" t="s">
        <v>623</v>
      </c>
      <c r="C1485" s="498" t="s">
        <v>26</v>
      </c>
    </row>
    <row r="1486" spans="1:14" x14ac:dyDescent="0.2">
      <c r="A1486" s="171" t="s">
        <v>27</v>
      </c>
      <c r="B1486" s="277">
        <v>2013</v>
      </c>
      <c r="C1486" s="155">
        <v>2014</v>
      </c>
      <c r="D1486" s="499">
        <v>2015</v>
      </c>
      <c r="E1486" s="155">
        <v>2016</v>
      </c>
      <c r="F1486" s="155">
        <v>2017</v>
      </c>
      <c r="G1486" s="499">
        <v>2018</v>
      </c>
      <c r="H1486" s="155">
        <v>2019</v>
      </c>
      <c r="I1486" s="155">
        <v>2020</v>
      </c>
      <c r="J1486" s="155">
        <v>2021</v>
      </c>
      <c r="K1486" s="155">
        <v>2022</v>
      </c>
      <c r="L1486" s="155">
        <v>2023</v>
      </c>
      <c r="M1486" s="155">
        <v>2024</v>
      </c>
      <c r="N1486" s="155">
        <v>2025</v>
      </c>
    </row>
    <row r="1487" spans="1:14" x14ac:dyDescent="0.2">
      <c r="A1487" s="11" t="s">
        <v>28</v>
      </c>
      <c r="B1487" s="12">
        <v>200</v>
      </c>
      <c r="C1487" s="12">
        <v>200</v>
      </c>
      <c r="D1487" s="72">
        <v>200</v>
      </c>
      <c r="E1487" s="72">
        <v>200</v>
      </c>
      <c r="F1487" s="72">
        <v>200</v>
      </c>
      <c r="G1487" s="72">
        <v>200</v>
      </c>
      <c r="H1487" s="72">
        <v>200</v>
      </c>
      <c r="I1487" s="12">
        <v>200</v>
      </c>
      <c r="J1487" s="12">
        <v>200</v>
      </c>
      <c r="K1487" s="12">
        <v>200</v>
      </c>
      <c r="L1487" s="12">
        <v>200</v>
      </c>
      <c r="M1487" s="12">
        <v>200</v>
      </c>
      <c r="N1487" s="12">
        <v>200</v>
      </c>
    </row>
    <row r="1488" spans="1:14" x14ac:dyDescent="0.2">
      <c r="A1488" s="11" t="s">
        <v>29</v>
      </c>
      <c r="B1488" s="157">
        <f>(B1489)</f>
        <v>300</v>
      </c>
      <c r="C1488" s="157">
        <f>(C1489)</f>
        <v>300</v>
      </c>
      <c r="D1488" s="72">
        <v>300</v>
      </c>
      <c r="E1488" s="72">
        <v>300</v>
      </c>
      <c r="F1488" s="72">
        <v>300</v>
      </c>
      <c r="G1488" s="72">
        <v>280</v>
      </c>
      <c r="H1488" s="72">
        <v>280</v>
      </c>
      <c r="I1488" s="12">
        <v>280</v>
      </c>
      <c r="J1488" s="12">
        <v>280</v>
      </c>
      <c r="K1488" s="12">
        <v>280</v>
      </c>
      <c r="L1488" s="12">
        <v>280</v>
      </c>
      <c r="M1488" s="12">
        <v>280</v>
      </c>
      <c r="N1488" s="12">
        <f>(200+(200*0.4))</f>
        <v>280</v>
      </c>
    </row>
    <row r="1489" spans="1:17" x14ac:dyDescent="0.2">
      <c r="A1489" s="11" t="s">
        <v>30</v>
      </c>
      <c r="B1489" s="12">
        <f>(B1487*50%)+B1487</f>
        <v>300</v>
      </c>
      <c r="C1489" s="12">
        <f>(C1487*50%)+C1487</f>
        <v>300</v>
      </c>
      <c r="D1489" s="253" t="s">
        <v>247</v>
      </c>
      <c r="E1489" s="253" t="s">
        <v>247</v>
      </c>
      <c r="F1489" s="253" t="s">
        <v>247</v>
      </c>
      <c r="G1489" s="253" t="s">
        <v>248</v>
      </c>
      <c r="H1489" s="253" t="s">
        <v>248</v>
      </c>
      <c r="I1489" s="253" t="s">
        <v>248</v>
      </c>
      <c r="J1489" s="253" t="s">
        <v>248</v>
      </c>
      <c r="K1489" s="253" t="s">
        <v>248</v>
      </c>
      <c r="L1489" s="253" t="s">
        <v>248</v>
      </c>
      <c r="M1489" s="253" t="s">
        <v>248</v>
      </c>
      <c r="N1489" s="157" t="s">
        <v>248</v>
      </c>
    </row>
    <row r="1490" spans="1:17" x14ac:dyDescent="0.2">
      <c r="A1490" s="11" t="s">
        <v>31</v>
      </c>
      <c r="B1490" s="12">
        <v>32</v>
      </c>
      <c r="C1490" s="12">
        <v>32</v>
      </c>
      <c r="D1490" s="72">
        <v>31</v>
      </c>
      <c r="E1490" s="72">
        <v>36</v>
      </c>
      <c r="F1490" s="72">
        <v>64</v>
      </c>
      <c r="G1490" s="72">
        <v>45</v>
      </c>
      <c r="H1490" s="72">
        <v>30</v>
      </c>
      <c r="I1490" s="12">
        <v>21</v>
      </c>
      <c r="J1490" s="12">
        <v>25</v>
      </c>
      <c r="K1490" s="12">
        <v>22</v>
      </c>
      <c r="L1490" s="12">
        <v>26</v>
      </c>
      <c r="M1490" s="12">
        <v>20</v>
      </c>
      <c r="N1490" s="12"/>
    </row>
    <row r="1491" spans="1:17" x14ac:dyDescent="0.2">
      <c r="A1491" s="11" t="s">
        <v>32</v>
      </c>
      <c r="B1491" s="157">
        <f>(B1488-B1490)</f>
        <v>268</v>
      </c>
      <c r="C1491" s="157">
        <f>(C1488-C1490)</f>
        <v>268</v>
      </c>
      <c r="D1491" s="72">
        <f t="shared" ref="D1491:M1491" si="60">D1488-D1490</f>
        <v>269</v>
      </c>
      <c r="E1491" s="72">
        <f t="shared" si="60"/>
        <v>264</v>
      </c>
      <c r="F1491" s="72">
        <f t="shared" si="60"/>
        <v>236</v>
      </c>
      <c r="G1491" s="72">
        <f t="shared" si="60"/>
        <v>235</v>
      </c>
      <c r="H1491" s="72">
        <f t="shared" si="60"/>
        <v>250</v>
      </c>
      <c r="I1491" s="72">
        <f t="shared" si="60"/>
        <v>259</v>
      </c>
      <c r="J1491" s="72">
        <f t="shared" si="60"/>
        <v>255</v>
      </c>
      <c r="K1491" s="72">
        <f t="shared" si="60"/>
        <v>258</v>
      </c>
      <c r="L1491" s="72">
        <f t="shared" si="60"/>
        <v>254</v>
      </c>
      <c r="M1491" s="72">
        <f t="shared" si="60"/>
        <v>260</v>
      </c>
      <c r="N1491" s="12"/>
    </row>
    <row r="1492" spans="1:17" ht="13.15" customHeight="1" x14ac:dyDescent="0.2">
      <c r="A1492" s="16" t="s">
        <v>33</v>
      </c>
      <c r="B1492" s="160">
        <v>2015</v>
      </c>
      <c r="C1492" s="160">
        <v>2016</v>
      </c>
      <c r="D1492" s="160">
        <v>2017</v>
      </c>
      <c r="E1492" s="160">
        <v>2018</v>
      </c>
      <c r="F1492" s="160">
        <v>2019</v>
      </c>
      <c r="G1492" s="500">
        <v>2020</v>
      </c>
      <c r="H1492" s="160">
        <v>2021</v>
      </c>
      <c r="I1492" s="160">
        <v>2022</v>
      </c>
      <c r="J1492" s="160">
        <v>2023</v>
      </c>
      <c r="K1492" s="160">
        <v>2024</v>
      </c>
      <c r="L1492" s="160">
        <v>2025</v>
      </c>
      <c r="M1492" s="160">
        <v>2026</v>
      </c>
      <c r="N1492" s="181">
        <v>2027</v>
      </c>
    </row>
    <row r="1493" spans="1:17" ht="13.15" customHeight="1" x14ac:dyDescent="0.2">
      <c r="A1493" s="18" t="s">
        <v>502</v>
      </c>
      <c r="B1493" s="464"/>
      <c r="C1493" s="464"/>
      <c r="D1493" s="464"/>
      <c r="E1493" s="464"/>
      <c r="F1493" s="464"/>
      <c r="G1493" s="464"/>
      <c r="H1493" s="464"/>
      <c r="I1493" s="464"/>
      <c r="J1493" s="464"/>
      <c r="K1493" s="464"/>
      <c r="L1493" s="464"/>
      <c r="M1493" s="464"/>
      <c r="N1493" s="63"/>
    </row>
    <row r="1494" spans="1:17" x14ac:dyDescent="0.2">
      <c r="A1494" s="41" t="s">
        <v>503</v>
      </c>
      <c r="B1494" s="343"/>
      <c r="C1494" s="343"/>
      <c r="D1494" s="343"/>
      <c r="E1494" s="343"/>
      <c r="F1494" s="343"/>
      <c r="G1494" s="343"/>
      <c r="H1494" s="343"/>
      <c r="I1494" s="343"/>
      <c r="J1494" s="343"/>
      <c r="K1494" s="343"/>
      <c r="L1494" s="343"/>
      <c r="M1494" s="343"/>
      <c r="N1494" s="48"/>
    </row>
    <row r="1496" spans="1:17" ht="15" x14ac:dyDescent="0.25">
      <c r="A1496" s="6" t="s">
        <v>14</v>
      </c>
      <c r="B1496" s="7" t="s">
        <v>645</v>
      </c>
      <c r="C1496" s="7" t="s">
        <v>26</v>
      </c>
      <c r="O1496" s="501"/>
    </row>
    <row r="1497" spans="1:17" x14ac:dyDescent="0.2">
      <c r="A1497" s="41" t="s">
        <v>27</v>
      </c>
      <c r="B1497" s="277">
        <v>2010</v>
      </c>
      <c r="C1497" s="155">
        <v>2011</v>
      </c>
      <c r="D1497" s="155">
        <v>2012</v>
      </c>
      <c r="E1497" s="155">
        <v>2013</v>
      </c>
      <c r="F1497" s="155">
        <v>2014</v>
      </c>
      <c r="G1497" s="155">
        <v>2015</v>
      </c>
      <c r="H1497" s="155">
        <v>2016</v>
      </c>
      <c r="I1497" s="499">
        <v>2017</v>
      </c>
      <c r="J1497" s="155">
        <v>2018</v>
      </c>
      <c r="K1497" s="155">
        <v>2019</v>
      </c>
      <c r="L1497" s="155">
        <v>2020</v>
      </c>
      <c r="M1497" s="155">
        <v>2021</v>
      </c>
      <c r="N1497" s="155">
        <v>2022</v>
      </c>
      <c r="O1497" s="155">
        <v>2023</v>
      </c>
      <c r="P1497" s="155">
        <v>2024</v>
      </c>
      <c r="Q1497" s="155">
        <v>2025</v>
      </c>
    </row>
    <row r="1498" spans="1:17" x14ac:dyDescent="0.2">
      <c r="A1498" s="10" t="s">
        <v>28</v>
      </c>
      <c r="B1498" s="12">
        <v>95</v>
      </c>
      <c r="C1498" s="12">
        <v>95</v>
      </c>
      <c r="D1498" s="12">
        <v>95</v>
      </c>
      <c r="E1498" s="12">
        <v>95</v>
      </c>
      <c r="F1498" s="157">
        <v>95</v>
      </c>
      <c r="G1498" s="156">
        <v>108.98</v>
      </c>
      <c r="H1498" s="156">
        <v>108.98</v>
      </c>
      <c r="I1498" s="502">
        <v>108.98</v>
      </c>
      <c r="J1498" s="156">
        <v>128.44</v>
      </c>
      <c r="K1498" s="156">
        <v>128.44</v>
      </c>
      <c r="L1498" s="156">
        <v>128.44</v>
      </c>
      <c r="M1498" s="156">
        <v>128.44</v>
      </c>
      <c r="N1498" s="156">
        <v>149.34</v>
      </c>
      <c r="O1498" s="156">
        <v>149.34</v>
      </c>
      <c r="P1498" s="156">
        <v>149.34</v>
      </c>
      <c r="Q1498" s="156">
        <v>149.34</v>
      </c>
    </row>
    <row r="1499" spans="1:17" x14ac:dyDescent="0.2">
      <c r="A1499" s="10" t="s">
        <v>29</v>
      </c>
      <c r="B1499" s="157">
        <f>(B1500)</f>
        <v>56</v>
      </c>
      <c r="C1499" s="157">
        <f t="shared" ref="C1499:J1499" si="61">(C1500)</f>
        <v>137</v>
      </c>
      <c r="D1499" s="157">
        <f t="shared" si="61"/>
        <v>103.5</v>
      </c>
      <c r="E1499" s="157">
        <f t="shared" si="61"/>
        <v>147.9</v>
      </c>
      <c r="F1499" s="157">
        <f t="shared" si="61"/>
        <v>103.5</v>
      </c>
      <c r="G1499" s="156">
        <f t="shared" si="61"/>
        <v>74.980000000000018</v>
      </c>
      <c r="H1499" s="156">
        <f t="shared" si="61"/>
        <v>78.980000000000047</v>
      </c>
      <c r="I1499" s="502">
        <f t="shared" si="61"/>
        <v>76.980000000000047</v>
      </c>
      <c r="J1499" s="156">
        <f t="shared" si="61"/>
        <v>97.44000000000004</v>
      </c>
      <c r="K1499" s="156">
        <f t="shared" ref="K1499:P1499" si="62">K1500</f>
        <v>85.440000000000055</v>
      </c>
      <c r="L1499" s="12">
        <f t="shared" si="62"/>
        <v>95.440000000000055</v>
      </c>
      <c r="M1499" s="12">
        <f t="shared" si="62"/>
        <v>95.440000000000055</v>
      </c>
      <c r="N1499" s="12">
        <f t="shared" si="62"/>
        <v>122.78000000000006</v>
      </c>
      <c r="O1499" s="12">
        <f t="shared" si="62"/>
        <v>152.12000000000006</v>
      </c>
      <c r="P1499" s="12">
        <f t="shared" si="62"/>
        <v>202.46000000000006</v>
      </c>
      <c r="Q1499" s="156">
        <v>335.8</v>
      </c>
    </row>
    <row r="1500" spans="1:17" x14ac:dyDescent="0.2">
      <c r="A1500" s="10" t="s">
        <v>30</v>
      </c>
      <c r="B1500" s="156">
        <f>(B1498+47.5)-86.5</f>
        <v>56</v>
      </c>
      <c r="C1500" s="156">
        <f>(C1498+B1502)</f>
        <v>137</v>
      </c>
      <c r="D1500" s="156">
        <f>D1498+95-86.5</f>
        <v>103.5</v>
      </c>
      <c r="E1500" s="156">
        <f>E1498+D1502</f>
        <v>147.9</v>
      </c>
      <c r="F1500" s="156">
        <f>(F1498+95)-86.5</f>
        <v>103.5</v>
      </c>
      <c r="G1500" s="156">
        <f>(G1498+F1502)-86.5</f>
        <v>74.980000000000018</v>
      </c>
      <c r="H1500" s="156">
        <f>(H1498+G1502)-51.98</f>
        <v>78.980000000000047</v>
      </c>
      <c r="I1500" s="502">
        <f>(I1498+H1502)-55.98</f>
        <v>76.980000000000047</v>
      </c>
      <c r="J1500" s="156">
        <f>(J1498+I1502)-73.98</f>
        <v>97.44000000000004</v>
      </c>
      <c r="K1500" s="156">
        <f>K1498+J1502-60.44</f>
        <v>85.440000000000055</v>
      </c>
      <c r="L1500" s="12">
        <f>L1498+K1502-79.44</f>
        <v>95.440000000000055</v>
      </c>
      <c r="M1500" s="12">
        <f>M1498+L1502-100.44</f>
        <v>95.440000000000055</v>
      </c>
      <c r="N1500" s="12">
        <f>N1498+M1502-60</f>
        <v>122.78000000000006</v>
      </c>
      <c r="O1500" s="12">
        <f>O1498+N1502-60</f>
        <v>152.12000000000006</v>
      </c>
      <c r="P1500" s="12">
        <f>P1498-60+O1502</f>
        <v>202.46000000000006</v>
      </c>
      <c r="Q1500" s="156" t="s">
        <v>1205</v>
      </c>
    </row>
    <row r="1501" spans="1:17" x14ac:dyDescent="0.2">
      <c r="A1501" s="10" t="s">
        <v>31</v>
      </c>
      <c r="B1501" s="157">
        <v>14</v>
      </c>
      <c r="C1501" s="157">
        <v>14</v>
      </c>
      <c r="D1501" s="157">
        <v>50.6</v>
      </c>
      <c r="E1501" s="157">
        <v>22</v>
      </c>
      <c r="F1501" s="157">
        <v>51</v>
      </c>
      <c r="G1501" s="157">
        <v>53</v>
      </c>
      <c r="H1501" s="157">
        <v>55</v>
      </c>
      <c r="I1501" s="503">
        <v>34</v>
      </c>
      <c r="J1501" s="157">
        <v>80</v>
      </c>
      <c r="K1501" s="157">
        <v>39</v>
      </c>
      <c r="L1501" s="12">
        <v>28</v>
      </c>
      <c r="M1501" s="12">
        <v>62</v>
      </c>
      <c r="N1501" s="12">
        <v>60</v>
      </c>
      <c r="O1501" s="12">
        <v>39</v>
      </c>
      <c r="P1501" s="12">
        <v>16</v>
      </c>
      <c r="Q1501" s="156"/>
    </row>
    <row r="1502" spans="1:17" x14ac:dyDescent="0.2">
      <c r="A1502" s="10" t="s">
        <v>32</v>
      </c>
      <c r="B1502" s="157">
        <f>(B1499-B1501)</f>
        <v>42</v>
      </c>
      <c r="C1502" s="157">
        <f t="shared" ref="C1502:J1502" si="63">(C1499-C1501)</f>
        <v>123</v>
      </c>
      <c r="D1502" s="157">
        <f t="shared" si="63"/>
        <v>52.9</v>
      </c>
      <c r="E1502" s="157">
        <f t="shared" si="63"/>
        <v>125.9</v>
      </c>
      <c r="F1502" s="157">
        <f t="shared" si="63"/>
        <v>52.5</v>
      </c>
      <c r="G1502" s="157">
        <f t="shared" si="63"/>
        <v>21.980000000000018</v>
      </c>
      <c r="H1502" s="157">
        <f t="shared" si="63"/>
        <v>23.980000000000047</v>
      </c>
      <c r="I1502" s="503">
        <f t="shared" si="63"/>
        <v>42.980000000000047</v>
      </c>
      <c r="J1502" s="157">
        <f t="shared" si="63"/>
        <v>17.44000000000004</v>
      </c>
      <c r="K1502" s="157">
        <f t="shared" ref="K1502:P1502" si="64">K1499-K1501</f>
        <v>46.440000000000055</v>
      </c>
      <c r="L1502" s="12">
        <f t="shared" si="64"/>
        <v>67.440000000000055</v>
      </c>
      <c r="M1502" s="12">
        <f t="shared" si="64"/>
        <v>33.440000000000055</v>
      </c>
      <c r="N1502" s="12">
        <f t="shared" si="64"/>
        <v>62.780000000000058</v>
      </c>
      <c r="O1502" s="12">
        <f t="shared" si="64"/>
        <v>113.12000000000006</v>
      </c>
      <c r="P1502" s="12">
        <f t="shared" si="64"/>
        <v>186.46000000000006</v>
      </c>
      <c r="Q1502" s="156"/>
    </row>
    <row r="1503" spans="1:17" x14ac:dyDescent="0.2">
      <c r="A1503" s="16" t="s">
        <v>33</v>
      </c>
      <c r="B1503" s="160">
        <v>2011</v>
      </c>
      <c r="C1503" s="160">
        <v>2012</v>
      </c>
      <c r="D1503" s="160">
        <v>2013</v>
      </c>
      <c r="E1503" s="160">
        <v>2014</v>
      </c>
      <c r="F1503" s="160">
        <v>2015</v>
      </c>
      <c r="G1503" s="160">
        <v>2016</v>
      </c>
      <c r="H1503" s="160">
        <v>2017</v>
      </c>
      <c r="I1503" s="500">
        <v>2018</v>
      </c>
      <c r="J1503" s="160">
        <v>2019</v>
      </c>
      <c r="K1503" s="160">
        <v>2020</v>
      </c>
      <c r="L1503" s="160">
        <v>2021</v>
      </c>
      <c r="M1503" s="160">
        <v>2022</v>
      </c>
      <c r="N1503" s="160">
        <v>2023</v>
      </c>
      <c r="O1503" s="160">
        <v>2024</v>
      </c>
      <c r="P1503" s="160">
        <v>2025</v>
      </c>
      <c r="Q1503" s="181">
        <v>2026</v>
      </c>
    </row>
    <row r="1504" spans="1:17" x14ac:dyDescent="0.2">
      <c r="A1504" s="29" t="s">
        <v>34</v>
      </c>
      <c r="B1504" s="30"/>
      <c r="C1504" s="30"/>
      <c r="D1504" s="30"/>
      <c r="E1504" s="30"/>
      <c r="F1504" s="30"/>
      <c r="G1504" s="30"/>
      <c r="H1504" s="30"/>
      <c r="I1504" s="30"/>
      <c r="J1504" s="30"/>
      <c r="K1504" s="30"/>
      <c r="L1504" s="30"/>
      <c r="M1504" s="30"/>
      <c r="N1504" s="30"/>
      <c r="O1504" s="30"/>
      <c r="P1504" s="30"/>
      <c r="Q1504" s="88"/>
    </row>
    <row r="1505" spans="1:17" x14ac:dyDescent="0.2">
      <c r="A1505" s="497" t="s">
        <v>35</v>
      </c>
      <c r="B1505" s="19"/>
      <c r="C1505" s="19"/>
      <c r="D1505" s="19"/>
      <c r="E1505" s="19"/>
      <c r="F1505" s="19"/>
      <c r="G1505" s="19"/>
      <c r="H1505" s="19"/>
      <c r="I1505" s="19"/>
      <c r="J1505" s="19"/>
      <c r="K1505" s="19"/>
      <c r="L1505" s="19"/>
      <c r="M1505" s="19"/>
      <c r="N1505" s="19"/>
      <c r="O1505" s="19"/>
      <c r="P1505" s="19"/>
      <c r="Q1505" s="63"/>
    </row>
    <row r="1506" spans="1:17" x14ac:dyDescent="0.2">
      <c r="A1506" s="56" t="s">
        <v>718</v>
      </c>
      <c r="Q1506" s="64"/>
    </row>
    <row r="1507" spans="1:17" x14ac:dyDescent="0.2">
      <c r="A1507" s="56" t="s">
        <v>719</v>
      </c>
      <c r="Q1507" s="64"/>
    </row>
    <row r="1508" spans="1:17" x14ac:dyDescent="0.2">
      <c r="A1508" s="56" t="s">
        <v>720</v>
      </c>
      <c r="Q1508" s="64"/>
    </row>
    <row r="1509" spans="1:17" x14ac:dyDescent="0.2">
      <c r="A1509" s="56" t="s">
        <v>721</v>
      </c>
      <c r="Q1509" s="64"/>
    </row>
    <row r="1510" spans="1:17" x14ac:dyDescent="0.2">
      <c r="A1510" s="39" t="s">
        <v>722</v>
      </c>
      <c r="Q1510" s="64"/>
    </row>
    <row r="1511" spans="1:17" x14ac:dyDescent="0.2">
      <c r="A1511" s="39" t="s">
        <v>723</v>
      </c>
      <c r="Q1511" s="64"/>
    </row>
    <row r="1512" spans="1:17" x14ac:dyDescent="0.2">
      <c r="A1512" s="39" t="s">
        <v>724</v>
      </c>
      <c r="Q1512" s="64"/>
    </row>
    <row r="1513" spans="1:17" x14ac:dyDescent="0.2">
      <c r="A1513" s="39" t="s">
        <v>725</v>
      </c>
      <c r="Q1513" s="64"/>
    </row>
    <row r="1514" spans="1:17" x14ac:dyDescent="0.2">
      <c r="A1514" s="39" t="s">
        <v>726</v>
      </c>
      <c r="Q1514" s="64"/>
    </row>
    <row r="1515" spans="1:17" x14ac:dyDescent="0.2">
      <c r="A1515" s="39" t="s">
        <v>727</v>
      </c>
      <c r="Q1515" s="64"/>
    </row>
    <row r="1516" spans="1:17" x14ac:dyDescent="0.2">
      <c r="A1516" s="39" t="s">
        <v>728</v>
      </c>
      <c r="Q1516" s="64"/>
    </row>
    <row r="1517" spans="1:17" x14ac:dyDescent="0.2">
      <c r="A1517" s="39" t="s">
        <v>805</v>
      </c>
      <c r="Q1517" s="64"/>
    </row>
    <row r="1518" spans="1:17" x14ac:dyDescent="0.2">
      <c r="A1518" s="39" t="s">
        <v>888</v>
      </c>
      <c r="Q1518" s="64"/>
    </row>
    <row r="1519" spans="1:17" x14ac:dyDescent="0.2">
      <c r="A1519" s="39" t="s">
        <v>1054</v>
      </c>
      <c r="Q1519" s="64"/>
    </row>
    <row r="1520" spans="1:17" x14ac:dyDescent="0.2">
      <c r="A1520" s="42" t="s">
        <v>1206</v>
      </c>
      <c r="B1520" s="34"/>
      <c r="C1520" s="34"/>
      <c r="D1520" s="34"/>
      <c r="E1520" s="34"/>
      <c r="F1520" s="34"/>
      <c r="G1520" s="34"/>
      <c r="H1520" s="34"/>
      <c r="I1520" s="34"/>
      <c r="J1520" s="34"/>
      <c r="K1520" s="34"/>
      <c r="L1520" s="34"/>
      <c r="M1520" s="34"/>
      <c r="N1520" s="34"/>
      <c r="O1520" s="34"/>
      <c r="P1520" s="34"/>
      <c r="Q1520" s="48"/>
    </row>
    <row r="1522" spans="1:14" x14ac:dyDescent="0.2">
      <c r="A1522" s="6" t="s">
        <v>14</v>
      </c>
      <c r="B1522" s="7" t="s">
        <v>74</v>
      </c>
      <c r="C1522" s="7" t="s">
        <v>26</v>
      </c>
    </row>
    <row r="1523" spans="1:14" x14ac:dyDescent="0.2">
      <c r="A1523" s="41" t="s">
        <v>27</v>
      </c>
      <c r="B1523" s="277">
        <v>2013</v>
      </c>
      <c r="C1523" s="155">
        <v>2014</v>
      </c>
      <c r="D1523" s="155">
        <v>2015</v>
      </c>
      <c r="E1523" s="499">
        <v>2016</v>
      </c>
      <c r="F1523" s="155">
        <v>2017</v>
      </c>
      <c r="G1523" s="499">
        <v>2018</v>
      </c>
      <c r="H1523" s="155">
        <v>2019</v>
      </c>
      <c r="I1523" s="155">
        <v>2020</v>
      </c>
      <c r="J1523" s="155">
        <v>2021</v>
      </c>
      <c r="K1523" s="155">
        <v>2022</v>
      </c>
      <c r="L1523" s="155">
        <v>2023</v>
      </c>
      <c r="M1523" s="155">
        <v>2024</v>
      </c>
      <c r="N1523" s="155">
        <v>2025</v>
      </c>
    </row>
    <row r="1524" spans="1:14" x14ac:dyDescent="0.2">
      <c r="A1524" s="10" t="s">
        <v>28</v>
      </c>
      <c r="B1524" s="12">
        <v>70</v>
      </c>
      <c r="C1524" s="12">
        <v>70</v>
      </c>
      <c r="D1524" s="12">
        <v>70</v>
      </c>
      <c r="E1524" s="12">
        <v>70</v>
      </c>
      <c r="F1524" s="157">
        <v>70</v>
      </c>
      <c r="G1524" s="157">
        <v>70</v>
      </c>
      <c r="H1524" s="157">
        <v>70</v>
      </c>
      <c r="I1524" s="12">
        <v>58.9</v>
      </c>
      <c r="J1524" s="12">
        <v>58.9</v>
      </c>
      <c r="K1524" s="12">
        <v>58.9</v>
      </c>
      <c r="L1524" s="12">
        <v>58.9</v>
      </c>
      <c r="M1524" s="12">
        <v>58.9</v>
      </c>
      <c r="N1524" s="12">
        <v>58.9</v>
      </c>
    </row>
    <row r="1525" spans="1:14" x14ac:dyDescent="0.2">
      <c r="A1525" s="10" t="s">
        <v>29</v>
      </c>
      <c r="B1525" s="12">
        <f>(B1526)</f>
        <v>-15</v>
      </c>
      <c r="C1525" s="12">
        <f t="shared" ref="C1525:H1525" si="65">(C1526)</f>
        <v>3</v>
      </c>
      <c r="D1525" s="12">
        <v>55</v>
      </c>
      <c r="E1525" s="12">
        <f t="shared" si="65"/>
        <v>56</v>
      </c>
      <c r="F1525" s="12">
        <f t="shared" si="65"/>
        <v>61</v>
      </c>
      <c r="G1525" s="157">
        <f t="shared" si="65"/>
        <v>71</v>
      </c>
      <c r="H1525" s="157">
        <f t="shared" si="65"/>
        <v>73</v>
      </c>
      <c r="I1525" s="12">
        <v>65.900000000000006</v>
      </c>
      <c r="J1525" s="12"/>
      <c r="K1525" s="12"/>
      <c r="L1525" s="12"/>
      <c r="M1525" s="12"/>
      <c r="N1525" s="12"/>
    </row>
    <row r="1526" spans="1:14" x14ac:dyDescent="0.2">
      <c r="A1526" s="10" t="s">
        <v>30</v>
      </c>
      <c r="B1526" s="157">
        <f>(B1524-B1527)</f>
        <v>-15</v>
      </c>
      <c r="C1526" s="157">
        <f>(C1524-C1527)</f>
        <v>3</v>
      </c>
      <c r="D1526" s="157">
        <f>D1524+B1528</f>
        <v>55</v>
      </c>
      <c r="E1526" s="157">
        <f>E1524+D1528+C1528</f>
        <v>56</v>
      </c>
      <c r="F1526" s="157">
        <f>F1524+E1528</f>
        <v>61</v>
      </c>
      <c r="G1526" s="157">
        <f>G1524+F1528</f>
        <v>71</v>
      </c>
      <c r="H1526" s="157">
        <f>H1524+G1528</f>
        <v>73</v>
      </c>
      <c r="I1526" s="12">
        <f>I1524+0.1*H1524</f>
        <v>65.900000000000006</v>
      </c>
      <c r="J1526" s="12"/>
      <c r="K1526" s="12"/>
      <c r="L1526" s="12"/>
      <c r="M1526" s="12"/>
      <c r="N1526" s="12"/>
    </row>
    <row r="1527" spans="1:14" x14ac:dyDescent="0.2">
      <c r="A1527" s="10" t="s">
        <v>36</v>
      </c>
      <c r="B1527" s="157">
        <v>85</v>
      </c>
      <c r="C1527" s="157">
        <v>67</v>
      </c>
      <c r="D1527" s="157">
        <v>72</v>
      </c>
      <c r="E1527" s="157">
        <v>65</v>
      </c>
      <c r="F1527" s="157">
        <v>60</v>
      </c>
      <c r="G1527" s="157">
        <v>68</v>
      </c>
      <c r="H1527" s="157">
        <v>51</v>
      </c>
      <c r="I1527" s="12">
        <v>39</v>
      </c>
      <c r="J1527" s="12">
        <v>43</v>
      </c>
      <c r="K1527" s="12">
        <v>29</v>
      </c>
      <c r="L1527" s="12">
        <v>43</v>
      </c>
      <c r="M1527" s="12">
        <v>35</v>
      </c>
      <c r="N1527" s="12"/>
    </row>
    <row r="1528" spans="1:14" x14ac:dyDescent="0.2">
      <c r="A1528" s="10" t="s">
        <v>37</v>
      </c>
      <c r="B1528" s="12">
        <f>(B1526)</f>
        <v>-15</v>
      </c>
      <c r="C1528" s="12">
        <f>(C1526)</f>
        <v>3</v>
      </c>
      <c r="D1528" s="12">
        <f t="shared" ref="D1528:I1528" si="66">D1525-D1527</f>
        <v>-17</v>
      </c>
      <c r="E1528" s="12">
        <f t="shared" si="66"/>
        <v>-9</v>
      </c>
      <c r="F1528" s="12">
        <f t="shared" si="66"/>
        <v>1</v>
      </c>
      <c r="G1528" s="157">
        <f t="shared" si="66"/>
        <v>3</v>
      </c>
      <c r="H1528" s="157">
        <f t="shared" si="66"/>
        <v>22</v>
      </c>
      <c r="I1528" s="12">
        <f t="shared" si="66"/>
        <v>26.900000000000006</v>
      </c>
      <c r="J1528" s="12">
        <f>J1524-J1527</f>
        <v>15.899999999999999</v>
      </c>
      <c r="K1528" s="12">
        <f>K1524-K1527</f>
        <v>29.9</v>
      </c>
      <c r="L1528" s="12">
        <f>L1524-L1527</f>
        <v>15.899999999999999</v>
      </c>
      <c r="M1528" s="12">
        <f>M1524-M1527</f>
        <v>23.9</v>
      </c>
      <c r="N1528" s="12"/>
    </row>
    <row r="1529" spans="1:14" x14ac:dyDescent="0.2">
      <c r="A1529" s="16" t="s">
        <v>33</v>
      </c>
      <c r="B1529" s="481">
        <v>2015</v>
      </c>
      <c r="C1529" s="481">
        <v>2016</v>
      </c>
      <c r="D1529" s="481">
        <v>2016</v>
      </c>
      <c r="E1529" s="481">
        <v>2017</v>
      </c>
      <c r="F1529" s="481">
        <v>2018</v>
      </c>
      <c r="G1529" s="481">
        <v>2019</v>
      </c>
      <c r="H1529" s="481">
        <v>2020</v>
      </c>
      <c r="I1529" s="160"/>
      <c r="J1529" s="160"/>
      <c r="K1529" s="160"/>
      <c r="L1529" s="160">
        <v>2024</v>
      </c>
      <c r="M1529" s="504">
        <v>2025</v>
      </c>
      <c r="N1529" s="504">
        <v>2026</v>
      </c>
    </row>
    <row r="1530" spans="1:14" x14ac:dyDescent="0.2">
      <c r="A1530" s="29" t="s">
        <v>34</v>
      </c>
      <c r="B1530" s="30"/>
      <c r="C1530" s="30"/>
      <c r="D1530" s="30"/>
      <c r="E1530" s="30"/>
      <c r="F1530" s="30"/>
      <c r="G1530" s="30"/>
      <c r="H1530" s="30"/>
      <c r="I1530" s="30"/>
      <c r="J1530" s="30"/>
      <c r="K1530" s="30"/>
      <c r="L1530" s="30"/>
      <c r="M1530" s="30"/>
      <c r="N1530" s="88"/>
    </row>
    <row r="1531" spans="1:14" x14ac:dyDescent="0.2">
      <c r="A1531" s="497" t="s">
        <v>311</v>
      </c>
      <c r="B1531" s="19"/>
      <c r="C1531" s="19"/>
      <c r="D1531" s="19"/>
      <c r="E1531" s="19"/>
      <c r="F1531" s="19"/>
      <c r="G1531" s="19"/>
      <c r="H1531" s="19"/>
      <c r="I1531" s="19"/>
      <c r="J1531" s="19"/>
      <c r="K1531" s="19"/>
      <c r="L1531" s="19"/>
      <c r="M1531" s="19"/>
      <c r="N1531" s="63"/>
    </row>
    <row r="1532" spans="1:14" x14ac:dyDescent="0.2">
      <c r="A1532" s="39" t="s">
        <v>312</v>
      </c>
      <c r="N1532" s="64"/>
    </row>
    <row r="1533" spans="1:14" x14ac:dyDescent="0.2">
      <c r="A1533" s="56" t="s">
        <v>313</v>
      </c>
      <c r="N1533" s="64"/>
    </row>
    <row r="1534" spans="1:14" x14ac:dyDescent="0.2">
      <c r="A1534" s="56" t="s">
        <v>314</v>
      </c>
      <c r="N1534" s="64"/>
    </row>
    <row r="1535" spans="1:14" x14ac:dyDescent="0.2">
      <c r="A1535" s="39" t="s">
        <v>305</v>
      </c>
      <c r="N1535" s="64"/>
    </row>
    <row r="1536" spans="1:14" x14ac:dyDescent="0.2">
      <c r="A1536" s="39" t="s">
        <v>407</v>
      </c>
      <c r="N1536" s="64"/>
    </row>
    <row r="1537" spans="1:14" x14ac:dyDescent="0.2">
      <c r="A1537" s="151" t="s">
        <v>1207</v>
      </c>
      <c r="N1537" s="64"/>
    </row>
    <row r="1538" spans="1:14" x14ac:dyDescent="0.2">
      <c r="A1538" s="151" t="s">
        <v>1208</v>
      </c>
      <c r="N1538" s="64"/>
    </row>
    <row r="1539" spans="1:14" x14ac:dyDescent="0.2">
      <c r="A1539" s="151" t="s">
        <v>1209</v>
      </c>
      <c r="N1539" s="64"/>
    </row>
    <row r="1540" spans="1:14" x14ac:dyDescent="0.2">
      <c r="A1540" s="42" t="s">
        <v>1210</v>
      </c>
      <c r="B1540" s="34"/>
      <c r="C1540" s="34"/>
      <c r="D1540" s="34"/>
      <c r="E1540" s="34"/>
      <c r="F1540" s="34"/>
      <c r="G1540" s="34"/>
      <c r="H1540" s="34"/>
      <c r="I1540" s="34"/>
      <c r="J1540" s="34"/>
      <c r="K1540" s="34"/>
      <c r="L1540" s="34"/>
      <c r="M1540" s="34"/>
      <c r="N1540" s="48"/>
    </row>
    <row r="1542" spans="1:14" x14ac:dyDescent="0.2">
      <c r="A1542" s="6" t="s">
        <v>14</v>
      </c>
      <c r="B1542" s="7" t="s">
        <v>79</v>
      </c>
      <c r="C1542" s="7" t="s">
        <v>26</v>
      </c>
    </row>
    <row r="1543" spans="1:14" x14ac:dyDescent="0.2">
      <c r="A1543" s="171" t="s">
        <v>27</v>
      </c>
      <c r="B1543" s="277">
        <v>2013</v>
      </c>
      <c r="C1543" s="155">
        <v>2014</v>
      </c>
      <c r="D1543" s="155">
        <v>2015</v>
      </c>
      <c r="E1543" s="155">
        <v>2016</v>
      </c>
      <c r="F1543" s="155">
        <v>2017</v>
      </c>
      <c r="G1543" s="499">
        <v>2018</v>
      </c>
      <c r="H1543" s="499">
        <v>2019</v>
      </c>
      <c r="I1543" s="155">
        <v>2020</v>
      </c>
      <c r="J1543" s="155">
        <v>2021</v>
      </c>
      <c r="K1543" s="155">
        <v>2022</v>
      </c>
      <c r="L1543" s="155">
        <v>2023</v>
      </c>
      <c r="M1543" s="155">
        <v>2024</v>
      </c>
      <c r="N1543" s="155">
        <v>2025</v>
      </c>
    </row>
    <row r="1544" spans="1:14" x14ac:dyDescent="0.2">
      <c r="A1544" s="11" t="s">
        <v>28</v>
      </c>
      <c r="B1544" s="12">
        <v>25</v>
      </c>
      <c r="C1544" s="12">
        <v>25</v>
      </c>
      <c r="D1544" s="12">
        <v>25</v>
      </c>
      <c r="E1544" s="12">
        <v>25</v>
      </c>
      <c r="F1544" s="157">
        <v>25</v>
      </c>
      <c r="G1544" s="502">
        <v>25</v>
      </c>
      <c r="H1544" s="502">
        <v>25</v>
      </c>
      <c r="I1544" s="12">
        <v>25</v>
      </c>
      <c r="J1544" s="12">
        <v>25</v>
      </c>
      <c r="K1544" s="12">
        <v>25</v>
      </c>
      <c r="L1544" s="12">
        <v>25</v>
      </c>
      <c r="M1544" s="12">
        <v>25</v>
      </c>
      <c r="N1544" s="12">
        <v>25</v>
      </c>
    </row>
    <row r="1545" spans="1:14" x14ac:dyDescent="0.2">
      <c r="A1545" s="11" t="s">
        <v>29</v>
      </c>
      <c r="B1545" s="12">
        <f>(B1546)</f>
        <v>-5</v>
      </c>
      <c r="C1545" s="12">
        <v>25</v>
      </c>
      <c r="D1545" s="12">
        <f>(D1546)</f>
        <v>25</v>
      </c>
      <c r="E1545" s="12">
        <f>(E1546)</f>
        <v>24</v>
      </c>
      <c r="F1545" s="12">
        <f>F1544</f>
        <v>25</v>
      </c>
      <c r="G1545" s="502">
        <v>29</v>
      </c>
      <c r="H1545" s="502">
        <f>H1544+5</f>
        <v>30</v>
      </c>
      <c r="I1545" s="12">
        <f>I1546</f>
        <v>30</v>
      </c>
      <c r="J1545" s="12">
        <f>J1546</f>
        <v>30</v>
      </c>
      <c r="K1545" s="12"/>
      <c r="L1545" s="12"/>
      <c r="M1545" s="90"/>
      <c r="N1545" s="90"/>
    </row>
    <row r="1546" spans="1:14" x14ac:dyDescent="0.2">
      <c r="A1546" s="11" t="s">
        <v>30</v>
      </c>
      <c r="B1546" s="157">
        <f>(B1544-B1547)</f>
        <v>-5</v>
      </c>
      <c r="C1546" s="157">
        <v>25</v>
      </c>
      <c r="D1546" s="157">
        <f>D1544+B1548+C1548</f>
        <v>25</v>
      </c>
      <c r="E1546" s="157">
        <f>E1544+D1548</f>
        <v>24</v>
      </c>
      <c r="F1546" s="157">
        <v>25</v>
      </c>
      <c r="G1546" s="502">
        <v>29</v>
      </c>
      <c r="H1546" s="502">
        <f>H1544+5</f>
        <v>30</v>
      </c>
      <c r="I1546" s="12">
        <f>I1544+0.2*G1544</f>
        <v>30</v>
      </c>
      <c r="J1546" s="12">
        <f>J1544+0.2*H1544</f>
        <v>30</v>
      </c>
      <c r="K1546" s="12"/>
      <c r="L1546" s="12"/>
      <c r="M1546" s="90"/>
      <c r="N1546" s="90"/>
    </row>
    <row r="1547" spans="1:14" x14ac:dyDescent="0.2">
      <c r="A1547" s="11" t="s">
        <v>36</v>
      </c>
      <c r="B1547" s="157">
        <v>30</v>
      </c>
      <c r="C1547" s="157">
        <v>20</v>
      </c>
      <c r="D1547" s="157">
        <v>26</v>
      </c>
      <c r="E1547" s="157">
        <v>20</v>
      </c>
      <c r="F1547" s="157">
        <v>12</v>
      </c>
      <c r="G1547" s="502">
        <v>15.89</v>
      </c>
      <c r="H1547" s="502">
        <v>9</v>
      </c>
      <c r="I1547" s="12">
        <v>10</v>
      </c>
      <c r="J1547" s="12">
        <v>12</v>
      </c>
      <c r="K1547" s="12">
        <v>8</v>
      </c>
      <c r="L1547" s="12">
        <v>8</v>
      </c>
      <c r="M1547" s="131">
        <v>9</v>
      </c>
      <c r="N1547" s="90"/>
    </row>
    <row r="1548" spans="1:14" x14ac:dyDescent="0.2">
      <c r="A1548" s="11" t="s">
        <v>37</v>
      </c>
      <c r="B1548" s="12">
        <v>-5</v>
      </c>
      <c r="C1548" s="12">
        <v>5</v>
      </c>
      <c r="D1548" s="12">
        <f>D1545-D1547</f>
        <v>-1</v>
      </c>
      <c r="E1548" s="289">
        <f>E1545-E1547</f>
        <v>4</v>
      </c>
      <c r="F1548" s="12">
        <f>F1545-F1547</f>
        <v>13</v>
      </c>
      <c r="G1548" s="502">
        <v>13.11</v>
      </c>
      <c r="H1548" s="502">
        <f>H1545-H1547</f>
        <v>21</v>
      </c>
      <c r="I1548" s="502">
        <f>I1545-I1547</f>
        <v>20</v>
      </c>
      <c r="J1548" s="12">
        <f>J1545-J1547</f>
        <v>18</v>
      </c>
      <c r="K1548" s="12">
        <f>K1544-K1547</f>
        <v>17</v>
      </c>
      <c r="L1548" s="12">
        <f>L1544-L1547</f>
        <v>17</v>
      </c>
      <c r="M1548" s="131">
        <f>M1544-M1547</f>
        <v>16</v>
      </c>
      <c r="N1548" s="90"/>
    </row>
    <row r="1549" spans="1:14" x14ac:dyDescent="0.2">
      <c r="A1549" s="17" t="s">
        <v>33</v>
      </c>
      <c r="B1549" s="481">
        <v>2015</v>
      </c>
      <c r="C1549" s="481">
        <v>2016</v>
      </c>
      <c r="D1549" s="481">
        <v>2017</v>
      </c>
      <c r="E1549" s="481">
        <v>2018</v>
      </c>
      <c r="F1549" s="160">
        <v>2019</v>
      </c>
      <c r="G1549" s="160">
        <v>2020</v>
      </c>
      <c r="H1549" s="500">
        <v>2021</v>
      </c>
      <c r="I1549" s="90">
        <v>2022</v>
      </c>
      <c r="J1549" s="90">
        <v>2023</v>
      </c>
      <c r="K1549" s="90">
        <v>2024</v>
      </c>
      <c r="L1549" s="90">
        <v>2025</v>
      </c>
      <c r="M1549" s="90">
        <v>2026</v>
      </c>
      <c r="N1549" s="90">
        <v>2027</v>
      </c>
    </row>
    <row r="1550" spans="1:14" x14ac:dyDescent="0.2">
      <c r="A1550" s="29" t="s">
        <v>34</v>
      </c>
      <c r="B1550" s="30"/>
      <c r="C1550" s="30"/>
      <c r="D1550" s="30"/>
      <c r="E1550" s="30"/>
      <c r="F1550" s="30"/>
      <c r="G1550" s="30"/>
      <c r="H1550" s="30"/>
      <c r="I1550" s="30"/>
      <c r="J1550" s="30"/>
      <c r="K1550" s="30"/>
      <c r="L1550" s="30"/>
      <c r="M1550" s="30"/>
      <c r="N1550" s="88"/>
    </row>
    <row r="1551" spans="1:14" x14ac:dyDescent="0.2">
      <c r="A1551" s="497" t="s">
        <v>306</v>
      </c>
      <c r="B1551" s="19"/>
      <c r="C1551" s="19"/>
      <c r="D1551" s="19"/>
      <c r="E1551" s="19"/>
      <c r="F1551" s="19"/>
      <c r="G1551" s="19"/>
      <c r="H1551" s="19"/>
      <c r="I1551" s="19"/>
      <c r="J1551" s="19"/>
      <c r="K1551" s="19"/>
      <c r="L1551" s="19"/>
      <c r="M1551" s="19"/>
      <c r="N1551" s="63"/>
    </row>
    <row r="1552" spans="1:14" x14ac:dyDescent="0.2">
      <c r="A1552" s="39" t="s">
        <v>307</v>
      </c>
      <c r="N1552" s="64"/>
    </row>
    <row r="1553" spans="1:14" x14ac:dyDescent="0.2">
      <c r="A1553" s="56" t="s">
        <v>308</v>
      </c>
      <c r="N1553" s="64"/>
    </row>
    <row r="1554" spans="1:14" x14ac:dyDescent="0.2">
      <c r="A1554" s="56" t="s">
        <v>309</v>
      </c>
      <c r="N1554" s="64"/>
    </row>
    <row r="1555" spans="1:14" x14ac:dyDescent="0.2">
      <c r="A1555" s="39" t="s">
        <v>310</v>
      </c>
      <c r="N1555" s="64"/>
    </row>
    <row r="1556" spans="1:14" x14ac:dyDescent="0.2">
      <c r="A1556" s="39" t="s">
        <v>408</v>
      </c>
      <c r="N1556" s="64"/>
    </row>
    <row r="1557" spans="1:14" x14ac:dyDescent="0.2">
      <c r="A1557" s="41" t="s">
        <v>409</v>
      </c>
      <c r="B1557" s="34"/>
      <c r="C1557" s="34"/>
      <c r="D1557" s="34"/>
      <c r="E1557" s="34"/>
      <c r="F1557" s="34"/>
      <c r="G1557" s="34"/>
      <c r="H1557" s="34"/>
      <c r="I1557" s="34"/>
      <c r="J1557" s="34"/>
      <c r="K1557" s="34"/>
      <c r="L1557" s="34"/>
      <c r="M1557" s="34"/>
      <c r="N1557" s="48"/>
    </row>
    <row r="1560" spans="1:14" x14ac:dyDescent="0.2">
      <c r="A1560" s="98" t="s">
        <v>12</v>
      </c>
      <c r="B1560" s="66" t="s">
        <v>453</v>
      </c>
      <c r="C1560" s="8"/>
      <c r="D1560" s="8"/>
      <c r="E1560" s="8"/>
      <c r="F1560" s="8"/>
      <c r="G1560" s="8"/>
    </row>
    <row r="1561" spans="1:14" x14ac:dyDescent="0.2">
      <c r="A1561" s="98" t="s">
        <v>14</v>
      </c>
      <c r="B1561" s="66" t="s">
        <v>638</v>
      </c>
      <c r="C1561" s="66" t="s">
        <v>15</v>
      </c>
      <c r="D1561" s="8"/>
      <c r="E1561" s="8"/>
      <c r="F1561" s="8"/>
      <c r="G1561" s="8"/>
    </row>
    <row r="1562" spans="1:14" x14ac:dyDescent="0.2">
      <c r="A1562" s="95" t="s">
        <v>16</v>
      </c>
      <c r="B1562" s="248"/>
      <c r="C1562" s="265">
        <v>2016</v>
      </c>
      <c r="D1562" s="347">
        <v>2017</v>
      </c>
      <c r="E1562" s="347">
        <v>2018</v>
      </c>
      <c r="F1562" s="347">
        <v>2019</v>
      </c>
      <c r="G1562" s="347">
        <v>2020</v>
      </c>
      <c r="H1562" s="347">
        <v>2021</v>
      </c>
      <c r="I1562" s="347">
        <v>2022</v>
      </c>
      <c r="J1562" s="347" t="s">
        <v>840</v>
      </c>
      <c r="K1562" s="347" t="s">
        <v>841</v>
      </c>
      <c r="L1562" s="347" t="s">
        <v>842</v>
      </c>
      <c r="M1562" s="347" t="s">
        <v>1135</v>
      </c>
    </row>
    <row r="1563" spans="1:14" x14ac:dyDescent="0.2">
      <c r="A1563" s="68" t="s">
        <v>17</v>
      </c>
      <c r="B1563" s="69"/>
      <c r="C1563" s="72">
        <v>3600</v>
      </c>
      <c r="D1563" s="97">
        <v>3600</v>
      </c>
      <c r="E1563" s="97">
        <v>3600</v>
      </c>
      <c r="F1563" s="97">
        <v>3600</v>
      </c>
      <c r="G1563" s="97">
        <v>3600</v>
      </c>
      <c r="H1563" s="97">
        <v>3600</v>
      </c>
      <c r="I1563" s="97">
        <v>3600</v>
      </c>
      <c r="J1563" s="97">
        <v>4320</v>
      </c>
      <c r="K1563" s="97">
        <v>4320</v>
      </c>
      <c r="L1563" s="97">
        <v>4320</v>
      </c>
      <c r="M1563" s="97">
        <v>4320</v>
      </c>
    </row>
    <row r="1564" spans="1:14" x14ac:dyDescent="0.2">
      <c r="A1564" s="68" t="s">
        <v>18</v>
      </c>
      <c r="B1564" s="69"/>
      <c r="C1564" s="505">
        <f>C1563+0.25*C1563</f>
        <v>4500</v>
      </c>
      <c r="D1564" s="505">
        <v>4477</v>
      </c>
      <c r="E1564" s="505">
        <f>E1563+0.25*E1563</f>
        <v>4500</v>
      </c>
      <c r="F1564" s="505">
        <f>F1563+0.25*F1563</f>
        <v>4500</v>
      </c>
      <c r="G1564" s="505">
        <f>G1563+0.25*G1563</f>
        <v>4500</v>
      </c>
      <c r="H1564" s="505">
        <f>H1563+0.25*H1563</f>
        <v>4500</v>
      </c>
      <c r="I1564" s="505">
        <f>I1563+0.25*I1563</f>
        <v>4500</v>
      </c>
      <c r="J1564" s="505">
        <f>J1563+0.25*H1563</f>
        <v>5220</v>
      </c>
      <c r="K1564" s="505">
        <f>K1563+I1567</f>
        <v>2075</v>
      </c>
      <c r="L1564" s="505">
        <f>L1563</f>
        <v>4320</v>
      </c>
      <c r="M1564" s="505">
        <f>M1563</f>
        <v>4320</v>
      </c>
    </row>
    <row r="1565" spans="1:14" ht="38.25" x14ac:dyDescent="0.2">
      <c r="A1565" s="68" t="s">
        <v>19</v>
      </c>
      <c r="B1565" s="459"/>
      <c r="C1565" s="505" t="s">
        <v>838</v>
      </c>
      <c r="D1565" s="505" t="s">
        <v>838</v>
      </c>
      <c r="E1565" s="505" t="s">
        <v>838</v>
      </c>
      <c r="F1565" s="505" t="s">
        <v>838</v>
      </c>
      <c r="G1565" s="505" t="s">
        <v>838</v>
      </c>
      <c r="H1565" s="505" t="s">
        <v>838</v>
      </c>
      <c r="I1565" s="505" t="s">
        <v>838</v>
      </c>
      <c r="J1565" s="505" t="s">
        <v>839</v>
      </c>
      <c r="K1565" s="506" t="s">
        <v>844</v>
      </c>
      <c r="L1565" s="506" t="s">
        <v>845</v>
      </c>
      <c r="M1565" s="506" t="s">
        <v>1136</v>
      </c>
    </row>
    <row r="1566" spans="1:14" x14ac:dyDescent="0.2">
      <c r="A1566" s="68" t="s">
        <v>20</v>
      </c>
      <c r="B1566" s="69"/>
      <c r="C1566" s="72">
        <v>994</v>
      </c>
      <c r="D1566" s="97">
        <v>365.62</v>
      </c>
      <c r="E1566" s="97">
        <v>888.8</v>
      </c>
      <c r="F1566" s="97">
        <v>966.50400000000002</v>
      </c>
      <c r="G1566" s="97">
        <v>2165.75</v>
      </c>
      <c r="H1566" s="97">
        <v>3412.63</v>
      </c>
      <c r="I1566" s="97">
        <v>6745</v>
      </c>
      <c r="J1566" s="97">
        <v>4856.4380000000001</v>
      </c>
      <c r="K1566" s="97">
        <v>458.31599999999997</v>
      </c>
      <c r="L1566" s="97"/>
      <c r="M1566" s="97"/>
    </row>
    <row r="1567" spans="1:14" x14ac:dyDescent="0.2">
      <c r="A1567" s="68" t="s">
        <v>21</v>
      </c>
      <c r="B1567" s="69"/>
      <c r="C1567" s="72">
        <f>C1564-C1566</f>
        <v>3506</v>
      </c>
      <c r="D1567" s="72">
        <f t="shared" ref="D1567:K1567" si="67">D1564-D1566</f>
        <v>4111.38</v>
      </c>
      <c r="E1567" s="72">
        <f t="shared" si="67"/>
        <v>3611.2</v>
      </c>
      <c r="F1567" s="72">
        <f t="shared" si="67"/>
        <v>3533.4960000000001</v>
      </c>
      <c r="G1567" s="72">
        <f t="shared" si="67"/>
        <v>2334.25</v>
      </c>
      <c r="H1567" s="72">
        <f t="shared" si="67"/>
        <v>1087.3699999999999</v>
      </c>
      <c r="I1567" s="72">
        <f t="shared" si="67"/>
        <v>-2245</v>
      </c>
      <c r="J1567" s="72">
        <f t="shared" si="67"/>
        <v>363.5619999999999</v>
      </c>
      <c r="K1567" s="72">
        <f t="shared" si="67"/>
        <v>1616.684</v>
      </c>
      <c r="L1567" s="72"/>
      <c r="M1567" s="72"/>
    </row>
    <row r="1568" spans="1:14" x14ac:dyDescent="0.2">
      <c r="A1568" s="68" t="s">
        <v>22</v>
      </c>
      <c r="B1568" s="69"/>
      <c r="C1568" s="249">
        <v>2018</v>
      </c>
      <c r="D1568" s="249">
        <v>2019</v>
      </c>
      <c r="E1568" s="249">
        <v>2020</v>
      </c>
      <c r="F1568" s="249">
        <v>2021</v>
      </c>
      <c r="G1568" s="249">
        <v>2022</v>
      </c>
      <c r="H1568" s="249">
        <v>2023</v>
      </c>
      <c r="I1568" s="249">
        <v>2024</v>
      </c>
      <c r="J1568" s="249">
        <v>2025</v>
      </c>
      <c r="K1568" s="249">
        <v>2026</v>
      </c>
      <c r="L1568" s="249">
        <v>2027</v>
      </c>
      <c r="M1568" s="249">
        <v>2028</v>
      </c>
    </row>
    <row r="1569" spans="1:13" x14ac:dyDescent="0.2">
      <c r="A1569" s="697" t="s">
        <v>23</v>
      </c>
      <c r="B1569" s="698"/>
      <c r="C1569" s="698"/>
      <c r="D1569" s="698"/>
      <c r="E1569" s="698"/>
      <c r="F1569" s="507"/>
      <c r="G1569" s="507"/>
      <c r="H1569" s="507"/>
      <c r="I1569" s="507"/>
      <c r="J1569" s="507"/>
      <c r="K1569" s="507"/>
      <c r="L1569" s="507"/>
      <c r="M1569" s="88"/>
    </row>
    <row r="1570" spans="1:13" x14ac:dyDescent="0.2">
      <c r="A1570" s="461" t="s">
        <v>843</v>
      </c>
      <c r="B1570" s="462"/>
      <c r="C1570" s="462"/>
      <c r="D1570" s="462"/>
      <c r="E1570" s="462"/>
      <c r="F1570" s="507"/>
      <c r="G1570" s="507"/>
      <c r="H1570" s="30"/>
      <c r="I1570" s="30"/>
      <c r="J1570" s="30"/>
      <c r="K1570" s="30"/>
      <c r="L1570" s="30"/>
      <c r="M1570" s="88"/>
    </row>
    <row r="1572" spans="1:13" x14ac:dyDescent="0.2">
      <c r="A1572" s="98" t="s">
        <v>14</v>
      </c>
      <c r="B1572" s="66" t="s">
        <v>641</v>
      </c>
      <c r="C1572" s="66" t="s">
        <v>15</v>
      </c>
      <c r="D1572" s="8"/>
      <c r="E1572" s="8"/>
      <c r="F1572" s="8"/>
      <c r="G1572" s="8"/>
    </row>
    <row r="1573" spans="1:13" x14ac:dyDescent="0.2">
      <c r="A1573" s="95" t="s">
        <v>16</v>
      </c>
      <c r="B1573" s="248"/>
      <c r="C1573" s="265">
        <v>2016</v>
      </c>
      <c r="D1573" s="347">
        <v>2017</v>
      </c>
      <c r="E1573" s="347">
        <v>2018</v>
      </c>
      <c r="F1573" s="347">
        <v>2019</v>
      </c>
      <c r="G1573" s="347">
        <v>2020</v>
      </c>
      <c r="H1573" s="347">
        <v>2021</v>
      </c>
      <c r="I1573" s="347">
        <v>2022</v>
      </c>
      <c r="J1573" s="347">
        <v>2023</v>
      </c>
      <c r="K1573" s="347">
        <v>2024</v>
      </c>
    </row>
    <row r="1574" spans="1:13" x14ac:dyDescent="0.2">
      <c r="A1574" s="68" t="s">
        <v>17</v>
      </c>
      <c r="B1574" s="69"/>
      <c r="C1574" s="72">
        <v>1168</v>
      </c>
      <c r="D1574" s="97">
        <v>1168</v>
      </c>
      <c r="E1574" s="97">
        <v>1168</v>
      </c>
      <c r="F1574" s="97">
        <v>1168</v>
      </c>
      <c r="G1574" s="97">
        <v>1168</v>
      </c>
      <c r="H1574" s="97">
        <v>1168</v>
      </c>
      <c r="I1574" s="97">
        <v>1168</v>
      </c>
      <c r="J1574" s="97">
        <v>1168</v>
      </c>
      <c r="K1574" s="97">
        <v>1168</v>
      </c>
    </row>
    <row r="1575" spans="1:13" x14ac:dyDescent="0.2">
      <c r="A1575" s="68" t="s">
        <v>18</v>
      </c>
      <c r="B1575" s="69"/>
      <c r="C1575" s="505">
        <f>C1574+0.3*C1574+50+50+50</f>
        <v>1668.4</v>
      </c>
      <c r="D1575" s="505">
        <f>D1574+0.3*D1574+50+50+50</f>
        <v>1668.4</v>
      </c>
      <c r="E1575" s="505">
        <f>E1574+0.2*E1574+50+50+50</f>
        <v>1551.6</v>
      </c>
      <c r="F1575" s="505">
        <f>F1574+0.2*F1574+50+50+50</f>
        <v>1551.6</v>
      </c>
      <c r="G1575" s="505">
        <f>G1574+0.2*G1574+50+50+50</f>
        <v>1551.6</v>
      </c>
      <c r="H1575" s="505">
        <f>H1574+0.2*H1574+50+50</f>
        <v>1501.6</v>
      </c>
      <c r="I1575" s="505">
        <f>I1574+0.2*G1574+50</f>
        <v>1451.6</v>
      </c>
      <c r="J1575" s="505">
        <f>J1574+0.1*H1574+50</f>
        <v>1334.8</v>
      </c>
      <c r="K1575" s="505">
        <f>K1574+50+50</f>
        <v>1268</v>
      </c>
    </row>
    <row r="1576" spans="1:13" x14ac:dyDescent="0.2">
      <c r="A1576" s="68" t="s">
        <v>19</v>
      </c>
      <c r="B1576" s="459"/>
      <c r="C1576" s="505" t="s">
        <v>456</v>
      </c>
      <c r="D1576" s="505" t="s">
        <v>456</v>
      </c>
      <c r="E1576" s="505" t="s">
        <v>459</v>
      </c>
      <c r="F1576" s="505" t="s">
        <v>459</v>
      </c>
      <c r="G1576" s="505" t="s">
        <v>459</v>
      </c>
      <c r="H1576" s="505" t="s">
        <v>668</v>
      </c>
      <c r="I1576" s="505" t="s">
        <v>835</v>
      </c>
      <c r="J1576" s="505" t="s">
        <v>836</v>
      </c>
      <c r="K1576" s="505" t="s">
        <v>1055</v>
      </c>
    </row>
    <row r="1577" spans="1:13" x14ac:dyDescent="0.2">
      <c r="A1577" s="68" t="s">
        <v>20</v>
      </c>
      <c r="B1577" s="69"/>
      <c r="C1577" s="72">
        <v>466</v>
      </c>
      <c r="D1577" s="97">
        <v>717</v>
      </c>
      <c r="E1577" s="97">
        <v>881</v>
      </c>
      <c r="F1577" s="97">
        <v>811.28</v>
      </c>
      <c r="G1577" s="97">
        <v>789.23699999999997</v>
      </c>
      <c r="H1577" s="97">
        <v>252.99</v>
      </c>
      <c r="I1577" s="97">
        <v>1083</v>
      </c>
      <c r="J1577" s="97">
        <v>664.495</v>
      </c>
      <c r="K1577" s="97">
        <v>259.97000000000003</v>
      </c>
    </row>
    <row r="1578" spans="1:13" x14ac:dyDescent="0.2">
      <c r="A1578" s="68" t="s">
        <v>21</v>
      </c>
      <c r="B1578" s="69"/>
      <c r="C1578" s="72">
        <f>C1575-C1577</f>
        <v>1202.4000000000001</v>
      </c>
      <c r="D1578" s="72">
        <f t="shared" ref="D1578:K1578" si="68">D1575-D1577</f>
        <v>951.40000000000009</v>
      </c>
      <c r="E1578" s="72">
        <f t="shared" si="68"/>
        <v>670.59999999999991</v>
      </c>
      <c r="F1578" s="72">
        <f t="shared" si="68"/>
        <v>740.31999999999994</v>
      </c>
      <c r="G1578" s="72">
        <f t="shared" si="68"/>
        <v>762.36299999999994</v>
      </c>
      <c r="H1578" s="72">
        <f t="shared" si="68"/>
        <v>1248.6099999999999</v>
      </c>
      <c r="I1578" s="72">
        <f t="shared" si="68"/>
        <v>368.59999999999991</v>
      </c>
      <c r="J1578" s="72">
        <f t="shared" si="68"/>
        <v>670.30499999999995</v>
      </c>
      <c r="K1578" s="72">
        <f t="shared" si="68"/>
        <v>1008.03</v>
      </c>
    </row>
    <row r="1579" spans="1:13" x14ac:dyDescent="0.2">
      <c r="A1579" s="68" t="s">
        <v>22</v>
      </c>
      <c r="B1579" s="69"/>
      <c r="C1579" s="249">
        <v>2018</v>
      </c>
      <c r="D1579" s="249">
        <v>2019</v>
      </c>
      <c r="E1579" s="249">
        <v>2020</v>
      </c>
      <c r="F1579" s="249">
        <v>2021</v>
      </c>
      <c r="G1579" s="249">
        <v>2022</v>
      </c>
      <c r="H1579" s="249">
        <v>2023</v>
      </c>
      <c r="I1579" s="249">
        <v>2023</v>
      </c>
      <c r="J1579" s="249">
        <v>2025</v>
      </c>
      <c r="K1579" s="249">
        <v>2026</v>
      </c>
    </row>
    <row r="1580" spans="1:13" x14ac:dyDescent="0.2">
      <c r="A1580" s="667" t="s">
        <v>23</v>
      </c>
      <c r="B1580" s="668"/>
      <c r="C1580" s="668"/>
      <c r="D1580" s="668"/>
      <c r="E1580" s="668"/>
      <c r="F1580" s="75"/>
      <c r="G1580" s="117"/>
      <c r="H1580" s="117"/>
      <c r="I1580" s="117"/>
      <c r="J1580" s="117"/>
      <c r="K1580" s="117"/>
    </row>
    <row r="1581" spans="1:13" x14ac:dyDescent="0.2">
      <c r="A1581" s="76" t="s">
        <v>455</v>
      </c>
      <c r="B1581" s="77"/>
      <c r="C1581" s="77"/>
      <c r="D1581" s="77"/>
      <c r="E1581" s="77"/>
      <c r="F1581" s="75"/>
      <c r="G1581" s="75"/>
      <c r="H1581" s="46"/>
      <c r="I1581" s="46"/>
      <c r="J1581" s="46"/>
      <c r="K1581" s="47"/>
    </row>
    <row r="1582" spans="1:13" x14ac:dyDescent="0.2">
      <c r="A1582" s="39" t="s">
        <v>454</v>
      </c>
      <c r="K1582" s="64"/>
    </row>
    <row r="1583" spans="1:13" x14ac:dyDescent="0.2">
      <c r="A1583" s="39" t="s">
        <v>837</v>
      </c>
      <c r="K1583" s="64"/>
    </row>
    <row r="1584" spans="1:13" x14ac:dyDescent="0.2">
      <c r="A1584" s="39" t="s">
        <v>834</v>
      </c>
      <c r="K1584" s="64"/>
    </row>
    <row r="1585" spans="1:11" x14ac:dyDescent="0.2">
      <c r="A1585" s="39" t="s">
        <v>457</v>
      </c>
      <c r="K1585" s="64"/>
    </row>
    <row r="1586" spans="1:11" x14ac:dyDescent="0.2">
      <c r="A1586" s="39" t="s">
        <v>458</v>
      </c>
      <c r="K1586" s="64"/>
    </row>
    <row r="1587" spans="1:11" x14ac:dyDescent="0.2">
      <c r="A1587" s="41" t="s">
        <v>1056</v>
      </c>
      <c r="B1587" s="34"/>
      <c r="C1587" s="34"/>
      <c r="D1587" s="34"/>
      <c r="E1587" s="34"/>
      <c r="F1587" s="34"/>
      <c r="G1587" s="34"/>
      <c r="H1587" s="34"/>
      <c r="I1587" s="34"/>
      <c r="J1587" s="34"/>
      <c r="K1587" s="48"/>
    </row>
    <row r="1589" spans="1:11" x14ac:dyDescent="0.2">
      <c r="A1589" s="6" t="s">
        <v>14</v>
      </c>
      <c r="B1589" s="7" t="s">
        <v>74</v>
      </c>
      <c r="C1589" s="7" t="s">
        <v>152</v>
      </c>
    </row>
    <row r="1590" spans="1:11" x14ac:dyDescent="0.2">
      <c r="A1590" s="41" t="s">
        <v>16</v>
      </c>
      <c r="B1590" s="277">
        <v>2016</v>
      </c>
      <c r="C1590" s="155">
        <v>2017</v>
      </c>
      <c r="D1590" s="155">
        <v>2018</v>
      </c>
      <c r="E1590" s="155">
        <v>2019</v>
      </c>
      <c r="F1590" s="155">
        <v>2020</v>
      </c>
      <c r="G1590" s="155">
        <v>2021</v>
      </c>
      <c r="H1590" s="155">
        <v>2022</v>
      </c>
      <c r="I1590" s="155">
        <v>2023</v>
      </c>
      <c r="J1590" s="155">
        <v>2024</v>
      </c>
      <c r="K1590" s="155">
        <v>2025</v>
      </c>
    </row>
    <row r="1591" spans="1:11" x14ac:dyDescent="0.2">
      <c r="A1591" s="10" t="s">
        <v>17</v>
      </c>
      <c r="B1591" s="12">
        <v>10</v>
      </c>
      <c r="C1591" s="12">
        <v>10</v>
      </c>
      <c r="D1591" s="12">
        <v>10</v>
      </c>
      <c r="E1591" s="12">
        <v>10</v>
      </c>
      <c r="F1591" s="12">
        <v>10</v>
      </c>
      <c r="G1591" s="12">
        <v>10</v>
      </c>
      <c r="H1591" s="12">
        <v>10</v>
      </c>
      <c r="I1591" s="12">
        <v>10</v>
      </c>
      <c r="J1591" s="12">
        <v>10</v>
      </c>
      <c r="K1591" s="12">
        <v>10</v>
      </c>
    </row>
    <row r="1592" spans="1:11" x14ac:dyDescent="0.2">
      <c r="A1592" s="10" t="s">
        <v>18</v>
      </c>
      <c r="B1592" s="12">
        <v>10</v>
      </c>
      <c r="C1592" s="12">
        <f>C1591+B1595</f>
        <v>-12</v>
      </c>
      <c r="D1592" s="12">
        <f>D1591+C1595</f>
        <v>-59</v>
      </c>
      <c r="E1592" s="12">
        <f>E1591+D1595</f>
        <v>-133</v>
      </c>
      <c r="F1592" s="12">
        <f>F1591+E1595</f>
        <v>-175.72</v>
      </c>
      <c r="G1592" s="12">
        <f>F1595+G1591</f>
        <v>-217.13</v>
      </c>
      <c r="H1592" s="12">
        <f xml:space="preserve"> 1.25*G1595+H1591</f>
        <v>-273.72499999999997</v>
      </c>
      <c r="I1592" s="12">
        <f xml:space="preserve"> 1.25*H1595+I1591</f>
        <v>-342.58124999999995</v>
      </c>
      <c r="J1592" s="12">
        <f xml:space="preserve"> 1.25*I1595+J1591</f>
        <v>-430.47656249999994</v>
      </c>
      <c r="K1592" s="12">
        <f xml:space="preserve"> 1.25*J1595+K1591</f>
        <v>-541.38320312499991</v>
      </c>
    </row>
    <row r="1593" spans="1:11" x14ac:dyDescent="0.2">
      <c r="A1593" s="10" t="s">
        <v>19</v>
      </c>
      <c r="B1593" s="157"/>
      <c r="C1593" s="157" t="s">
        <v>399</v>
      </c>
      <c r="D1593" s="157" t="s">
        <v>400</v>
      </c>
      <c r="E1593" s="157" t="s">
        <v>401</v>
      </c>
      <c r="F1593" s="157" t="s">
        <v>402</v>
      </c>
      <c r="G1593" s="157" t="s">
        <v>566</v>
      </c>
      <c r="H1593" s="157" t="s">
        <v>604</v>
      </c>
      <c r="I1593" s="157" t="s">
        <v>625</v>
      </c>
      <c r="J1593" s="157" t="s">
        <v>785</v>
      </c>
      <c r="K1593" s="157" t="s">
        <v>1002</v>
      </c>
    </row>
    <row r="1594" spans="1:11" x14ac:dyDescent="0.2">
      <c r="A1594" s="10" t="s">
        <v>20</v>
      </c>
      <c r="B1594" s="157">
        <v>32</v>
      </c>
      <c r="C1594" s="157">
        <v>57</v>
      </c>
      <c r="D1594" s="157">
        <v>84</v>
      </c>
      <c r="E1594" s="157">
        <v>52.72</v>
      </c>
      <c r="F1594" s="157">
        <v>51.41</v>
      </c>
      <c r="G1594" s="157">
        <v>9.85</v>
      </c>
      <c r="H1594" s="157">
        <v>8.34</v>
      </c>
      <c r="I1594" s="157">
        <v>9.8000000000000007</v>
      </c>
      <c r="J1594" s="183">
        <v>10.63</v>
      </c>
      <c r="K1594" s="157"/>
    </row>
    <row r="1595" spans="1:11" x14ac:dyDescent="0.2">
      <c r="A1595" s="10" t="s">
        <v>21</v>
      </c>
      <c r="B1595" s="12">
        <f t="shared" ref="B1595:J1595" si="69">B1592-B1594</f>
        <v>-22</v>
      </c>
      <c r="C1595" s="12">
        <f t="shared" si="69"/>
        <v>-69</v>
      </c>
      <c r="D1595" s="12">
        <f t="shared" si="69"/>
        <v>-143</v>
      </c>
      <c r="E1595" s="12">
        <f t="shared" si="69"/>
        <v>-185.72</v>
      </c>
      <c r="F1595" s="12">
        <f t="shared" si="69"/>
        <v>-227.13</v>
      </c>
      <c r="G1595" s="12">
        <f t="shared" si="69"/>
        <v>-226.98</v>
      </c>
      <c r="H1595" s="12">
        <f t="shared" si="69"/>
        <v>-282.06499999999994</v>
      </c>
      <c r="I1595" s="12">
        <f t="shared" si="69"/>
        <v>-352.38124999999997</v>
      </c>
      <c r="J1595" s="26">
        <f t="shared" si="69"/>
        <v>-441.10656249999994</v>
      </c>
      <c r="K1595" s="12"/>
    </row>
    <row r="1596" spans="1:11" x14ac:dyDescent="0.2">
      <c r="A1596" s="16" t="s">
        <v>22</v>
      </c>
      <c r="B1596" s="481">
        <v>2017</v>
      </c>
      <c r="C1596" s="481">
        <v>2018</v>
      </c>
      <c r="D1596" s="481">
        <v>2019</v>
      </c>
      <c r="E1596" s="481">
        <v>2020</v>
      </c>
      <c r="F1596" s="481">
        <v>2021</v>
      </c>
      <c r="G1596" s="481">
        <v>2022</v>
      </c>
      <c r="H1596" s="481">
        <v>2023</v>
      </c>
      <c r="I1596" s="481">
        <v>2023</v>
      </c>
      <c r="J1596" s="481">
        <v>2025</v>
      </c>
      <c r="K1596" s="481">
        <v>2026</v>
      </c>
    </row>
    <row r="1597" spans="1:11" x14ac:dyDescent="0.2">
      <c r="A1597" s="16" t="s">
        <v>179</v>
      </c>
      <c r="B1597" s="46"/>
      <c r="C1597" s="46"/>
      <c r="D1597" s="46"/>
      <c r="E1597" s="46"/>
      <c r="F1597" s="46"/>
      <c r="G1597" s="46"/>
      <c r="H1597" s="46"/>
      <c r="I1597" s="46"/>
      <c r="J1597" s="47"/>
    </row>
    <row r="1598" spans="1:11" x14ac:dyDescent="0.2">
      <c r="A1598" s="56" t="s">
        <v>403</v>
      </c>
      <c r="J1598" s="64"/>
    </row>
    <row r="1599" spans="1:11" x14ac:dyDescent="0.2">
      <c r="A1599" s="56" t="s">
        <v>404</v>
      </c>
      <c r="J1599" s="64"/>
    </row>
    <row r="1600" spans="1:11" x14ac:dyDescent="0.2">
      <c r="A1600" s="56" t="s">
        <v>405</v>
      </c>
      <c r="J1600" s="64"/>
    </row>
    <row r="1601" spans="1:10" x14ac:dyDescent="0.2">
      <c r="A1601" s="56" t="s">
        <v>565</v>
      </c>
      <c r="C1601" s="354"/>
      <c r="J1601" s="64"/>
    </row>
    <row r="1602" spans="1:10" x14ac:dyDescent="0.2">
      <c r="A1602" s="56" t="s">
        <v>567</v>
      </c>
      <c r="C1602" s="354"/>
      <c r="J1602" s="64"/>
    </row>
    <row r="1603" spans="1:10" x14ac:dyDescent="0.2">
      <c r="A1603" s="56" t="s">
        <v>898</v>
      </c>
      <c r="C1603" s="354"/>
      <c r="J1603" s="64"/>
    </row>
    <row r="1604" spans="1:10" x14ac:dyDescent="0.2">
      <c r="A1604" s="56" t="s">
        <v>899</v>
      </c>
      <c r="C1604" s="354"/>
      <c r="J1604" s="64"/>
    </row>
    <row r="1605" spans="1:10" x14ac:dyDescent="0.2">
      <c r="A1605" s="49" t="s">
        <v>1029</v>
      </c>
      <c r="C1605" s="354"/>
    </row>
    <row r="1606" spans="1:10" s="34" customFormat="1" x14ac:dyDescent="0.2">
      <c r="A1606" s="58" t="s">
        <v>1138</v>
      </c>
      <c r="C1606" s="316"/>
    </row>
    <row r="1607" spans="1:10" x14ac:dyDescent="0.2">
      <c r="A1607" s="49"/>
      <c r="C1607" s="354"/>
    </row>
    <row r="1609" spans="1:10" x14ac:dyDescent="0.2">
      <c r="A1609" s="6" t="s">
        <v>14</v>
      </c>
      <c r="B1609" s="7" t="s">
        <v>1057</v>
      </c>
      <c r="C1609" s="7" t="s">
        <v>152</v>
      </c>
    </row>
    <row r="1610" spans="1:10" x14ac:dyDescent="0.2">
      <c r="A1610" s="41" t="s">
        <v>16</v>
      </c>
      <c r="B1610" s="277">
        <v>2023</v>
      </c>
      <c r="C1610" s="155">
        <v>2024</v>
      </c>
    </row>
    <row r="1611" spans="1:10" x14ac:dyDescent="0.2">
      <c r="A1611" s="10" t="s">
        <v>1058</v>
      </c>
      <c r="B1611" s="12">
        <v>256</v>
      </c>
      <c r="C1611" s="12">
        <v>256</v>
      </c>
    </row>
    <row r="1612" spans="1:10" x14ac:dyDescent="0.2">
      <c r="A1612" s="10" t="s">
        <v>1059</v>
      </c>
      <c r="B1612" s="12"/>
      <c r="C1612" s="12">
        <f>C1611+B1615</f>
        <v>-10</v>
      </c>
    </row>
    <row r="1613" spans="1:10" x14ac:dyDescent="0.2">
      <c r="A1613" s="10" t="s">
        <v>19</v>
      </c>
      <c r="B1613" s="157"/>
      <c r="C1613" s="157" t="s">
        <v>399</v>
      </c>
    </row>
    <row r="1614" spans="1:10" x14ac:dyDescent="0.2">
      <c r="A1614" s="10" t="s">
        <v>20</v>
      </c>
      <c r="B1614" s="157">
        <v>522</v>
      </c>
      <c r="C1614" s="157">
        <v>250.88</v>
      </c>
    </row>
    <row r="1615" spans="1:10" x14ac:dyDescent="0.2">
      <c r="A1615" s="10" t="s">
        <v>21</v>
      </c>
      <c r="B1615" s="12">
        <f>B1611-B1614</f>
        <v>-266</v>
      </c>
      <c r="C1615" s="12">
        <f>C1612-C1614</f>
        <v>-260.88</v>
      </c>
    </row>
    <row r="1616" spans="1:10" x14ac:dyDescent="0.2">
      <c r="A1616" s="16" t="s">
        <v>22</v>
      </c>
      <c r="B1616" s="481">
        <v>2024</v>
      </c>
      <c r="C1616" s="481">
        <v>2025</v>
      </c>
    </row>
    <row r="1617" spans="1:9" x14ac:dyDescent="0.2">
      <c r="A1617" s="16" t="s">
        <v>1061</v>
      </c>
      <c r="B1617" s="46"/>
      <c r="C1617" s="47"/>
    </row>
    <row r="1618" spans="1:9" x14ac:dyDescent="0.2">
      <c r="A1618" s="315" t="s">
        <v>1060</v>
      </c>
      <c r="B1618" s="34"/>
      <c r="C1618" s="48"/>
    </row>
    <row r="1619" spans="1:9" x14ac:dyDescent="0.2">
      <c r="A1619" s="49"/>
      <c r="C1619" s="354"/>
    </row>
    <row r="1621" spans="1:9" x14ac:dyDescent="0.2">
      <c r="A1621" s="98" t="s">
        <v>12</v>
      </c>
      <c r="B1621" s="66" t="s">
        <v>261</v>
      </c>
      <c r="C1621" s="8"/>
      <c r="D1621" s="8"/>
      <c r="E1621" s="8"/>
      <c r="F1621" s="8"/>
      <c r="G1621" s="8"/>
    </row>
    <row r="1622" spans="1:9" ht="15" x14ac:dyDescent="0.2">
      <c r="A1622" s="103" t="s">
        <v>14</v>
      </c>
      <c r="B1622" s="104" t="s">
        <v>642</v>
      </c>
      <c r="C1622" s="66" t="s">
        <v>15</v>
      </c>
      <c r="D1622" s="8"/>
      <c r="E1622" s="265" t="s">
        <v>1122</v>
      </c>
      <c r="F1622" s="346" t="s">
        <v>1123</v>
      </c>
      <c r="G1622" s="265" t="s">
        <v>1124</v>
      </c>
      <c r="H1622" s="265" t="s">
        <v>1125</v>
      </c>
      <c r="I1622" s="508" t="s">
        <v>1211</v>
      </c>
    </row>
    <row r="1623" spans="1:9" x14ac:dyDescent="0.2">
      <c r="A1623" s="95" t="s">
        <v>16</v>
      </c>
      <c r="B1623" s="248"/>
      <c r="C1623" s="69"/>
      <c r="D1623" s="346">
        <v>2019</v>
      </c>
      <c r="E1623" s="509"/>
      <c r="G1623" s="509"/>
      <c r="H1623" s="509"/>
      <c r="I1623" s="510"/>
    </row>
    <row r="1624" spans="1:9" x14ac:dyDescent="0.2">
      <c r="A1624" s="68" t="s">
        <v>17</v>
      </c>
      <c r="B1624" s="69"/>
      <c r="C1624" s="69"/>
      <c r="D1624" s="71">
        <v>239</v>
      </c>
      <c r="E1624" s="72">
        <v>300</v>
      </c>
      <c r="F1624" s="71">
        <v>300</v>
      </c>
      <c r="G1624" s="72">
        <v>300</v>
      </c>
      <c r="H1624" s="72">
        <v>368</v>
      </c>
      <c r="I1624" s="511">
        <v>368</v>
      </c>
    </row>
    <row r="1625" spans="1:9" x14ac:dyDescent="0.2">
      <c r="A1625" s="68" t="s">
        <v>18</v>
      </c>
      <c r="B1625" s="69"/>
      <c r="C1625" s="69"/>
      <c r="D1625" s="71">
        <v>239</v>
      </c>
      <c r="E1625" s="72">
        <f>E1624+0.05*D1624</f>
        <v>311.95</v>
      </c>
      <c r="F1625" s="71">
        <f>F1624+0.05*E1624</f>
        <v>315</v>
      </c>
      <c r="G1625" s="72">
        <f>G1624+0.05*F1624</f>
        <v>315</v>
      </c>
      <c r="H1625" s="72">
        <f>H1624+0.05*G1624</f>
        <v>383</v>
      </c>
      <c r="I1625" s="511">
        <v>386.4</v>
      </c>
    </row>
    <row r="1626" spans="1:9" x14ac:dyDescent="0.2">
      <c r="A1626" s="68" t="s">
        <v>19</v>
      </c>
      <c r="B1626" s="459"/>
      <c r="C1626" s="254"/>
      <c r="D1626" s="68" t="s">
        <v>262</v>
      </c>
      <c r="E1626" s="69"/>
      <c r="F1626" s="136"/>
      <c r="G1626" s="69"/>
      <c r="H1626" s="69"/>
      <c r="I1626" s="512" t="s">
        <v>262</v>
      </c>
    </row>
    <row r="1627" spans="1:9" x14ac:dyDescent="0.2">
      <c r="A1627" s="68" t="s">
        <v>20</v>
      </c>
      <c r="B1627" s="69"/>
      <c r="C1627" s="69"/>
      <c r="D1627" s="136">
        <v>49.3</v>
      </c>
      <c r="E1627" s="69">
        <v>194.39</v>
      </c>
      <c r="F1627" s="136">
        <v>157.68</v>
      </c>
      <c r="G1627" s="69">
        <v>123.17</v>
      </c>
      <c r="H1627" s="69">
        <v>117.44</v>
      </c>
      <c r="I1627" s="512">
        <v>146.22</v>
      </c>
    </row>
    <row r="1628" spans="1:9" x14ac:dyDescent="0.2">
      <c r="A1628" s="68" t="s">
        <v>21</v>
      </c>
      <c r="B1628" s="69"/>
      <c r="C1628" s="69"/>
      <c r="D1628" s="136">
        <f t="shared" ref="D1628:I1628" si="70">D1625-D1627</f>
        <v>189.7</v>
      </c>
      <c r="E1628" s="69">
        <f t="shared" si="70"/>
        <v>117.56</v>
      </c>
      <c r="F1628" s="136">
        <f t="shared" si="70"/>
        <v>157.32</v>
      </c>
      <c r="G1628" s="69">
        <f t="shared" si="70"/>
        <v>191.82999999999998</v>
      </c>
      <c r="H1628" s="69">
        <f t="shared" si="70"/>
        <v>265.56</v>
      </c>
      <c r="I1628" s="69">
        <f t="shared" si="70"/>
        <v>240.17999999999998</v>
      </c>
    </row>
    <row r="1629" spans="1:9" x14ac:dyDescent="0.2">
      <c r="A1629" s="73" t="s">
        <v>22</v>
      </c>
      <c r="B1629" s="74"/>
      <c r="C1629" s="74"/>
      <c r="D1629" s="75">
        <v>2020</v>
      </c>
      <c r="E1629" s="69">
        <v>2021</v>
      </c>
      <c r="F1629" s="75">
        <v>2022</v>
      </c>
      <c r="G1629" s="69">
        <v>2023</v>
      </c>
      <c r="H1629" s="117">
        <v>2024</v>
      </c>
      <c r="I1629" s="512">
        <v>2025</v>
      </c>
    </row>
    <row r="1630" spans="1:9" x14ac:dyDescent="0.2">
      <c r="A1630" s="461" t="s">
        <v>23</v>
      </c>
      <c r="B1630" s="462"/>
      <c r="C1630" s="462"/>
      <c r="D1630" s="462"/>
      <c r="E1630" s="462"/>
      <c r="F1630" s="462"/>
      <c r="G1630" s="462"/>
      <c r="H1630" s="462"/>
      <c r="I1630" s="88"/>
    </row>
    <row r="1631" spans="1:9" ht="39.6" customHeight="1" x14ac:dyDescent="0.2">
      <c r="A1631" s="659" t="s">
        <v>1049</v>
      </c>
      <c r="B1631" s="660"/>
      <c r="C1631" s="660"/>
      <c r="D1631" s="660"/>
      <c r="E1631" s="660"/>
      <c r="F1631" s="660"/>
      <c r="G1631" s="660"/>
      <c r="H1631" s="660"/>
      <c r="I1631" s="63"/>
    </row>
    <row r="1632" spans="1:9" ht="49.15" customHeight="1" x14ac:dyDescent="0.2">
      <c r="A1632" s="651" t="s">
        <v>1050</v>
      </c>
      <c r="B1632" s="652"/>
      <c r="C1632" s="652"/>
      <c r="D1632" s="652"/>
      <c r="E1632" s="652"/>
      <c r="F1632" s="652"/>
      <c r="G1632" s="652"/>
      <c r="H1632" s="652"/>
      <c r="I1632" s="64"/>
    </row>
    <row r="1633" spans="1:9" ht="49.15" customHeight="1" x14ac:dyDescent="0.2">
      <c r="A1633" s="651" t="s">
        <v>1051</v>
      </c>
      <c r="B1633" s="652"/>
      <c r="C1633" s="652"/>
      <c r="D1633" s="652"/>
      <c r="E1633" s="652"/>
      <c r="F1633" s="652"/>
      <c r="G1633" s="652"/>
      <c r="H1633" s="652"/>
      <c r="I1633" s="64"/>
    </row>
    <row r="1634" spans="1:9" ht="49.15" customHeight="1" x14ac:dyDescent="0.2">
      <c r="A1634" s="651" t="s">
        <v>1052</v>
      </c>
      <c r="B1634" s="652"/>
      <c r="C1634" s="652"/>
      <c r="D1634" s="652"/>
      <c r="E1634" s="652"/>
      <c r="F1634" s="652"/>
      <c r="G1634" s="652"/>
      <c r="H1634" s="652"/>
      <c r="I1634" s="64"/>
    </row>
    <row r="1635" spans="1:9" ht="48.6" customHeight="1" x14ac:dyDescent="0.2">
      <c r="A1635" s="655" t="s">
        <v>1212</v>
      </c>
      <c r="B1635" s="656"/>
      <c r="C1635" s="656"/>
      <c r="D1635" s="656"/>
      <c r="E1635" s="656"/>
      <c r="F1635" s="656"/>
      <c r="G1635" s="656"/>
      <c r="H1635" s="656"/>
      <c r="I1635" s="48"/>
    </row>
    <row r="1637" spans="1:9" x14ac:dyDescent="0.2">
      <c r="A1637" s="6" t="s">
        <v>24</v>
      </c>
      <c r="B1637" s="7" t="s">
        <v>592</v>
      </c>
    </row>
    <row r="1638" spans="1:9" x14ac:dyDescent="0.2">
      <c r="A1638" s="128" t="s">
        <v>14</v>
      </c>
      <c r="B1638" s="128" t="s">
        <v>624</v>
      </c>
      <c r="C1638" s="647" t="s">
        <v>26</v>
      </c>
    </row>
    <row r="1639" spans="1:9" x14ac:dyDescent="0.2">
      <c r="A1639" s="171" t="s">
        <v>27</v>
      </c>
      <c r="B1639" s="520">
        <v>2020</v>
      </c>
      <c r="C1639" s="520">
        <v>2021</v>
      </c>
      <c r="D1639" s="520">
        <v>2022</v>
      </c>
      <c r="E1639" s="520">
        <v>2023</v>
      </c>
      <c r="F1639" s="520">
        <v>2024</v>
      </c>
      <c r="G1639" s="520">
        <v>2025</v>
      </c>
      <c r="H1639" s="520">
        <v>2026</v>
      </c>
      <c r="I1639" s="520">
        <v>2027</v>
      </c>
    </row>
    <row r="1640" spans="1:9" x14ac:dyDescent="0.2">
      <c r="A1640" s="90" t="s">
        <v>28</v>
      </c>
      <c r="B1640" s="130">
        <v>215</v>
      </c>
      <c r="C1640" s="131">
        <v>242</v>
      </c>
      <c r="D1640" s="131">
        <v>242</v>
      </c>
      <c r="E1640" s="131">
        <v>242</v>
      </c>
      <c r="F1640" s="131">
        <v>302</v>
      </c>
      <c r="G1640" s="131">
        <v>302</v>
      </c>
      <c r="H1640" s="131">
        <v>302</v>
      </c>
      <c r="I1640" s="131"/>
    </row>
    <row r="1641" spans="1:9" x14ac:dyDescent="0.2">
      <c r="A1641" s="90" t="s">
        <v>29</v>
      </c>
      <c r="B1641" s="130">
        <v>265</v>
      </c>
      <c r="C1641" s="131">
        <v>295.75</v>
      </c>
      <c r="D1641" s="131">
        <v>295.75</v>
      </c>
      <c r="E1641" s="131">
        <v>302.5</v>
      </c>
      <c r="F1641" s="130">
        <v>362.5</v>
      </c>
      <c r="G1641" s="90">
        <v>362.5</v>
      </c>
      <c r="H1641" s="130">
        <f>(F1640*0.25)+H1640</f>
        <v>377.5</v>
      </c>
      <c r="I1641" s="130"/>
    </row>
    <row r="1642" spans="1:9" x14ac:dyDescent="0.2">
      <c r="A1642" s="90" t="s">
        <v>30</v>
      </c>
      <c r="B1642" s="648"/>
      <c r="C1642" s="648"/>
      <c r="D1642" s="648"/>
      <c r="E1642" s="648"/>
      <c r="F1642" s="648"/>
      <c r="G1642" s="90"/>
      <c r="H1642" s="648" t="s">
        <v>543</v>
      </c>
      <c r="I1642" s="648"/>
    </row>
    <row r="1643" spans="1:9" x14ac:dyDescent="0.2">
      <c r="A1643" s="90" t="s">
        <v>31</v>
      </c>
      <c r="B1643" s="130">
        <v>175.922</v>
      </c>
      <c r="C1643" s="131">
        <v>182.89599999999999</v>
      </c>
      <c r="D1643" s="131">
        <v>180.67</v>
      </c>
      <c r="E1643" s="131">
        <v>170.83</v>
      </c>
      <c r="F1643" s="131">
        <v>0</v>
      </c>
      <c r="G1643" s="131"/>
      <c r="H1643" s="131"/>
      <c r="I1643" s="131"/>
    </row>
    <row r="1644" spans="1:9" x14ac:dyDescent="0.2">
      <c r="A1644" s="90" t="s">
        <v>32</v>
      </c>
      <c r="B1644" s="130">
        <f>B1641-B1643</f>
        <v>89.078000000000003</v>
      </c>
      <c r="C1644" s="130">
        <f>C1641-C1643</f>
        <v>112.85400000000001</v>
      </c>
      <c r="D1644" s="130">
        <f t="shared" ref="D1644:E1644" si="71">D1641-D1643</f>
        <v>115.08000000000001</v>
      </c>
      <c r="E1644" s="130">
        <f t="shared" si="71"/>
        <v>131.66999999999999</v>
      </c>
      <c r="F1644" s="130">
        <v>30</v>
      </c>
      <c r="G1644" s="130"/>
      <c r="H1644" s="130"/>
      <c r="I1644" s="130"/>
    </row>
    <row r="1645" spans="1:9" x14ac:dyDescent="0.2">
      <c r="A1645" s="90" t="s">
        <v>33</v>
      </c>
      <c r="B1645" s="181">
        <v>2022</v>
      </c>
      <c r="C1645" s="181">
        <v>2023</v>
      </c>
      <c r="D1645" s="181">
        <v>2024</v>
      </c>
      <c r="E1645" s="181">
        <v>2025</v>
      </c>
      <c r="F1645" s="181">
        <v>2026</v>
      </c>
      <c r="G1645" s="181"/>
      <c r="H1645" s="181"/>
      <c r="I1645" s="181"/>
    </row>
    <row r="1646" spans="1:9" x14ac:dyDescent="0.2">
      <c r="A1646" s="45" t="s">
        <v>1242</v>
      </c>
    </row>
    <row r="1647" spans="1:9" x14ac:dyDescent="0.2">
      <c r="A1647" s="152"/>
      <c r="B1647" s="24"/>
    </row>
    <row r="1648" spans="1:9" x14ac:dyDescent="0.2">
      <c r="A1648" s="152" t="s">
        <v>14</v>
      </c>
      <c r="B1648" s="24" t="s">
        <v>638</v>
      </c>
      <c r="C1648" s="498" t="s">
        <v>26</v>
      </c>
    </row>
    <row r="1649" spans="1:8" x14ac:dyDescent="0.2">
      <c r="A1649" s="171" t="s">
        <v>27</v>
      </c>
      <c r="B1649" s="155">
        <v>2020</v>
      </c>
      <c r="C1649" s="155">
        <v>2021</v>
      </c>
      <c r="D1649" s="155">
        <v>2022</v>
      </c>
      <c r="E1649" s="155">
        <v>2023</v>
      </c>
      <c r="F1649" s="155">
        <v>2024</v>
      </c>
      <c r="G1649" s="155">
        <v>2025</v>
      </c>
      <c r="H1649" s="155">
        <v>2026</v>
      </c>
    </row>
    <row r="1650" spans="1:8" x14ac:dyDescent="0.2">
      <c r="A1650" s="11" t="s">
        <v>28</v>
      </c>
      <c r="B1650" s="72">
        <v>25</v>
      </c>
      <c r="C1650" s="12">
        <v>25</v>
      </c>
      <c r="D1650" s="12">
        <v>25</v>
      </c>
      <c r="E1650" s="12">
        <v>30</v>
      </c>
      <c r="F1650" s="12">
        <v>30</v>
      </c>
      <c r="G1650" s="12">
        <v>30</v>
      </c>
      <c r="H1650" s="12">
        <v>30</v>
      </c>
    </row>
    <row r="1651" spans="1:8" x14ac:dyDescent="0.2">
      <c r="A1651" s="11" t="s">
        <v>29</v>
      </c>
      <c r="B1651" s="72"/>
      <c r="C1651" s="72">
        <v>18.66</v>
      </c>
      <c r="D1651" s="72"/>
      <c r="E1651" s="12"/>
      <c r="F1651" s="12"/>
      <c r="G1651" s="90"/>
      <c r="H1651" s="12"/>
    </row>
    <row r="1652" spans="1:8" x14ac:dyDescent="0.2">
      <c r="A1652" s="11" t="s">
        <v>30</v>
      </c>
      <c r="B1652" s="513"/>
      <c r="C1652" s="513" t="s">
        <v>543</v>
      </c>
      <c r="D1652" s="513"/>
      <c r="E1652" s="90"/>
      <c r="F1652" s="90"/>
      <c r="G1652" s="90"/>
      <c r="H1652" s="181"/>
    </row>
    <row r="1653" spans="1:8" x14ac:dyDescent="0.2">
      <c r="A1653" s="11" t="s">
        <v>31</v>
      </c>
      <c r="B1653" s="72">
        <v>31.341000000000001</v>
      </c>
      <c r="C1653" s="12">
        <v>17.22</v>
      </c>
      <c r="D1653" s="12">
        <v>12.476000000000001</v>
      </c>
      <c r="E1653" s="90">
        <v>5.2359999999999998</v>
      </c>
      <c r="F1653" s="131">
        <v>0</v>
      </c>
      <c r="G1653" s="90"/>
      <c r="H1653" s="90"/>
    </row>
    <row r="1654" spans="1:8" x14ac:dyDescent="0.2">
      <c r="A1654" s="11" t="s">
        <v>32</v>
      </c>
      <c r="B1654" s="72">
        <v>-6.3410000000000011</v>
      </c>
      <c r="C1654" s="72">
        <f>C1651-C1653</f>
        <v>1.4400000000000013</v>
      </c>
      <c r="D1654" s="72">
        <f>D1650-D1653</f>
        <v>12.523999999999999</v>
      </c>
      <c r="E1654" s="90">
        <v>24.763999999999999</v>
      </c>
      <c r="F1654" s="131">
        <v>30</v>
      </c>
      <c r="G1654" s="90"/>
      <c r="H1654" s="90"/>
    </row>
    <row r="1655" spans="1:8" x14ac:dyDescent="0.2">
      <c r="A1655" s="16" t="s">
        <v>33</v>
      </c>
      <c r="B1655" s="160">
        <v>2021</v>
      </c>
      <c r="C1655" s="160"/>
      <c r="D1655" s="160"/>
      <c r="E1655" s="90"/>
      <c r="F1655" s="90"/>
      <c r="G1655" s="90"/>
      <c r="H1655" s="90"/>
    </row>
    <row r="1656" spans="1:8" x14ac:dyDescent="0.2">
      <c r="A1656" s="18" t="s">
        <v>593</v>
      </c>
      <c r="B1656" s="464"/>
      <c r="C1656" s="464"/>
      <c r="D1656" s="464"/>
      <c r="E1656" s="464"/>
      <c r="F1656" s="464"/>
      <c r="G1656" s="19"/>
      <c r="H1656" s="63"/>
    </row>
    <row r="1657" spans="1:8" x14ac:dyDescent="0.2">
      <c r="A1657" s="45" t="s">
        <v>1243</v>
      </c>
      <c r="B1657" s="471"/>
      <c r="C1657" s="471"/>
      <c r="D1657" s="471"/>
      <c r="E1657" s="471"/>
      <c r="F1657" s="471"/>
      <c r="H1657" s="64"/>
    </row>
    <row r="1658" spans="1:8" ht="63" customHeight="1" x14ac:dyDescent="0.2">
      <c r="A1658" s="651" t="s">
        <v>717</v>
      </c>
      <c r="B1658" s="652"/>
      <c r="C1658" s="652"/>
      <c r="D1658" s="652"/>
      <c r="E1658" s="471"/>
      <c r="F1658" s="471"/>
      <c r="H1658" s="64"/>
    </row>
    <row r="1659" spans="1:8" x14ac:dyDescent="0.2">
      <c r="A1659" s="39"/>
      <c r="B1659" s="471"/>
      <c r="C1659" s="471"/>
      <c r="D1659" s="471"/>
      <c r="E1659" s="471"/>
      <c r="F1659" s="471"/>
      <c r="H1659" s="64"/>
    </row>
    <row r="1660" spans="1:8" x14ac:dyDescent="0.2">
      <c r="A1660" s="39"/>
      <c r="B1660" s="471"/>
      <c r="C1660" s="471"/>
      <c r="D1660" s="471"/>
      <c r="E1660" s="471"/>
      <c r="F1660" s="471"/>
      <c r="H1660" s="64"/>
    </row>
    <row r="1661" spans="1:8" x14ac:dyDescent="0.2">
      <c r="A1661" s="41"/>
      <c r="B1661" s="514"/>
      <c r="C1661" s="514"/>
      <c r="D1661" s="514"/>
      <c r="E1661" s="514"/>
      <c r="F1661" s="514"/>
      <c r="G1661" s="34"/>
      <c r="H1661" s="48"/>
    </row>
    <row r="1664" spans="1:8" x14ac:dyDescent="0.2">
      <c r="A1664" s="6" t="s">
        <v>12</v>
      </c>
      <c r="B1664" s="7" t="s">
        <v>374</v>
      </c>
    </row>
    <row r="1665" spans="1:12" x14ac:dyDescent="0.2">
      <c r="A1665" s="6" t="s">
        <v>14</v>
      </c>
      <c r="B1665" s="7" t="s">
        <v>66</v>
      </c>
      <c r="C1665" s="33" t="s">
        <v>15</v>
      </c>
    </row>
    <row r="1666" spans="1:12" x14ac:dyDescent="0.2">
      <c r="A1666" s="10" t="s">
        <v>16</v>
      </c>
      <c r="B1666" s="11"/>
      <c r="C1666" s="284">
        <v>2015</v>
      </c>
      <c r="D1666" s="155">
        <v>2016</v>
      </c>
      <c r="E1666" s="174">
        <v>2017</v>
      </c>
      <c r="F1666" s="174">
        <v>2018</v>
      </c>
      <c r="G1666" s="174">
        <v>2019</v>
      </c>
      <c r="H1666" s="174">
        <v>2020</v>
      </c>
    </row>
    <row r="1667" spans="1:12" x14ac:dyDescent="0.2">
      <c r="A1667" s="10" t="s">
        <v>17</v>
      </c>
      <c r="B1667" s="11"/>
      <c r="C1667" s="12">
        <v>2100</v>
      </c>
      <c r="D1667" s="515">
        <v>1575</v>
      </c>
      <c r="E1667" s="515">
        <v>1575</v>
      </c>
      <c r="F1667" s="515">
        <v>1575</v>
      </c>
      <c r="G1667" s="515">
        <v>1575</v>
      </c>
      <c r="H1667" s="515">
        <v>0</v>
      </c>
    </row>
    <row r="1668" spans="1:12" x14ac:dyDescent="0.2">
      <c r="A1668" s="10" t="s">
        <v>18</v>
      </c>
      <c r="B1668" s="11"/>
      <c r="C1668" s="175">
        <v>2100</v>
      </c>
      <c r="D1668" s="515">
        <v>1575</v>
      </c>
      <c r="E1668" s="515">
        <v>1575</v>
      </c>
      <c r="F1668" s="515">
        <v>1575</v>
      </c>
      <c r="G1668" s="515">
        <v>1575</v>
      </c>
      <c r="H1668" s="515"/>
    </row>
    <row r="1669" spans="1:12" x14ac:dyDescent="0.2">
      <c r="A1669" s="10" t="s">
        <v>19</v>
      </c>
      <c r="B1669" s="11"/>
      <c r="C1669" s="189"/>
      <c r="D1669" s="12"/>
      <c r="E1669" s="190"/>
      <c r="F1669" s="190"/>
      <c r="G1669" s="190"/>
      <c r="H1669" s="190"/>
    </row>
    <row r="1670" spans="1:12" x14ac:dyDescent="0.2">
      <c r="A1670" s="10" t="s">
        <v>20</v>
      </c>
      <c r="B1670" s="11"/>
      <c r="C1670" s="515">
        <v>0</v>
      </c>
      <c r="D1670" s="515">
        <v>0</v>
      </c>
      <c r="E1670" s="515">
        <v>0</v>
      </c>
      <c r="F1670" s="515">
        <v>0</v>
      </c>
      <c r="G1670" s="515">
        <v>0</v>
      </c>
      <c r="H1670" s="515">
        <v>0</v>
      </c>
    </row>
    <row r="1671" spans="1:12" ht="27.75" customHeight="1" x14ac:dyDescent="0.2">
      <c r="A1671" s="10" t="s">
        <v>21</v>
      </c>
      <c r="B1671" s="11"/>
      <c r="C1671" s="175">
        <v>2100</v>
      </c>
      <c r="D1671" s="515">
        <v>1575</v>
      </c>
      <c r="E1671" s="515">
        <v>1575</v>
      </c>
      <c r="F1671" s="515">
        <v>1575</v>
      </c>
      <c r="G1671" s="515">
        <v>1575</v>
      </c>
      <c r="H1671" s="515">
        <v>1575</v>
      </c>
    </row>
    <row r="1672" spans="1:12" x14ac:dyDescent="0.2">
      <c r="A1672" s="16" t="s">
        <v>22</v>
      </c>
      <c r="B1672" s="17"/>
      <c r="C1672" s="160">
        <v>2016</v>
      </c>
      <c r="D1672" s="160">
        <v>2017</v>
      </c>
      <c r="E1672" s="180">
        <v>2018</v>
      </c>
      <c r="F1672" s="180">
        <v>2019</v>
      </c>
      <c r="G1672" s="180">
        <v>2020</v>
      </c>
      <c r="H1672" s="180">
        <v>2021</v>
      </c>
    </row>
    <row r="1673" spans="1:12" x14ac:dyDescent="0.2">
      <c r="A1673" s="10" t="s">
        <v>23</v>
      </c>
      <c r="B1673" s="36"/>
      <c r="C1673" s="36"/>
      <c r="D1673" s="36"/>
      <c r="E1673" s="36"/>
      <c r="F1673" s="36"/>
      <c r="G1673" s="36"/>
      <c r="H1673" s="37"/>
    </row>
    <row r="1676" spans="1:12" ht="25.5" x14ac:dyDescent="0.2">
      <c r="A1676" s="6" t="s">
        <v>12</v>
      </c>
      <c r="B1676" s="324" t="s">
        <v>379</v>
      </c>
    </row>
    <row r="1677" spans="1:12" x14ac:dyDescent="0.2">
      <c r="A1677" s="6" t="s">
        <v>14</v>
      </c>
      <c r="B1677" s="7" t="s">
        <v>624</v>
      </c>
      <c r="C1677" s="9" t="s">
        <v>15</v>
      </c>
    </row>
    <row r="1678" spans="1:12" x14ac:dyDescent="0.2">
      <c r="A1678" s="10" t="s">
        <v>16</v>
      </c>
      <c r="B1678" s="155">
        <v>2015</v>
      </c>
      <c r="C1678" s="173">
        <v>2016</v>
      </c>
      <c r="D1678" s="155">
        <v>2017</v>
      </c>
      <c r="E1678" s="174">
        <v>2018</v>
      </c>
      <c r="F1678" s="174">
        <v>2019</v>
      </c>
      <c r="G1678" s="155">
        <v>2020</v>
      </c>
      <c r="H1678" s="155">
        <v>2021</v>
      </c>
      <c r="I1678" s="155">
        <v>2022</v>
      </c>
      <c r="J1678" s="155">
        <v>2023</v>
      </c>
      <c r="K1678" s="155">
        <v>2024</v>
      </c>
      <c r="L1678" s="155">
        <v>2025</v>
      </c>
    </row>
    <row r="1679" spans="1:12" x14ac:dyDescent="0.2">
      <c r="A1679" s="10" t="s">
        <v>17</v>
      </c>
      <c r="B1679" s="157">
        <v>200</v>
      </c>
      <c r="C1679" s="175">
        <v>200</v>
      </c>
      <c r="D1679" s="157">
        <v>200</v>
      </c>
      <c r="E1679" s="176">
        <v>200</v>
      </c>
      <c r="F1679" s="176">
        <v>215</v>
      </c>
      <c r="G1679" s="157">
        <v>215</v>
      </c>
      <c r="H1679" s="12">
        <v>242</v>
      </c>
      <c r="I1679" s="12">
        <v>242</v>
      </c>
      <c r="J1679" s="12">
        <v>242</v>
      </c>
      <c r="K1679" s="12">
        <v>302</v>
      </c>
      <c r="L1679" s="12">
        <v>302</v>
      </c>
    </row>
    <row r="1680" spans="1:12" x14ac:dyDescent="0.2">
      <c r="A1680" s="10" t="s">
        <v>18</v>
      </c>
      <c r="B1680" s="157">
        <v>303.49</v>
      </c>
      <c r="C1680" s="175">
        <f>C1679+B1683+100</f>
        <v>298.49</v>
      </c>
      <c r="D1680" s="157">
        <f>D1679+100</f>
        <v>300</v>
      </c>
      <c r="E1680" s="176">
        <f>E1679+C1683+100</f>
        <v>306.89</v>
      </c>
      <c r="F1680" s="176">
        <v>218.8</v>
      </c>
      <c r="G1680" s="176">
        <v>265</v>
      </c>
      <c r="H1680" s="12">
        <f>H1679+F1683</f>
        <v>280.35000000000002</v>
      </c>
      <c r="I1680" s="12">
        <f>I1679+G1683</f>
        <v>255.27</v>
      </c>
      <c r="J1680" s="12">
        <f>J1679+0.25*H1679</f>
        <v>302.5</v>
      </c>
      <c r="K1680" s="12">
        <f>K1679+0.25*I1679</f>
        <v>362.5</v>
      </c>
      <c r="L1680" s="12">
        <f>L1679+0.25*J1679</f>
        <v>362.5</v>
      </c>
    </row>
    <row r="1681" spans="1:12" ht="38.25" x14ac:dyDescent="0.2">
      <c r="A1681" s="10" t="s">
        <v>19</v>
      </c>
      <c r="B1681" s="177"/>
      <c r="C1681" s="177" t="s">
        <v>380</v>
      </c>
      <c r="D1681" s="177" t="s">
        <v>381</v>
      </c>
      <c r="E1681" s="177" t="s">
        <v>382</v>
      </c>
      <c r="F1681" s="177" t="s">
        <v>395</v>
      </c>
      <c r="G1681" s="177" t="s">
        <v>396</v>
      </c>
      <c r="H1681" s="185" t="s">
        <v>697</v>
      </c>
      <c r="I1681" s="185" t="s">
        <v>696</v>
      </c>
      <c r="J1681" s="185" t="s">
        <v>791</v>
      </c>
      <c r="K1681" s="185" t="s">
        <v>1069</v>
      </c>
      <c r="L1681" s="185" t="s">
        <v>1069</v>
      </c>
    </row>
    <row r="1682" spans="1:12" x14ac:dyDescent="0.2">
      <c r="A1682" s="10" t="s">
        <v>20</v>
      </c>
      <c r="B1682" s="157">
        <v>305</v>
      </c>
      <c r="C1682" s="175">
        <v>291.60000000000002</v>
      </c>
      <c r="D1682" s="157">
        <v>296.2</v>
      </c>
      <c r="E1682" s="157">
        <v>173.26</v>
      </c>
      <c r="F1682" s="176">
        <v>180.45</v>
      </c>
      <c r="G1682" s="157">
        <v>251.73</v>
      </c>
      <c r="H1682" s="12">
        <v>0</v>
      </c>
      <c r="I1682" s="12">
        <v>0.97</v>
      </c>
      <c r="J1682" s="12">
        <v>0.28000000000000003</v>
      </c>
      <c r="K1682" s="12">
        <v>0.17199999999999999</v>
      </c>
      <c r="L1682" s="12"/>
    </row>
    <row r="1683" spans="1:12" x14ac:dyDescent="0.2">
      <c r="A1683" s="10" t="s">
        <v>21</v>
      </c>
      <c r="B1683" s="157">
        <v>-1.5099999999999909</v>
      </c>
      <c r="C1683" s="157">
        <f>C1680-C1682</f>
        <v>6.8899999999999864</v>
      </c>
      <c r="D1683" s="157">
        <f>D1680-D1682</f>
        <v>3.8000000000000114</v>
      </c>
      <c r="E1683" s="157">
        <f>E1680-E1682</f>
        <v>133.63</v>
      </c>
      <c r="F1683" s="157">
        <v>38.350000000000023</v>
      </c>
      <c r="G1683" s="157">
        <f>G1680-G1682</f>
        <v>13.27000000000001</v>
      </c>
      <c r="H1683" s="12">
        <f>H1680-H1682</f>
        <v>280.35000000000002</v>
      </c>
      <c r="I1683" s="12">
        <f>I1680-I1682</f>
        <v>254.3</v>
      </c>
      <c r="J1683" s="12">
        <f>J1680-J1682</f>
        <v>302.22000000000003</v>
      </c>
      <c r="K1683" s="12">
        <f>K1680-K1682</f>
        <v>362.32799999999997</v>
      </c>
      <c r="L1683" s="12"/>
    </row>
    <row r="1684" spans="1:12" x14ac:dyDescent="0.2">
      <c r="A1684" s="16" t="s">
        <v>22</v>
      </c>
      <c r="B1684" s="160">
        <v>2016</v>
      </c>
      <c r="C1684" s="179">
        <v>2018</v>
      </c>
      <c r="D1684" s="160">
        <v>2019</v>
      </c>
      <c r="E1684" s="180">
        <v>2020</v>
      </c>
      <c r="F1684" s="180">
        <v>2021</v>
      </c>
      <c r="G1684" s="160">
        <v>2022</v>
      </c>
      <c r="H1684" s="160">
        <v>2023</v>
      </c>
      <c r="I1684" s="160">
        <v>2024</v>
      </c>
      <c r="J1684" s="160">
        <v>2025</v>
      </c>
      <c r="K1684" s="160">
        <v>2026</v>
      </c>
      <c r="L1684" s="160">
        <v>2026</v>
      </c>
    </row>
    <row r="1685" spans="1:12" x14ac:dyDescent="0.2">
      <c r="A1685" s="16" t="s">
        <v>23</v>
      </c>
      <c r="B1685" s="46"/>
      <c r="C1685" s="46"/>
      <c r="D1685" s="46"/>
      <c r="E1685" s="46"/>
      <c r="F1685" s="46"/>
      <c r="G1685" s="46"/>
      <c r="H1685" s="47"/>
      <c r="I1685" s="47"/>
      <c r="J1685" s="47"/>
      <c r="K1685" s="47"/>
      <c r="L1685" s="47"/>
    </row>
    <row r="1686" spans="1:12" x14ac:dyDescent="0.2">
      <c r="A1686" s="39" t="s">
        <v>383</v>
      </c>
      <c r="H1686" s="64"/>
      <c r="I1686" s="64"/>
      <c r="J1686" s="64"/>
      <c r="K1686" s="64"/>
      <c r="L1686" s="64"/>
    </row>
    <row r="1687" spans="1:12" ht="13.15" customHeight="1" x14ac:dyDescent="0.2">
      <c r="A1687" s="655" t="s">
        <v>397</v>
      </c>
      <c r="B1687" s="656"/>
      <c r="C1687" s="656"/>
      <c r="D1687" s="656"/>
      <c r="E1687" s="656"/>
      <c r="F1687" s="656"/>
      <c r="G1687" s="656"/>
      <c r="H1687" s="48"/>
      <c r="I1687" s="48"/>
      <c r="J1687" s="48"/>
      <c r="K1687" s="48"/>
      <c r="L1687" s="48"/>
    </row>
    <row r="1688" spans="1:12" ht="13.15" customHeight="1" x14ac:dyDescent="0.2">
      <c r="A1688" s="32"/>
      <c r="B1688" s="32"/>
      <c r="C1688" s="32"/>
      <c r="D1688" s="32"/>
      <c r="E1688" s="32"/>
      <c r="F1688" s="32"/>
      <c r="G1688" s="32"/>
    </row>
    <row r="1689" spans="1:12" x14ac:dyDescent="0.2">
      <c r="A1689" s="6" t="s">
        <v>14</v>
      </c>
      <c r="B1689" s="7" t="s">
        <v>638</v>
      </c>
      <c r="C1689" s="9" t="s">
        <v>15</v>
      </c>
    </row>
    <row r="1690" spans="1:12" x14ac:dyDescent="0.2">
      <c r="A1690" s="10" t="s">
        <v>16</v>
      </c>
      <c r="B1690" s="155">
        <v>2022</v>
      </c>
      <c r="C1690" s="173">
        <v>2023</v>
      </c>
      <c r="D1690" s="155">
        <v>2024</v>
      </c>
      <c r="E1690" s="155">
        <v>2025</v>
      </c>
    </row>
    <row r="1691" spans="1:12" x14ac:dyDescent="0.2">
      <c r="A1691" s="10" t="s">
        <v>17</v>
      </c>
      <c r="B1691" s="157">
        <v>140</v>
      </c>
      <c r="C1691" s="175">
        <v>170</v>
      </c>
      <c r="D1691" s="176">
        <v>170</v>
      </c>
      <c r="E1691" s="176">
        <v>170</v>
      </c>
    </row>
    <row r="1692" spans="1:12" x14ac:dyDescent="0.2">
      <c r="A1692" s="10" t="s">
        <v>18</v>
      </c>
      <c r="B1692" s="157">
        <f>B1691+0.25*140</f>
        <v>175</v>
      </c>
      <c r="C1692" s="157">
        <f>C1691+0.25*140</f>
        <v>205</v>
      </c>
      <c r="D1692" s="157">
        <f>D1691+2.08</f>
        <v>172.08</v>
      </c>
      <c r="E1692" s="157">
        <f>E1691+0.25*C1691</f>
        <v>212.5</v>
      </c>
    </row>
    <row r="1693" spans="1:12" x14ac:dyDescent="0.2">
      <c r="A1693" s="10" t="s">
        <v>19</v>
      </c>
      <c r="B1693" s="177" t="s">
        <v>890</v>
      </c>
      <c r="C1693" s="177" t="s">
        <v>891</v>
      </c>
      <c r="D1693" s="177" t="s">
        <v>931</v>
      </c>
      <c r="E1693" s="177" t="s">
        <v>1070</v>
      </c>
    </row>
    <row r="1694" spans="1:12" x14ac:dyDescent="0.2">
      <c r="A1694" s="10" t="s">
        <v>20</v>
      </c>
      <c r="B1694" s="157">
        <v>21.678999999999998</v>
      </c>
      <c r="C1694" s="175">
        <v>0</v>
      </c>
      <c r="D1694" s="157">
        <v>0</v>
      </c>
      <c r="E1694" s="157"/>
    </row>
    <row r="1695" spans="1:12" x14ac:dyDescent="0.2">
      <c r="A1695" s="10" t="s">
        <v>21</v>
      </c>
      <c r="B1695" s="157">
        <f>B1692-B1694</f>
        <v>153.321</v>
      </c>
      <c r="C1695" s="157">
        <f>C1692-C1694</f>
        <v>205</v>
      </c>
      <c r="D1695" s="157">
        <f>D1692-D1694</f>
        <v>172.08</v>
      </c>
      <c r="E1695" s="157"/>
    </row>
    <row r="1696" spans="1:12" x14ac:dyDescent="0.2">
      <c r="A1696" s="16" t="s">
        <v>22</v>
      </c>
      <c r="B1696" s="160">
        <v>2024</v>
      </c>
      <c r="C1696" s="179">
        <v>2025</v>
      </c>
      <c r="D1696" s="160">
        <v>2026</v>
      </c>
      <c r="E1696" s="160">
        <v>2027</v>
      </c>
    </row>
    <row r="1697" spans="1:11" x14ac:dyDescent="0.2">
      <c r="A1697" s="16" t="s">
        <v>23</v>
      </c>
      <c r="B1697" s="46"/>
      <c r="C1697" s="46"/>
      <c r="D1697" s="47"/>
      <c r="E1697" s="47"/>
    </row>
    <row r="1698" spans="1:11" x14ac:dyDescent="0.2">
      <c r="A1698" s="39" t="s">
        <v>383</v>
      </c>
      <c r="D1698" s="64"/>
      <c r="E1698" s="64"/>
    </row>
    <row r="1699" spans="1:11" ht="13.15" customHeight="1" x14ac:dyDescent="0.2">
      <c r="A1699" s="41" t="s">
        <v>930</v>
      </c>
      <c r="B1699" s="343"/>
      <c r="C1699" s="343"/>
      <c r="D1699" s="344"/>
      <c r="E1699" s="344"/>
    </row>
    <row r="1700" spans="1:11" ht="13.15" customHeight="1" x14ac:dyDescent="0.2">
      <c r="B1700" s="4"/>
      <c r="C1700" s="4"/>
      <c r="D1700" s="4"/>
      <c r="E1700" s="4"/>
    </row>
    <row r="1701" spans="1:11" x14ac:dyDescent="0.2">
      <c r="A1701" s="6" t="s">
        <v>14</v>
      </c>
      <c r="B1701" s="7" t="s">
        <v>79</v>
      </c>
      <c r="C1701" s="7" t="s">
        <v>152</v>
      </c>
    </row>
    <row r="1702" spans="1:11" x14ac:dyDescent="0.2">
      <c r="A1702" s="41" t="s">
        <v>16</v>
      </c>
      <c r="B1702" s="277">
        <v>2016</v>
      </c>
      <c r="C1702" s="155">
        <v>2017</v>
      </c>
      <c r="D1702" s="155">
        <v>2018</v>
      </c>
      <c r="E1702" s="155">
        <v>2019</v>
      </c>
      <c r="F1702" s="155">
        <v>2020</v>
      </c>
      <c r="G1702" s="155">
        <v>2021</v>
      </c>
      <c r="H1702" s="155">
        <v>2022</v>
      </c>
      <c r="I1702" s="155">
        <v>2023</v>
      </c>
      <c r="J1702" s="155">
        <v>2024</v>
      </c>
      <c r="K1702" s="155">
        <v>2025</v>
      </c>
    </row>
    <row r="1703" spans="1:11" x14ac:dyDescent="0.2">
      <c r="A1703" s="10" t="s">
        <v>17</v>
      </c>
      <c r="B1703" s="12">
        <v>2</v>
      </c>
      <c r="C1703" s="12">
        <v>2</v>
      </c>
      <c r="D1703" s="12">
        <v>2</v>
      </c>
      <c r="E1703" s="12">
        <v>2</v>
      </c>
      <c r="F1703" s="12">
        <v>2</v>
      </c>
      <c r="G1703" s="12">
        <v>2</v>
      </c>
      <c r="H1703" s="12">
        <v>2</v>
      </c>
      <c r="I1703" s="12">
        <v>2</v>
      </c>
      <c r="J1703" s="12">
        <v>2</v>
      </c>
      <c r="K1703" s="12">
        <v>2</v>
      </c>
    </row>
    <row r="1704" spans="1:11" x14ac:dyDescent="0.2">
      <c r="A1704" s="10" t="s">
        <v>18</v>
      </c>
      <c r="B1704" s="12"/>
      <c r="C1704" s="12">
        <f>C1703+B1707</f>
        <v>-1.5599999999999996</v>
      </c>
      <c r="D1704" s="12">
        <f>D1703+C1707</f>
        <v>-7.0599999999999987</v>
      </c>
      <c r="E1704" s="12">
        <f>E1703+D1707</f>
        <v>-11.759999999999998</v>
      </c>
      <c r="F1704" s="12">
        <f>F1703+E1707</f>
        <v>-14.86</v>
      </c>
      <c r="G1704" s="12">
        <f>G1703+F1707</f>
        <v>-21.86</v>
      </c>
      <c r="H1704" s="12">
        <f>H1703+1.25*G1707</f>
        <v>-27.325000000000003</v>
      </c>
      <c r="I1704" s="12">
        <f>I1703+1.25*H1707</f>
        <v>-34.03125</v>
      </c>
      <c r="J1704" s="12">
        <f>J1703+1.25*I1707</f>
        <v>-46.0390625</v>
      </c>
      <c r="K1704" s="12">
        <f>K1703+1.25*J1707</f>
        <v>-61.650120625</v>
      </c>
    </row>
    <row r="1705" spans="1:11" x14ac:dyDescent="0.2">
      <c r="A1705" s="10" t="s">
        <v>19</v>
      </c>
      <c r="B1705" s="157"/>
      <c r="C1705" s="157" t="s">
        <v>399</v>
      </c>
      <c r="D1705" s="157" t="s">
        <v>400</v>
      </c>
      <c r="E1705" s="157" t="s">
        <v>401</v>
      </c>
      <c r="F1705" s="157" t="s">
        <v>402</v>
      </c>
      <c r="G1705" s="157" t="s">
        <v>566</v>
      </c>
      <c r="H1705" s="157" t="s">
        <v>604</v>
      </c>
      <c r="I1705" s="157" t="s">
        <v>625</v>
      </c>
      <c r="J1705" s="157" t="s">
        <v>785</v>
      </c>
      <c r="K1705" s="157" t="s">
        <v>1002</v>
      </c>
    </row>
    <row r="1706" spans="1:11" x14ac:dyDescent="0.2">
      <c r="A1706" s="10" t="s">
        <v>20</v>
      </c>
      <c r="B1706" s="157">
        <v>5.56</v>
      </c>
      <c r="C1706" s="157">
        <v>7.5</v>
      </c>
      <c r="D1706" s="157">
        <v>6.7</v>
      </c>
      <c r="E1706" s="157">
        <v>5.0999999999999996</v>
      </c>
      <c r="F1706" s="157">
        <v>9</v>
      </c>
      <c r="G1706" s="157">
        <v>1.6</v>
      </c>
      <c r="H1706" s="157">
        <v>1.5</v>
      </c>
      <c r="I1706" s="12">
        <v>4.4000000000000004</v>
      </c>
      <c r="J1706" s="157">
        <v>4.8810339999999997</v>
      </c>
      <c r="K1706" s="157"/>
    </row>
    <row r="1707" spans="1:11" x14ac:dyDescent="0.2">
      <c r="A1707" s="10" t="s">
        <v>21</v>
      </c>
      <c r="B1707" s="12">
        <f>B1703-B1706</f>
        <v>-3.5599999999999996</v>
      </c>
      <c r="C1707" s="12">
        <f t="shared" ref="C1707:J1707" si="72">C1704-C1706</f>
        <v>-9.0599999999999987</v>
      </c>
      <c r="D1707" s="12">
        <f t="shared" si="72"/>
        <v>-13.759999999999998</v>
      </c>
      <c r="E1707" s="12">
        <f t="shared" si="72"/>
        <v>-16.86</v>
      </c>
      <c r="F1707" s="12">
        <f t="shared" si="72"/>
        <v>-23.86</v>
      </c>
      <c r="G1707" s="12">
        <f t="shared" si="72"/>
        <v>-23.46</v>
      </c>
      <c r="H1707" s="12">
        <f t="shared" si="72"/>
        <v>-28.825000000000003</v>
      </c>
      <c r="I1707" s="12">
        <f t="shared" si="72"/>
        <v>-38.431249999999999</v>
      </c>
      <c r="J1707" s="12">
        <f t="shared" si="72"/>
        <v>-50.9200965</v>
      </c>
      <c r="K1707" s="12"/>
    </row>
    <row r="1708" spans="1:11" x14ac:dyDescent="0.2">
      <c r="A1708" s="16" t="s">
        <v>22</v>
      </c>
      <c r="B1708" s="481">
        <v>2017</v>
      </c>
      <c r="C1708" s="481">
        <v>2018</v>
      </c>
      <c r="D1708" s="481">
        <v>2019</v>
      </c>
      <c r="E1708" s="481">
        <v>2020</v>
      </c>
      <c r="F1708" s="481">
        <v>2021</v>
      </c>
      <c r="G1708" s="481">
        <v>2022</v>
      </c>
      <c r="H1708" s="481">
        <v>2023</v>
      </c>
      <c r="I1708" s="481">
        <v>2024</v>
      </c>
      <c r="J1708" s="481">
        <v>2025</v>
      </c>
      <c r="K1708" s="504">
        <v>2026</v>
      </c>
    </row>
    <row r="1709" spans="1:11" x14ac:dyDescent="0.2">
      <c r="A1709" s="29" t="s">
        <v>179</v>
      </c>
      <c r="B1709" s="30"/>
      <c r="C1709" s="30"/>
      <c r="D1709" s="30"/>
      <c r="E1709" s="30"/>
      <c r="F1709" s="30"/>
      <c r="G1709" s="30"/>
      <c r="H1709" s="30"/>
      <c r="I1709" s="30"/>
      <c r="J1709" s="30"/>
      <c r="K1709" s="88"/>
    </row>
    <row r="1710" spans="1:11" x14ac:dyDescent="0.2">
      <c r="A1710" s="497" t="s">
        <v>1098</v>
      </c>
      <c r="B1710" s="19"/>
      <c r="C1710" s="19"/>
      <c r="D1710" s="19"/>
      <c r="E1710" s="19"/>
      <c r="F1710" s="516"/>
      <c r="G1710" s="19"/>
      <c r="H1710" s="19"/>
      <c r="I1710" s="19"/>
      <c r="J1710" s="19"/>
      <c r="K1710" s="63"/>
    </row>
    <row r="1711" spans="1:11" x14ac:dyDescent="0.2">
      <c r="A1711" s="56" t="s">
        <v>1099</v>
      </c>
      <c r="K1711" s="64"/>
    </row>
    <row r="1712" spans="1:11" x14ac:dyDescent="0.2">
      <c r="A1712" s="56" t="s">
        <v>1100</v>
      </c>
      <c r="K1712" s="64"/>
    </row>
    <row r="1713" spans="1:11" x14ac:dyDescent="0.2">
      <c r="A1713" s="56" t="s">
        <v>1101</v>
      </c>
      <c r="C1713" s="354"/>
      <c r="K1713" s="64"/>
    </row>
    <row r="1714" spans="1:11" x14ac:dyDescent="0.2">
      <c r="A1714" s="56" t="s">
        <v>1102</v>
      </c>
      <c r="C1714" s="354"/>
      <c r="K1714" s="64"/>
    </row>
    <row r="1715" spans="1:11" x14ac:dyDescent="0.2">
      <c r="A1715" s="56" t="s">
        <v>898</v>
      </c>
      <c r="C1715" s="354"/>
      <c r="K1715" s="64"/>
    </row>
    <row r="1716" spans="1:11" x14ac:dyDescent="0.2">
      <c r="A1716" s="56" t="s">
        <v>899</v>
      </c>
      <c r="C1716" s="354"/>
      <c r="K1716" s="64"/>
    </row>
    <row r="1717" spans="1:11" x14ac:dyDescent="0.2">
      <c r="A1717" s="56" t="s">
        <v>1029</v>
      </c>
      <c r="C1717" s="354"/>
      <c r="K1717" s="64"/>
    </row>
    <row r="1718" spans="1:11" x14ac:dyDescent="0.2">
      <c r="A1718" s="517" t="s">
        <v>1138</v>
      </c>
      <c r="B1718" s="34"/>
      <c r="C1718" s="316"/>
      <c r="D1718" s="34"/>
      <c r="E1718" s="34"/>
      <c r="F1718" s="34"/>
      <c r="G1718" s="34"/>
      <c r="H1718" s="34"/>
      <c r="I1718" s="34"/>
      <c r="J1718" s="34"/>
      <c r="K1718" s="48"/>
    </row>
    <row r="1719" spans="1:11" ht="13.15" customHeight="1" x14ac:dyDescent="0.2">
      <c r="B1719" s="4"/>
      <c r="C1719" s="4"/>
      <c r="D1719" s="4"/>
      <c r="E1719" s="4"/>
    </row>
    <row r="1720" spans="1:11" ht="13.15" customHeight="1" x14ac:dyDescent="0.2">
      <c r="A1720" s="32"/>
      <c r="B1720" s="32"/>
      <c r="C1720" s="32"/>
      <c r="D1720" s="32"/>
      <c r="E1720" s="32"/>
      <c r="F1720" s="32"/>
      <c r="G1720" s="32"/>
    </row>
    <row r="1721" spans="1:11" x14ac:dyDescent="0.2">
      <c r="A1721" s="98" t="s">
        <v>12</v>
      </c>
      <c r="B1721" s="66" t="s">
        <v>900</v>
      </c>
      <c r="C1721" s="8"/>
      <c r="D1721" s="8"/>
      <c r="E1721" s="8"/>
      <c r="F1721" s="8"/>
      <c r="G1721" s="8"/>
    </row>
    <row r="1722" spans="1:11" x14ac:dyDescent="0.2">
      <c r="A1722" s="6" t="s">
        <v>14</v>
      </c>
      <c r="B1722" s="7" t="s">
        <v>74</v>
      </c>
      <c r="C1722" s="7" t="s">
        <v>152</v>
      </c>
    </row>
    <row r="1723" spans="1:11" x14ac:dyDescent="0.2">
      <c r="A1723" s="41" t="s">
        <v>16</v>
      </c>
      <c r="B1723" s="277">
        <v>2016</v>
      </c>
      <c r="C1723" s="155">
        <v>2017</v>
      </c>
      <c r="D1723" s="155">
        <v>2018</v>
      </c>
      <c r="E1723" s="155">
        <v>2019</v>
      </c>
      <c r="F1723" s="155">
        <v>2020</v>
      </c>
      <c r="G1723" s="155">
        <v>2021</v>
      </c>
      <c r="H1723" s="155">
        <v>2022</v>
      </c>
      <c r="I1723" s="155">
        <v>2023</v>
      </c>
      <c r="J1723" s="155">
        <v>2024</v>
      </c>
      <c r="K1723" s="155">
        <v>2025</v>
      </c>
    </row>
    <row r="1724" spans="1:11" x14ac:dyDescent="0.2">
      <c r="A1724" s="10" t="s">
        <v>17</v>
      </c>
      <c r="B1724" s="12">
        <v>45</v>
      </c>
      <c r="C1724" s="12">
        <v>45</v>
      </c>
      <c r="D1724" s="12">
        <v>45</v>
      </c>
      <c r="E1724" s="12">
        <v>45</v>
      </c>
      <c r="F1724" s="12">
        <v>37.9</v>
      </c>
      <c r="G1724" s="12">
        <v>37.9</v>
      </c>
      <c r="H1724" s="12">
        <v>37.9</v>
      </c>
      <c r="I1724" s="12">
        <v>37.9</v>
      </c>
      <c r="J1724" s="12">
        <v>37.9</v>
      </c>
      <c r="K1724" s="12">
        <v>37.9</v>
      </c>
    </row>
    <row r="1725" spans="1:11" ht="15.75" x14ac:dyDescent="0.25">
      <c r="A1725" s="10" t="s">
        <v>18</v>
      </c>
      <c r="B1725" s="12">
        <v>16.39</v>
      </c>
      <c r="C1725" s="12">
        <f>C1724+B1728</f>
        <v>51.59</v>
      </c>
      <c r="D1725" s="12">
        <f>D1724+0.2*C1724</f>
        <v>54</v>
      </c>
      <c r="E1725" s="12">
        <f>E1724+0.2*D1724</f>
        <v>54</v>
      </c>
      <c r="F1725" s="518">
        <f>F1724+E1728</f>
        <v>4.3999999999999986</v>
      </c>
      <c r="G1725" s="518">
        <f>G1724+F1728</f>
        <v>8.3489999999999966</v>
      </c>
      <c r="H1725" s="518">
        <f>1.25*G1728+H1724</f>
        <v>-87.29249999999999</v>
      </c>
      <c r="I1725" s="518">
        <f xml:space="preserve"> 1.25*H1728+I1724</f>
        <v>-165.110625</v>
      </c>
      <c r="J1725" s="518">
        <f xml:space="preserve"> 1.25*I1728+J1724</f>
        <v>-263.47578125000001</v>
      </c>
      <c r="K1725" s="518">
        <f xml:space="preserve"> 1.25*J1728+K1724</f>
        <v>37.9</v>
      </c>
    </row>
    <row r="1726" spans="1:11" x14ac:dyDescent="0.2">
      <c r="A1726" s="10" t="s">
        <v>19</v>
      </c>
      <c r="B1726" s="157"/>
      <c r="C1726" s="157" t="s">
        <v>399</v>
      </c>
      <c r="D1726" s="157" t="s">
        <v>400</v>
      </c>
      <c r="E1726" s="157" t="s">
        <v>401</v>
      </c>
      <c r="F1726" s="157" t="s">
        <v>402</v>
      </c>
      <c r="G1726" s="157" t="s">
        <v>566</v>
      </c>
      <c r="H1726" s="157" t="s">
        <v>604</v>
      </c>
      <c r="I1726" s="157" t="s">
        <v>625</v>
      </c>
      <c r="J1726" s="157" t="s">
        <v>785</v>
      </c>
      <c r="K1726" s="157" t="s">
        <v>1002</v>
      </c>
    </row>
    <row r="1727" spans="1:11" ht="15.75" x14ac:dyDescent="0.25">
      <c r="A1727" s="10" t="s">
        <v>20</v>
      </c>
      <c r="B1727" s="157">
        <v>9.8000000000000007</v>
      </c>
      <c r="C1727" s="157">
        <v>12.6</v>
      </c>
      <c r="D1727" s="519">
        <v>5</v>
      </c>
      <c r="E1727" s="519">
        <v>87.5</v>
      </c>
      <c r="F1727" s="519">
        <v>33.951000000000001</v>
      </c>
      <c r="G1727" s="519">
        <v>108.503</v>
      </c>
      <c r="H1727" s="519">
        <v>75.116</v>
      </c>
      <c r="I1727" s="519">
        <v>75.989999999999995</v>
      </c>
      <c r="J1727" s="157"/>
      <c r="K1727" s="157"/>
    </row>
    <row r="1728" spans="1:11" ht="15.75" x14ac:dyDescent="0.25">
      <c r="A1728" s="10" t="s">
        <v>21</v>
      </c>
      <c r="B1728" s="12">
        <f t="shared" ref="B1728:I1728" si="73">B1725-B1727</f>
        <v>6.59</v>
      </c>
      <c r="C1728" s="12">
        <f t="shared" si="73"/>
        <v>38.99</v>
      </c>
      <c r="D1728" s="12">
        <f t="shared" si="73"/>
        <v>49</v>
      </c>
      <c r="E1728" s="518">
        <f t="shared" si="73"/>
        <v>-33.5</v>
      </c>
      <c r="F1728" s="518">
        <f t="shared" si="73"/>
        <v>-29.551000000000002</v>
      </c>
      <c r="G1728" s="518">
        <f t="shared" si="73"/>
        <v>-100.154</v>
      </c>
      <c r="H1728" s="518">
        <f t="shared" si="73"/>
        <v>-162.4085</v>
      </c>
      <c r="I1728" s="518">
        <f t="shared" si="73"/>
        <v>-241.10062499999998</v>
      </c>
      <c r="J1728" s="12"/>
      <c r="K1728" s="12"/>
    </row>
    <row r="1729" spans="1:11" x14ac:dyDescent="0.2">
      <c r="A1729" s="16" t="s">
        <v>22</v>
      </c>
      <c r="B1729" s="481">
        <v>2017</v>
      </c>
      <c r="C1729" s="481">
        <v>2018</v>
      </c>
      <c r="D1729" s="481">
        <v>2019</v>
      </c>
      <c r="E1729" s="481">
        <v>2020</v>
      </c>
      <c r="F1729" s="481">
        <v>2021</v>
      </c>
      <c r="G1729" s="481">
        <v>2022</v>
      </c>
      <c r="H1729" s="481">
        <v>2023</v>
      </c>
      <c r="I1729" s="481">
        <v>2024</v>
      </c>
      <c r="J1729" s="481">
        <v>2025</v>
      </c>
      <c r="K1729" s="481">
        <v>2026</v>
      </c>
    </row>
    <row r="1730" spans="1:11" x14ac:dyDescent="0.2">
      <c r="A1730" s="16" t="s">
        <v>179</v>
      </c>
      <c r="B1730" s="46"/>
      <c r="C1730" s="46"/>
      <c r="D1730" s="46"/>
      <c r="E1730" s="46"/>
      <c r="F1730" s="46"/>
      <c r="G1730" s="46"/>
      <c r="H1730" s="46"/>
      <c r="I1730" s="46"/>
      <c r="J1730" s="47"/>
    </row>
    <row r="1731" spans="1:11" x14ac:dyDescent="0.2">
      <c r="A1731" s="56" t="s">
        <v>403</v>
      </c>
      <c r="F1731" s="271"/>
      <c r="J1731" s="64"/>
    </row>
    <row r="1732" spans="1:11" x14ac:dyDescent="0.2">
      <c r="A1732" s="56" t="s">
        <v>901</v>
      </c>
      <c r="J1732" s="64"/>
    </row>
    <row r="1733" spans="1:11" x14ac:dyDescent="0.2">
      <c r="A1733" s="56" t="s">
        <v>902</v>
      </c>
      <c r="J1733" s="64"/>
    </row>
    <row r="1734" spans="1:11" x14ac:dyDescent="0.2">
      <c r="A1734" s="56" t="s">
        <v>565</v>
      </c>
      <c r="C1734" s="354"/>
      <c r="J1734" s="64"/>
    </row>
    <row r="1735" spans="1:11" x14ac:dyDescent="0.2">
      <c r="A1735" s="56" t="s">
        <v>567</v>
      </c>
      <c r="C1735" s="354"/>
      <c r="J1735" s="64"/>
    </row>
    <row r="1736" spans="1:11" x14ac:dyDescent="0.2">
      <c r="A1736" s="56" t="s">
        <v>898</v>
      </c>
      <c r="C1736" s="354"/>
      <c r="J1736" s="64"/>
    </row>
    <row r="1737" spans="1:11" x14ac:dyDescent="0.2">
      <c r="A1737" s="56" t="s">
        <v>899</v>
      </c>
      <c r="C1737" s="354"/>
      <c r="J1737" s="64"/>
    </row>
    <row r="1738" spans="1:11" x14ac:dyDescent="0.2">
      <c r="A1738" s="315" t="s">
        <v>1029</v>
      </c>
      <c r="C1738" s="354"/>
      <c r="J1738" s="64"/>
    </row>
    <row r="1739" spans="1:11" x14ac:dyDescent="0.2">
      <c r="A1739" s="315" t="s">
        <v>1138</v>
      </c>
      <c r="B1739" s="34"/>
      <c r="C1739" s="316"/>
      <c r="D1739" s="34"/>
      <c r="E1739" s="34"/>
      <c r="F1739" s="34"/>
      <c r="G1739" s="34"/>
      <c r="H1739" s="34"/>
      <c r="I1739" s="34"/>
      <c r="J1739" s="48"/>
    </row>
    <row r="1740" spans="1:11" x14ac:dyDescent="0.2">
      <c r="A1740" s="49"/>
      <c r="C1740" s="354"/>
    </row>
    <row r="1741" spans="1:11" x14ac:dyDescent="0.2">
      <c r="A1741" s="6" t="s">
        <v>14</v>
      </c>
      <c r="B1741" s="7" t="s">
        <v>79</v>
      </c>
      <c r="C1741" s="7" t="s">
        <v>152</v>
      </c>
    </row>
    <row r="1742" spans="1:11" x14ac:dyDescent="0.2">
      <c r="A1742" s="41" t="s">
        <v>16</v>
      </c>
      <c r="B1742" s="277">
        <v>2016</v>
      </c>
      <c r="C1742" s="155">
        <v>2017</v>
      </c>
      <c r="D1742" s="155">
        <v>2018</v>
      </c>
      <c r="E1742" s="155">
        <v>2019</v>
      </c>
      <c r="F1742" s="155">
        <v>2020</v>
      </c>
      <c r="G1742" s="155">
        <v>2021</v>
      </c>
      <c r="H1742" s="155">
        <v>2022</v>
      </c>
      <c r="I1742" s="155">
        <v>2023</v>
      </c>
      <c r="J1742" s="155">
        <v>2024</v>
      </c>
      <c r="K1742" s="155">
        <v>2025</v>
      </c>
    </row>
    <row r="1743" spans="1:11" x14ac:dyDescent="0.2">
      <c r="A1743" s="10" t="s">
        <v>17</v>
      </c>
      <c r="B1743" s="12">
        <v>20</v>
      </c>
      <c r="C1743" s="12">
        <v>20</v>
      </c>
      <c r="D1743" s="12">
        <v>20</v>
      </c>
      <c r="E1743" s="12">
        <v>20</v>
      </c>
      <c r="F1743" s="12">
        <v>20</v>
      </c>
      <c r="G1743" s="12">
        <v>20</v>
      </c>
      <c r="H1743" s="12">
        <v>20</v>
      </c>
      <c r="I1743" s="12">
        <v>20</v>
      </c>
      <c r="J1743" s="12">
        <v>20</v>
      </c>
      <c r="K1743" s="12">
        <v>20</v>
      </c>
    </row>
    <row r="1744" spans="1:11" ht="15.75" x14ac:dyDescent="0.25">
      <c r="A1744" s="10" t="s">
        <v>18</v>
      </c>
      <c r="B1744" s="12">
        <v>24</v>
      </c>
      <c r="C1744" s="12">
        <f>C1743+0.2*B1743</f>
        <v>24</v>
      </c>
      <c r="D1744" s="12">
        <f>D1743+0.2*C1743</f>
        <v>24</v>
      </c>
      <c r="E1744" s="518">
        <f>E1743+0.2*D1743</f>
        <v>24</v>
      </c>
      <c r="F1744" s="518">
        <f>F1743+0.2*E1743</f>
        <v>24</v>
      </c>
      <c r="G1744" s="518"/>
      <c r="H1744" s="518">
        <f>H1743+G1747</f>
        <v>19.587</v>
      </c>
      <c r="I1744" s="518">
        <f xml:space="preserve"> 1.25*H1747+I1743</f>
        <v>11.083750000000002</v>
      </c>
      <c r="J1744" s="518">
        <f xml:space="preserve"> 1.25*I1747+J1743</f>
        <v>-2.0312499999999289E-2</v>
      </c>
      <c r="K1744" s="518">
        <f xml:space="preserve"> 1.25*J1747+K1743</f>
        <v>20</v>
      </c>
    </row>
    <row r="1745" spans="1:11" x14ac:dyDescent="0.2">
      <c r="A1745" s="10" t="s">
        <v>19</v>
      </c>
      <c r="B1745" s="157"/>
      <c r="C1745" s="157" t="s">
        <v>399</v>
      </c>
      <c r="D1745" s="157" t="s">
        <v>400</v>
      </c>
      <c r="E1745" s="157" t="s">
        <v>401</v>
      </c>
      <c r="F1745" s="157" t="s">
        <v>402</v>
      </c>
      <c r="G1745" s="157" t="s">
        <v>566</v>
      </c>
      <c r="H1745" s="157" t="s">
        <v>604</v>
      </c>
      <c r="I1745" s="157" t="s">
        <v>625</v>
      </c>
      <c r="J1745" s="157" t="s">
        <v>785</v>
      </c>
      <c r="K1745" s="157" t="s">
        <v>1002</v>
      </c>
    </row>
    <row r="1746" spans="1:11" ht="15.75" x14ac:dyDescent="0.25">
      <c r="A1746" s="10" t="s">
        <v>20</v>
      </c>
      <c r="B1746" s="157">
        <v>15</v>
      </c>
      <c r="C1746" s="157">
        <v>13</v>
      </c>
      <c r="D1746" s="519">
        <v>1.125</v>
      </c>
      <c r="E1746" s="519">
        <v>9.5559999999999992</v>
      </c>
      <c r="F1746" s="519">
        <v>10.503</v>
      </c>
      <c r="G1746" s="519">
        <v>20.413</v>
      </c>
      <c r="H1746" s="519">
        <v>26.72</v>
      </c>
      <c r="I1746" s="518">
        <v>27.1</v>
      </c>
      <c r="J1746" s="157"/>
      <c r="K1746" s="157"/>
    </row>
    <row r="1747" spans="1:11" ht="15.75" x14ac:dyDescent="0.25">
      <c r="A1747" s="10" t="s">
        <v>21</v>
      </c>
      <c r="B1747" s="12">
        <f>B1744-B1746</f>
        <v>9</v>
      </c>
      <c r="C1747" s="12">
        <f>C1744-C1746</f>
        <v>11</v>
      </c>
      <c r="D1747" s="518">
        <f>D1744-D1746</f>
        <v>22.875</v>
      </c>
      <c r="E1747" s="518">
        <f>E1744-E1746</f>
        <v>14.444000000000001</v>
      </c>
      <c r="F1747" s="518">
        <f>F1744-F1746</f>
        <v>13.497</v>
      </c>
      <c r="G1747" s="518">
        <f>G1743-G1746</f>
        <v>-0.41300000000000026</v>
      </c>
      <c r="H1747" s="518">
        <f>H1744-H1746</f>
        <v>-7.1329999999999991</v>
      </c>
      <c r="I1747" s="518">
        <f>I1744-I1746</f>
        <v>-16.016249999999999</v>
      </c>
      <c r="J1747" s="12"/>
      <c r="K1747" s="12"/>
    </row>
    <row r="1748" spans="1:11" x14ac:dyDescent="0.2">
      <c r="A1748" s="16" t="s">
        <v>22</v>
      </c>
      <c r="B1748" s="481">
        <v>2017</v>
      </c>
      <c r="C1748" s="481">
        <v>2018</v>
      </c>
      <c r="D1748" s="481">
        <v>2019</v>
      </c>
      <c r="E1748" s="481">
        <v>2020</v>
      </c>
      <c r="F1748" s="481">
        <v>2021</v>
      </c>
      <c r="G1748" s="481">
        <v>2022</v>
      </c>
      <c r="H1748" s="481">
        <v>2023</v>
      </c>
      <c r="I1748" s="481">
        <v>2024</v>
      </c>
      <c r="J1748" s="481">
        <v>2025</v>
      </c>
      <c r="K1748" s="481">
        <v>2026</v>
      </c>
    </row>
    <row r="1749" spans="1:11" x14ac:dyDescent="0.2">
      <c r="A1749" s="16" t="s">
        <v>179</v>
      </c>
      <c r="B1749" s="46"/>
      <c r="C1749" s="46"/>
      <c r="D1749" s="46"/>
      <c r="E1749" s="46"/>
      <c r="F1749" s="46"/>
      <c r="G1749" s="46"/>
      <c r="H1749" s="46"/>
      <c r="I1749" s="46"/>
      <c r="J1749" s="47"/>
    </row>
    <row r="1750" spans="1:11" x14ac:dyDescent="0.2">
      <c r="A1750" s="56" t="s">
        <v>903</v>
      </c>
      <c r="F1750" s="271"/>
      <c r="J1750" s="64"/>
    </row>
    <row r="1751" spans="1:11" x14ac:dyDescent="0.2">
      <c r="A1751" s="56" t="s">
        <v>901</v>
      </c>
      <c r="J1751" s="64"/>
    </row>
    <row r="1752" spans="1:11" x14ac:dyDescent="0.2">
      <c r="A1752" s="56" t="s">
        <v>902</v>
      </c>
      <c r="J1752" s="64"/>
    </row>
    <row r="1753" spans="1:11" x14ac:dyDescent="0.2">
      <c r="A1753" s="56" t="s">
        <v>904</v>
      </c>
      <c r="C1753" s="354"/>
      <c r="J1753" s="64"/>
    </row>
    <row r="1754" spans="1:11" x14ac:dyDescent="0.2">
      <c r="A1754" s="56" t="s">
        <v>905</v>
      </c>
      <c r="C1754" s="354"/>
      <c r="J1754" s="64"/>
    </row>
    <row r="1755" spans="1:11" x14ac:dyDescent="0.2">
      <c r="A1755" s="56" t="s">
        <v>605</v>
      </c>
      <c r="C1755" s="354"/>
      <c r="J1755" s="64"/>
    </row>
    <row r="1756" spans="1:11" x14ac:dyDescent="0.2">
      <c r="A1756" s="56" t="s">
        <v>899</v>
      </c>
      <c r="C1756" s="354"/>
      <c r="J1756" s="64"/>
    </row>
    <row r="1757" spans="1:11" x14ac:dyDescent="0.2">
      <c r="A1757" s="315" t="s">
        <v>1029</v>
      </c>
      <c r="B1757" s="34"/>
      <c r="C1757" s="316"/>
      <c r="D1757" s="34"/>
      <c r="E1757" s="34"/>
      <c r="F1757" s="34"/>
      <c r="G1757" s="34"/>
      <c r="H1757" s="34"/>
      <c r="I1757" s="34"/>
      <c r="J1757" s="48"/>
    </row>
    <row r="1758" spans="1:11" x14ac:dyDescent="0.2">
      <c r="A1758" s="49"/>
      <c r="C1758" s="354"/>
    </row>
    <row r="1760" spans="1:11" x14ac:dyDescent="0.2">
      <c r="A1760" s="6" t="s">
        <v>11</v>
      </c>
      <c r="B1760" s="7" t="s">
        <v>217</v>
      </c>
      <c r="C1760" s="8"/>
    </row>
    <row r="1761" spans="1:10" x14ac:dyDescent="0.2">
      <c r="A1761" s="6" t="s">
        <v>1</v>
      </c>
      <c r="B1761" s="7" t="s">
        <v>623</v>
      </c>
      <c r="C1761" s="9" t="s">
        <v>2</v>
      </c>
    </row>
    <row r="1762" spans="1:10" x14ac:dyDescent="0.2">
      <c r="A1762" s="10" t="s">
        <v>3</v>
      </c>
      <c r="B1762" s="11"/>
      <c r="C1762" s="155">
        <v>2018</v>
      </c>
      <c r="D1762" s="173">
        <v>2019</v>
      </c>
      <c r="E1762" s="155">
        <v>2020</v>
      </c>
      <c r="F1762" s="155">
        <v>2021</v>
      </c>
      <c r="G1762" s="155">
        <v>2022</v>
      </c>
      <c r="H1762" s="155">
        <v>2023</v>
      </c>
      <c r="I1762" s="155">
        <v>2024</v>
      </c>
      <c r="J1762" s="155">
        <v>2025</v>
      </c>
    </row>
    <row r="1763" spans="1:10" x14ac:dyDescent="0.2">
      <c r="A1763" s="10" t="s">
        <v>4</v>
      </c>
      <c r="B1763" s="11"/>
      <c r="C1763" s="12">
        <v>250</v>
      </c>
      <c r="D1763" s="189">
        <v>250</v>
      </c>
      <c r="E1763" s="12">
        <v>250</v>
      </c>
      <c r="F1763" s="190">
        <v>250</v>
      </c>
      <c r="G1763" s="190">
        <v>250</v>
      </c>
      <c r="H1763" s="190">
        <v>250</v>
      </c>
      <c r="I1763" s="190">
        <v>250</v>
      </c>
      <c r="J1763" s="190">
        <v>250</v>
      </c>
    </row>
    <row r="1764" spans="1:10" x14ac:dyDescent="0.2">
      <c r="A1764" s="10" t="s">
        <v>5</v>
      </c>
      <c r="B1764" s="11"/>
      <c r="C1764" s="12">
        <v>200</v>
      </c>
      <c r="D1764" s="12">
        <v>225</v>
      </c>
      <c r="E1764" s="12">
        <f>E1765</f>
        <v>225</v>
      </c>
      <c r="F1764" s="190">
        <f>F1765</f>
        <v>200</v>
      </c>
      <c r="G1764" s="190">
        <f>G1765</f>
        <v>200</v>
      </c>
      <c r="H1764" s="190">
        <f>H1765</f>
        <v>225</v>
      </c>
      <c r="I1764" s="190">
        <f>I1765</f>
        <v>225</v>
      </c>
      <c r="J1764" s="190">
        <v>325</v>
      </c>
    </row>
    <row r="1765" spans="1:10" x14ac:dyDescent="0.2">
      <c r="A1765" s="10" t="s">
        <v>6</v>
      </c>
      <c r="B1765" s="11"/>
      <c r="C1765" s="12">
        <v>200</v>
      </c>
      <c r="D1765" s="12">
        <v>225</v>
      </c>
      <c r="E1765" s="12">
        <f>1.4*E1763-125</f>
        <v>225</v>
      </c>
      <c r="F1765" s="190">
        <f>F1763+0.4*E1763-150</f>
        <v>200</v>
      </c>
      <c r="G1765" s="190">
        <f>G1763+0.4*F1763-150</f>
        <v>200</v>
      </c>
      <c r="H1765" s="190">
        <f>H1763+0.4*G1763-125</f>
        <v>225</v>
      </c>
      <c r="I1765" s="190">
        <f>I1763+0.4*H1763-125</f>
        <v>225</v>
      </c>
      <c r="J1765" s="190"/>
    </row>
    <row r="1766" spans="1:10" x14ac:dyDescent="0.2">
      <c r="A1766" s="10" t="s">
        <v>7</v>
      </c>
      <c r="B1766" s="11"/>
      <c r="C1766" s="12">
        <v>43.54</v>
      </c>
      <c r="D1766" s="12">
        <v>13.63</v>
      </c>
      <c r="E1766" s="12">
        <v>10</v>
      </c>
      <c r="F1766" s="190">
        <v>20</v>
      </c>
      <c r="G1766" s="190">
        <v>0</v>
      </c>
      <c r="H1766" s="190">
        <v>54.02</v>
      </c>
      <c r="I1766" s="190">
        <v>16.52</v>
      </c>
      <c r="J1766" s="90"/>
    </row>
    <row r="1767" spans="1:10" x14ac:dyDescent="0.2">
      <c r="A1767" s="10" t="s">
        <v>8</v>
      </c>
      <c r="B1767" s="11"/>
      <c r="C1767" s="12">
        <v>156.46</v>
      </c>
      <c r="D1767" s="189">
        <v>211.37</v>
      </c>
      <c r="E1767" s="12">
        <f>E1764-E1766</f>
        <v>215</v>
      </c>
      <c r="F1767" s="190">
        <f>F1764-F1766</f>
        <v>180</v>
      </c>
      <c r="G1767" s="190">
        <f>G1764-G1766</f>
        <v>200</v>
      </c>
      <c r="H1767" s="190">
        <f>H1764-H1766</f>
        <v>170.98</v>
      </c>
      <c r="I1767" s="190">
        <f>I1764-I1766</f>
        <v>208.48</v>
      </c>
      <c r="J1767" s="90"/>
    </row>
    <row r="1768" spans="1:10" x14ac:dyDescent="0.2">
      <c r="A1768" s="16" t="s">
        <v>9</v>
      </c>
      <c r="B1768" s="17"/>
      <c r="C1768" s="160">
        <v>2019</v>
      </c>
      <c r="D1768" s="179">
        <v>2020</v>
      </c>
      <c r="E1768" s="160">
        <v>2021</v>
      </c>
      <c r="F1768" s="47">
        <v>2022</v>
      </c>
      <c r="G1768" s="47">
        <v>2023</v>
      </c>
      <c r="H1768" s="47">
        <v>2024</v>
      </c>
      <c r="I1768" s="47">
        <v>2025</v>
      </c>
      <c r="J1768" s="90"/>
    </row>
    <row r="1769" spans="1:10" x14ac:dyDescent="0.2">
      <c r="A1769" s="18" t="s">
        <v>164</v>
      </c>
      <c r="B1769" s="19"/>
      <c r="C1769" s="19"/>
      <c r="D1769" s="19"/>
      <c r="E1769" s="19"/>
      <c r="F1769" s="19"/>
      <c r="G1769" s="19"/>
      <c r="H1769" s="19"/>
      <c r="I1769" s="19"/>
      <c r="J1769" s="63"/>
    </row>
    <row r="1770" spans="1:10" x14ac:dyDescent="0.2">
      <c r="A1770" s="39" t="s">
        <v>218</v>
      </c>
      <c r="J1770" s="64"/>
    </row>
    <row r="1771" spans="1:10" x14ac:dyDescent="0.2">
      <c r="A1771" s="39" t="s">
        <v>513</v>
      </c>
      <c r="J1771" s="64"/>
    </row>
    <row r="1772" spans="1:10" ht="13.15" customHeight="1" x14ac:dyDescent="0.2">
      <c r="A1772" s="162" t="s">
        <v>514</v>
      </c>
      <c r="B1772" s="123"/>
      <c r="C1772" s="123"/>
      <c r="D1772" s="123"/>
      <c r="E1772" s="123"/>
      <c r="F1772" s="123"/>
      <c r="G1772" s="123"/>
      <c r="H1772" s="123"/>
      <c r="I1772" s="123"/>
      <c r="J1772" s="64"/>
    </row>
    <row r="1773" spans="1:10" x14ac:dyDescent="0.2">
      <c r="A1773" s="162" t="s">
        <v>515</v>
      </c>
      <c r="B1773" s="32"/>
      <c r="C1773" s="32"/>
      <c r="D1773" s="32"/>
      <c r="E1773" s="32"/>
      <c r="F1773" s="32"/>
      <c r="G1773" s="32"/>
      <c r="H1773" s="32"/>
      <c r="I1773" s="32"/>
      <c r="J1773" s="64"/>
    </row>
    <row r="1774" spans="1:10" x14ac:dyDescent="0.2">
      <c r="A1774" s="39" t="s">
        <v>516</v>
      </c>
      <c r="B1774" s="32"/>
      <c r="C1774" s="32"/>
      <c r="D1774" s="32"/>
      <c r="E1774" s="32"/>
      <c r="F1774" s="32"/>
      <c r="G1774" s="32"/>
      <c r="H1774" s="32"/>
      <c r="I1774" s="32"/>
      <c r="J1774" s="64"/>
    </row>
    <row r="1775" spans="1:10" x14ac:dyDescent="0.2">
      <c r="A1775" s="39" t="s">
        <v>846</v>
      </c>
      <c r="B1775" s="32"/>
      <c r="C1775" s="32"/>
      <c r="D1775" s="32"/>
      <c r="E1775" s="32"/>
      <c r="F1775" s="32"/>
      <c r="G1775" s="32"/>
      <c r="H1775" s="32"/>
      <c r="I1775" s="32"/>
      <c r="J1775" s="64"/>
    </row>
    <row r="1776" spans="1:10" x14ac:dyDescent="0.2">
      <c r="A1776" s="39" t="s">
        <v>847</v>
      </c>
      <c r="B1776" s="32"/>
      <c r="C1776" s="32"/>
      <c r="D1776" s="32"/>
      <c r="E1776" s="32"/>
      <c r="F1776" s="32"/>
      <c r="G1776" s="32"/>
      <c r="H1776" s="32"/>
      <c r="I1776" s="32"/>
      <c r="J1776" s="64"/>
    </row>
    <row r="1777" spans="1:10" x14ac:dyDescent="0.2">
      <c r="A1777" s="39" t="s">
        <v>1062</v>
      </c>
      <c r="B1777" s="32"/>
      <c r="C1777" s="32"/>
      <c r="D1777" s="32"/>
      <c r="E1777" s="32"/>
      <c r="F1777" s="32"/>
      <c r="G1777" s="32"/>
      <c r="H1777" s="32"/>
      <c r="I1777" s="32"/>
      <c r="J1777" s="64"/>
    </row>
    <row r="1778" spans="1:10" ht="13.15" customHeight="1" x14ac:dyDescent="0.2">
      <c r="A1778" s="42" t="s">
        <v>1214</v>
      </c>
      <c r="B1778" s="43"/>
      <c r="C1778" s="43"/>
      <c r="D1778" s="43"/>
      <c r="E1778" s="43"/>
      <c r="F1778" s="43"/>
      <c r="G1778" s="34"/>
      <c r="H1778" s="34"/>
      <c r="I1778" s="34"/>
      <c r="J1778" s="48"/>
    </row>
    <row r="1780" spans="1:10" x14ac:dyDescent="0.2">
      <c r="A1780" s="6" t="s">
        <v>1</v>
      </c>
      <c r="B1780" s="7" t="s">
        <v>641</v>
      </c>
      <c r="C1780" s="9" t="s">
        <v>2</v>
      </c>
    </row>
    <row r="1781" spans="1:10" x14ac:dyDescent="0.2">
      <c r="A1781" s="10" t="s">
        <v>3</v>
      </c>
      <c r="B1781" s="11"/>
      <c r="C1781" s="155">
        <v>2018</v>
      </c>
      <c r="D1781" s="173">
        <v>2019</v>
      </c>
      <c r="E1781" s="155">
        <v>2020</v>
      </c>
      <c r="F1781" s="155">
        <v>2021</v>
      </c>
      <c r="G1781" s="155">
        <v>2022</v>
      </c>
      <c r="H1781" s="155">
        <v>2023</v>
      </c>
      <c r="I1781" s="155">
        <v>2024</v>
      </c>
      <c r="J1781" s="520">
        <v>2025</v>
      </c>
    </row>
    <row r="1782" spans="1:10" x14ac:dyDescent="0.2">
      <c r="A1782" s="10" t="s">
        <v>4</v>
      </c>
      <c r="B1782" s="11"/>
      <c r="C1782" s="12">
        <v>417</v>
      </c>
      <c r="D1782" s="12">
        <v>417</v>
      </c>
      <c r="E1782" s="12">
        <v>417</v>
      </c>
      <c r="F1782" s="12">
        <v>417</v>
      </c>
      <c r="G1782" s="12">
        <v>417</v>
      </c>
      <c r="H1782" s="12">
        <v>417</v>
      </c>
      <c r="I1782" s="12">
        <v>417</v>
      </c>
      <c r="J1782" s="90">
        <v>417</v>
      </c>
    </row>
    <row r="1783" spans="1:10" x14ac:dyDescent="0.2">
      <c r="A1783" s="10" t="s">
        <v>5</v>
      </c>
      <c r="B1783" s="11"/>
      <c r="C1783" s="12">
        <v>500.4</v>
      </c>
      <c r="D1783" s="12">
        <v>500.4</v>
      </c>
      <c r="E1783" s="12">
        <f>E1784</f>
        <v>500.4</v>
      </c>
      <c r="F1783" s="12">
        <v>500.4</v>
      </c>
      <c r="G1783" s="12">
        <v>500.4</v>
      </c>
      <c r="H1783" s="12">
        <f>H1784</f>
        <v>458.7</v>
      </c>
      <c r="I1783" s="12">
        <f>I1784</f>
        <v>458.7</v>
      </c>
      <c r="J1783" s="90">
        <v>458.7</v>
      </c>
    </row>
    <row r="1784" spans="1:10" x14ac:dyDescent="0.2">
      <c r="A1784" s="10" t="s">
        <v>6</v>
      </c>
      <c r="B1784" s="11"/>
      <c r="C1784" s="12">
        <v>500.4</v>
      </c>
      <c r="D1784" s="12">
        <v>500.4</v>
      </c>
      <c r="E1784" s="12">
        <f>1.2*E1782</f>
        <v>500.4</v>
      </c>
      <c r="F1784" s="12">
        <v>500.4</v>
      </c>
      <c r="G1784" s="12">
        <v>500.4</v>
      </c>
      <c r="H1784" s="12">
        <f>H1782+0.1*G1782</f>
        <v>458.7</v>
      </c>
      <c r="I1784" s="12">
        <f>I1782+0.1*H1782</f>
        <v>458.7</v>
      </c>
      <c r="J1784" s="90"/>
    </row>
    <row r="1785" spans="1:10" x14ac:dyDescent="0.2">
      <c r="A1785" s="10" t="s">
        <v>7</v>
      </c>
      <c r="B1785" s="11"/>
      <c r="C1785" s="12">
        <v>92.8</v>
      </c>
      <c r="D1785" s="12">
        <v>166.9</v>
      </c>
      <c r="E1785" s="12">
        <v>0</v>
      </c>
      <c r="F1785" s="12">
        <v>0</v>
      </c>
      <c r="G1785" s="12">
        <v>0</v>
      </c>
      <c r="H1785" s="12">
        <v>0</v>
      </c>
      <c r="I1785" s="12">
        <v>0</v>
      </c>
      <c r="J1785" s="90"/>
    </row>
    <row r="1786" spans="1:10" x14ac:dyDescent="0.2">
      <c r="A1786" s="10" t="s">
        <v>8</v>
      </c>
      <c r="B1786" s="11"/>
      <c r="C1786" s="12">
        <v>407.59999999999997</v>
      </c>
      <c r="D1786" s="12">
        <f t="shared" ref="D1786:I1786" si="74">D1783-D1785</f>
        <v>333.5</v>
      </c>
      <c r="E1786" s="12">
        <f t="shared" si="74"/>
        <v>500.4</v>
      </c>
      <c r="F1786" s="12">
        <f t="shared" si="74"/>
        <v>500.4</v>
      </c>
      <c r="G1786" s="12">
        <f t="shared" si="74"/>
        <v>500.4</v>
      </c>
      <c r="H1786" s="12">
        <f t="shared" si="74"/>
        <v>458.7</v>
      </c>
      <c r="I1786" s="12">
        <f t="shared" si="74"/>
        <v>458.7</v>
      </c>
      <c r="J1786" s="90"/>
    </row>
    <row r="1787" spans="1:10" x14ac:dyDescent="0.2">
      <c r="A1787" s="16" t="s">
        <v>9</v>
      </c>
      <c r="B1787" s="17"/>
      <c r="C1787" s="160">
        <v>2019</v>
      </c>
      <c r="D1787" s="179">
        <v>2020</v>
      </c>
      <c r="E1787" s="160">
        <v>2021</v>
      </c>
      <c r="F1787" s="180">
        <v>2022</v>
      </c>
      <c r="G1787" s="180">
        <v>2023</v>
      </c>
      <c r="H1787" s="180">
        <v>2024</v>
      </c>
      <c r="I1787" s="180">
        <v>2025</v>
      </c>
      <c r="J1787" s="181">
        <v>2026</v>
      </c>
    </row>
    <row r="1788" spans="1:10" x14ac:dyDescent="0.2">
      <c r="A1788" s="18" t="s">
        <v>164</v>
      </c>
      <c r="B1788" s="19"/>
      <c r="C1788" s="19"/>
      <c r="D1788" s="19"/>
      <c r="E1788" s="19"/>
      <c r="F1788" s="19"/>
      <c r="G1788" s="19"/>
      <c r="H1788" s="19"/>
      <c r="I1788" s="19"/>
      <c r="J1788" s="63"/>
    </row>
    <row r="1789" spans="1:10" x14ac:dyDescent="0.2">
      <c r="A1789" s="39" t="s">
        <v>218</v>
      </c>
      <c r="J1789" s="64"/>
    </row>
    <row r="1790" spans="1:10" s="123" customFormat="1" ht="12.75" customHeight="1" x14ac:dyDescent="0.2">
      <c r="A1790" s="39" t="s">
        <v>219</v>
      </c>
      <c r="B1790" s="3"/>
      <c r="C1790" s="3"/>
      <c r="D1790" s="3"/>
      <c r="E1790" s="3"/>
      <c r="F1790" s="3"/>
      <c r="J1790" s="521"/>
    </row>
    <row r="1791" spans="1:10" s="123" customFormat="1" ht="12.75" customHeight="1" x14ac:dyDescent="0.2">
      <c r="A1791" s="39" t="s">
        <v>315</v>
      </c>
      <c r="B1791" s="3"/>
      <c r="C1791" s="3"/>
      <c r="D1791" s="3"/>
      <c r="E1791" s="3"/>
      <c r="F1791" s="3"/>
      <c r="J1791" s="521"/>
    </row>
    <row r="1792" spans="1:10" s="123" customFormat="1" ht="12.75" customHeight="1" x14ac:dyDescent="0.2">
      <c r="A1792" s="39" t="s">
        <v>699</v>
      </c>
      <c r="B1792" s="3"/>
      <c r="C1792" s="3"/>
      <c r="D1792" s="3"/>
      <c r="E1792" s="3"/>
      <c r="F1792" s="3"/>
      <c r="J1792" s="521"/>
    </row>
    <row r="1793" spans="1:15" s="123" customFormat="1" ht="12.75" customHeight="1" x14ac:dyDescent="0.2">
      <c r="A1793" s="39" t="s">
        <v>698</v>
      </c>
      <c r="B1793" s="3"/>
      <c r="C1793" s="3"/>
      <c r="D1793" s="3"/>
      <c r="E1793" s="3"/>
      <c r="F1793" s="3"/>
      <c r="J1793" s="521"/>
    </row>
    <row r="1794" spans="1:15" s="123" customFormat="1" x14ac:dyDescent="0.2">
      <c r="A1794" s="162" t="s">
        <v>848</v>
      </c>
      <c r="J1794" s="521"/>
    </row>
    <row r="1795" spans="1:15" s="123" customFormat="1" x14ac:dyDescent="0.2">
      <c r="A1795" s="162" t="s">
        <v>1063</v>
      </c>
      <c r="J1795" s="521"/>
    </row>
    <row r="1796" spans="1:15" s="123" customFormat="1" ht="12.75" customHeight="1" x14ac:dyDescent="0.2">
      <c r="A1796" s="42" t="s">
        <v>1213</v>
      </c>
      <c r="B1796" s="43"/>
      <c r="C1796" s="43"/>
      <c r="D1796" s="43"/>
      <c r="E1796" s="43"/>
      <c r="F1796" s="43"/>
      <c r="G1796" s="182"/>
      <c r="H1796" s="182"/>
      <c r="I1796" s="182"/>
      <c r="J1796" s="522"/>
    </row>
    <row r="1798" spans="1:15" x14ac:dyDescent="0.2">
      <c r="A1798" s="98" t="s">
        <v>14</v>
      </c>
      <c r="B1798" s="66" t="s">
        <v>66</v>
      </c>
      <c r="C1798" s="67" t="s">
        <v>15</v>
      </c>
      <c r="D1798" s="8"/>
      <c r="E1798" s="8"/>
      <c r="F1798" s="8"/>
    </row>
    <row r="1799" spans="1:15" x14ac:dyDescent="0.2">
      <c r="A1799" s="68" t="s">
        <v>16</v>
      </c>
      <c r="B1799" s="69"/>
      <c r="C1799" s="155">
        <v>2020</v>
      </c>
      <c r="D1799" s="155">
        <v>2021</v>
      </c>
      <c r="E1799" s="155">
        <v>2022</v>
      </c>
      <c r="F1799" s="155">
        <v>2023</v>
      </c>
      <c r="G1799" s="155">
        <v>2024</v>
      </c>
      <c r="H1799" s="155">
        <v>2025</v>
      </c>
      <c r="I1799" s="155">
        <v>2026</v>
      </c>
      <c r="J1799" s="155">
        <v>2027</v>
      </c>
      <c r="K1799" s="155">
        <v>2028</v>
      </c>
      <c r="L1799" s="155">
        <v>2029</v>
      </c>
      <c r="M1799" s="155">
        <v>2030</v>
      </c>
      <c r="N1799" s="155">
        <v>2031</v>
      </c>
      <c r="O1799" s="155">
        <v>2032</v>
      </c>
    </row>
    <row r="1800" spans="1:15" x14ac:dyDescent="0.2">
      <c r="A1800" s="68" t="s">
        <v>17</v>
      </c>
      <c r="B1800" s="72"/>
      <c r="C1800" s="12">
        <v>1322.73</v>
      </c>
      <c r="D1800" s="12">
        <v>1301.5663200000001</v>
      </c>
      <c r="E1800" s="12">
        <v>1312.14816</v>
      </c>
      <c r="F1800" s="12">
        <v>1312.14816</v>
      </c>
      <c r="G1800" s="12">
        <v>1312.14816</v>
      </c>
      <c r="H1800" s="12">
        <v>1312.14816</v>
      </c>
      <c r="I1800" s="12">
        <v>1312.14816</v>
      </c>
      <c r="J1800" s="12">
        <v>1312.14816</v>
      </c>
      <c r="K1800" s="12">
        <v>1312.14816</v>
      </c>
      <c r="L1800" s="12">
        <v>1312.14816</v>
      </c>
      <c r="M1800" s="12">
        <v>1312.14816</v>
      </c>
      <c r="N1800" s="12">
        <v>1312.14816</v>
      </c>
      <c r="O1800" s="12">
        <v>1312.14816</v>
      </c>
    </row>
    <row r="1801" spans="1:15" x14ac:dyDescent="0.2">
      <c r="A1801" s="68" t="s">
        <v>18</v>
      </c>
      <c r="B1801" s="72"/>
      <c r="C1801" s="12"/>
      <c r="D1801" s="12"/>
      <c r="E1801" s="12"/>
      <c r="F1801" s="12">
        <f>F1800-137.77</f>
        <v>1174.37816</v>
      </c>
      <c r="G1801" s="12">
        <f t="shared" ref="G1801:O1801" si="75">G1800-137.77</f>
        <v>1174.37816</v>
      </c>
      <c r="H1801" s="12">
        <f>H1800-137.77+F1804</f>
        <v>1173.96632</v>
      </c>
      <c r="I1801" s="12">
        <f t="shared" si="75"/>
        <v>1174.37816</v>
      </c>
      <c r="J1801" s="12">
        <f t="shared" si="75"/>
        <v>1174.37816</v>
      </c>
      <c r="K1801" s="12">
        <f t="shared" si="75"/>
        <v>1174.37816</v>
      </c>
      <c r="L1801" s="12">
        <f t="shared" si="75"/>
        <v>1174.37816</v>
      </c>
      <c r="M1801" s="12">
        <f t="shared" si="75"/>
        <v>1174.37816</v>
      </c>
      <c r="N1801" s="12">
        <f t="shared" si="75"/>
        <v>1174.37816</v>
      </c>
      <c r="O1801" s="12">
        <f t="shared" si="75"/>
        <v>1174.37816</v>
      </c>
    </row>
    <row r="1802" spans="1:15" x14ac:dyDescent="0.2">
      <c r="A1802" s="68" t="s">
        <v>19</v>
      </c>
      <c r="B1802" s="72"/>
      <c r="C1802" s="12"/>
      <c r="D1802" s="523"/>
      <c r="E1802" s="523" t="s">
        <v>531</v>
      </c>
      <c r="F1802" s="523" t="s">
        <v>531</v>
      </c>
      <c r="G1802" s="523" t="s">
        <v>531</v>
      </c>
      <c r="H1802" s="523" t="s">
        <v>1064</v>
      </c>
      <c r="I1802" s="523" t="s">
        <v>531</v>
      </c>
      <c r="J1802" s="523" t="s">
        <v>531</v>
      </c>
      <c r="K1802" s="523" t="s">
        <v>531</v>
      </c>
      <c r="L1802" s="523" t="s">
        <v>531</v>
      </c>
      <c r="M1802" s="523" t="s">
        <v>531</v>
      </c>
      <c r="N1802" s="523" t="s">
        <v>531</v>
      </c>
      <c r="O1802" s="523" t="s">
        <v>531</v>
      </c>
    </row>
    <row r="1803" spans="1:15" x14ac:dyDescent="0.2">
      <c r="A1803" s="68" t="s">
        <v>20</v>
      </c>
      <c r="B1803" s="72"/>
      <c r="C1803" s="12">
        <v>2700.5</v>
      </c>
      <c r="D1803" s="12">
        <v>702.1</v>
      </c>
      <c r="E1803" s="12">
        <v>764.67</v>
      </c>
      <c r="F1803" s="12">
        <v>1174.79</v>
      </c>
      <c r="G1803" s="12">
        <v>581.6</v>
      </c>
      <c r="H1803" s="12"/>
      <c r="I1803" s="12"/>
      <c r="J1803" s="12"/>
      <c r="K1803" s="12"/>
      <c r="L1803" s="12"/>
      <c r="M1803" s="12"/>
      <c r="N1803" s="12"/>
      <c r="O1803" s="12"/>
    </row>
    <row r="1804" spans="1:15" x14ac:dyDescent="0.2">
      <c r="A1804" s="68" t="s">
        <v>21</v>
      </c>
      <c r="B1804" s="101"/>
      <c r="C1804" s="12">
        <f>C1800-C1803</f>
        <v>-1377.77</v>
      </c>
      <c r="D1804" s="12">
        <f>D1800-D1803</f>
        <v>599.46632000000011</v>
      </c>
      <c r="E1804" s="12">
        <f>E1800-E1803</f>
        <v>547.47816</v>
      </c>
      <c r="F1804" s="12">
        <f>F1801-F1803</f>
        <v>-0.41183999999998377</v>
      </c>
      <c r="G1804" s="12">
        <f>G1801-G1803</f>
        <v>592.77815999999996</v>
      </c>
      <c r="H1804" s="12"/>
      <c r="I1804" s="12"/>
      <c r="J1804" s="12"/>
      <c r="K1804" s="12"/>
      <c r="L1804" s="12"/>
      <c r="M1804" s="12"/>
      <c r="N1804" s="12"/>
      <c r="O1804" s="12"/>
    </row>
    <row r="1805" spans="1:15" x14ac:dyDescent="0.2">
      <c r="A1805" s="73" t="s">
        <v>22</v>
      </c>
      <c r="B1805" s="102"/>
      <c r="C1805" s="17">
        <v>2022</v>
      </c>
      <c r="D1805" s="17">
        <v>2023</v>
      </c>
      <c r="E1805" s="17"/>
      <c r="F1805" s="17"/>
      <c r="G1805" s="17"/>
      <c r="H1805" s="17"/>
      <c r="I1805" s="17"/>
      <c r="J1805" s="17"/>
      <c r="K1805" s="17"/>
      <c r="L1805" s="17"/>
      <c r="M1805" s="17"/>
      <c r="N1805" s="17"/>
      <c r="O1805" s="17"/>
    </row>
    <row r="1806" spans="1:15" ht="12.75" customHeight="1" x14ac:dyDescent="0.2">
      <c r="A1806" s="524" t="s">
        <v>564</v>
      </c>
      <c r="B1806" s="525"/>
      <c r="C1806" s="525"/>
      <c r="D1806" s="525"/>
      <c r="E1806" s="525"/>
      <c r="F1806" s="525"/>
      <c r="G1806" s="525"/>
      <c r="H1806" s="525"/>
      <c r="I1806" s="525"/>
      <c r="J1806" s="525"/>
      <c r="K1806" s="525"/>
      <c r="L1806" s="525"/>
      <c r="M1806" s="525"/>
      <c r="N1806" s="525"/>
      <c r="O1806" s="526"/>
    </row>
    <row r="1807" spans="1:15" ht="12.75" customHeight="1" x14ac:dyDescent="0.2">
      <c r="A1807" s="527" t="s">
        <v>936</v>
      </c>
      <c r="B1807" s="528"/>
      <c r="C1807" s="528"/>
      <c r="D1807" s="528"/>
      <c r="E1807" s="528"/>
      <c r="F1807" s="528"/>
      <c r="G1807" s="528"/>
      <c r="H1807" s="528"/>
      <c r="I1807" s="528"/>
      <c r="J1807" s="528"/>
      <c r="K1807" s="528"/>
      <c r="L1807" s="528"/>
      <c r="M1807" s="528"/>
      <c r="N1807" s="528"/>
      <c r="O1807" s="529"/>
    </row>
    <row r="1808" spans="1:15" ht="12.75" customHeight="1" x14ac:dyDescent="0.2">
      <c r="A1808" s="527" t="s">
        <v>1065</v>
      </c>
      <c r="B1808" s="528"/>
      <c r="C1808" s="528"/>
      <c r="D1808" s="528"/>
      <c r="E1808" s="528"/>
      <c r="F1808" s="528"/>
      <c r="G1808" s="528"/>
      <c r="H1808" s="528"/>
      <c r="I1808" s="528"/>
      <c r="J1808" s="528"/>
      <c r="K1808" s="528"/>
      <c r="L1808" s="528"/>
      <c r="M1808" s="528"/>
      <c r="N1808" s="528"/>
      <c r="O1808" s="529"/>
    </row>
    <row r="1809" spans="1:15" x14ac:dyDescent="0.2">
      <c r="A1809" s="42" t="s">
        <v>1215</v>
      </c>
      <c r="B1809" s="34"/>
      <c r="C1809" s="34"/>
      <c r="D1809" s="34"/>
      <c r="E1809" s="34"/>
      <c r="F1809" s="34"/>
      <c r="G1809" s="34"/>
      <c r="H1809" s="34"/>
      <c r="I1809" s="34"/>
      <c r="J1809" s="34"/>
      <c r="K1809" s="34"/>
      <c r="L1809" s="34"/>
      <c r="M1809" s="34"/>
      <c r="N1809" s="34"/>
      <c r="O1809" s="48"/>
    </row>
    <row r="1810" spans="1:15" x14ac:dyDescent="0.2">
      <c r="C1810" s="123"/>
    </row>
    <row r="1811" spans="1:15" x14ac:dyDescent="0.2">
      <c r="A1811" s="6" t="s">
        <v>14</v>
      </c>
      <c r="B1811" s="7" t="s">
        <v>74</v>
      </c>
      <c r="C1811" s="123"/>
    </row>
    <row r="1812" spans="1:15" x14ac:dyDescent="0.2">
      <c r="A1812" s="41" t="s">
        <v>16</v>
      </c>
      <c r="B1812" s="277">
        <v>2024</v>
      </c>
      <c r="C1812" s="520">
        <v>2025</v>
      </c>
    </row>
    <row r="1813" spans="1:15" x14ac:dyDescent="0.2">
      <c r="A1813" s="10" t="s">
        <v>17</v>
      </c>
      <c r="B1813" s="12">
        <v>50.5</v>
      </c>
      <c r="C1813" s="12">
        <v>50.5</v>
      </c>
    </row>
    <row r="1814" spans="1:15" x14ac:dyDescent="0.2">
      <c r="A1814" s="10" t="s">
        <v>18</v>
      </c>
      <c r="B1814" s="12"/>
      <c r="C1814" s="530">
        <f>C1813+B1817</f>
        <v>49.84</v>
      </c>
    </row>
    <row r="1815" spans="1:15" x14ac:dyDescent="0.2">
      <c r="A1815" s="10" t="s">
        <v>19</v>
      </c>
      <c r="B1815" s="157"/>
      <c r="C1815" s="531" t="s">
        <v>399</v>
      </c>
    </row>
    <row r="1816" spans="1:15" x14ac:dyDescent="0.2">
      <c r="A1816" s="10" t="s">
        <v>20</v>
      </c>
      <c r="B1816" s="157">
        <v>51.16</v>
      </c>
      <c r="C1816" s="532"/>
    </row>
    <row r="1817" spans="1:15" x14ac:dyDescent="0.2">
      <c r="A1817" s="10" t="s">
        <v>21</v>
      </c>
      <c r="B1817" s="26">
        <f>B1813-B1816</f>
        <v>-0.65999999999999659</v>
      </c>
      <c r="C1817" s="532"/>
    </row>
    <row r="1818" spans="1:15" x14ac:dyDescent="0.2">
      <c r="A1818" s="16" t="s">
        <v>22</v>
      </c>
      <c r="B1818" s="481"/>
      <c r="C1818" s="532"/>
    </row>
    <row r="1819" spans="1:15" x14ac:dyDescent="0.2">
      <c r="A1819" s="18" t="s">
        <v>179</v>
      </c>
      <c r="B1819" s="19"/>
      <c r="C1819" s="533"/>
    </row>
    <row r="1820" spans="1:15" x14ac:dyDescent="0.2">
      <c r="A1820" s="56" t="s">
        <v>1216</v>
      </c>
      <c r="C1820" s="521"/>
    </row>
    <row r="1821" spans="1:15" x14ac:dyDescent="0.2">
      <c r="A1821" s="41"/>
      <c r="B1821" s="34"/>
      <c r="C1821" s="522"/>
    </row>
    <row r="1823" spans="1:15" x14ac:dyDescent="0.2">
      <c r="A1823" s="6" t="s">
        <v>204</v>
      </c>
      <c r="B1823" s="7" t="s">
        <v>205</v>
      </c>
    </row>
    <row r="1824" spans="1:15" x14ac:dyDescent="0.2">
      <c r="A1824" s="6" t="s">
        <v>203</v>
      </c>
      <c r="B1824" s="7" t="s">
        <v>638</v>
      </c>
      <c r="C1824" s="9" t="s">
        <v>15</v>
      </c>
    </row>
    <row r="1825" spans="1:12" x14ac:dyDescent="0.2">
      <c r="A1825" s="11" t="s">
        <v>16</v>
      </c>
      <c r="B1825" s="11"/>
      <c r="C1825" s="11"/>
      <c r="D1825" s="155">
        <v>2018</v>
      </c>
      <c r="E1825" s="155">
        <v>2019</v>
      </c>
      <c r="F1825" s="155">
        <v>2020</v>
      </c>
      <c r="G1825" s="155">
        <v>2021</v>
      </c>
      <c r="H1825" s="155">
        <v>2022</v>
      </c>
      <c r="I1825" s="155">
        <v>2023</v>
      </c>
      <c r="J1825" s="155">
        <v>2024</v>
      </c>
      <c r="K1825" s="155">
        <v>2025</v>
      </c>
      <c r="L1825" s="155">
        <v>2026</v>
      </c>
    </row>
    <row r="1826" spans="1:12" x14ac:dyDescent="0.2">
      <c r="A1826" s="11" t="s">
        <v>17</v>
      </c>
      <c r="B1826" s="12"/>
      <c r="C1826" s="12"/>
      <c r="D1826" s="12">
        <v>4400</v>
      </c>
      <c r="E1826" s="12">
        <v>4400</v>
      </c>
      <c r="F1826" s="12">
        <v>4400</v>
      </c>
      <c r="G1826" s="12">
        <v>4400</v>
      </c>
      <c r="H1826" s="12">
        <v>4400</v>
      </c>
      <c r="I1826" s="12">
        <v>5280</v>
      </c>
      <c r="J1826" s="12">
        <v>5280</v>
      </c>
      <c r="K1826" s="12">
        <v>5280</v>
      </c>
      <c r="L1826" s="12">
        <v>5280</v>
      </c>
    </row>
    <row r="1827" spans="1:12" x14ac:dyDescent="0.2">
      <c r="A1827" s="11" t="s">
        <v>18</v>
      </c>
      <c r="B1827" s="12"/>
      <c r="C1827" s="12"/>
      <c r="D1827" s="12">
        <v>5500</v>
      </c>
      <c r="E1827" s="12">
        <f>E1826*1.25-900</f>
        <v>4600</v>
      </c>
      <c r="F1827" s="12">
        <f>F1826*1.25-600</f>
        <v>4900</v>
      </c>
      <c r="G1827" s="12">
        <f>G1826+E1830</f>
        <v>4597.134</v>
      </c>
      <c r="H1827" s="12">
        <f>H1826+F1830</f>
        <v>5274.0761000000002</v>
      </c>
      <c r="I1827" s="12">
        <f>I1826+G1830-100</f>
        <v>5854.6139999999996</v>
      </c>
      <c r="J1827" s="12">
        <f>J1826+0-100</f>
        <v>5180</v>
      </c>
      <c r="K1827" s="12">
        <f>1.25*I1826-100</f>
        <v>6500</v>
      </c>
      <c r="L1827" s="12">
        <f>1.25*J1826-100</f>
        <v>6500</v>
      </c>
    </row>
    <row r="1828" spans="1:12" x14ac:dyDescent="0.2">
      <c r="A1828" s="10" t="s">
        <v>19</v>
      </c>
      <c r="B1828" s="287"/>
      <c r="C1828" s="12"/>
      <c r="D1828" s="12"/>
      <c r="E1828" s="12"/>
      <c r="F1828" s="12"/>
      <c r="G1828" s="12"/>
      <c r="H1828" s="12"/>
      <c r="I1828" s="12"/>
      <c r="J1828" s="12"/>
      <c r="K1828" s="12"/>
      <c r="L1828" s="12"/>
    </row>
    <row r="1829" spans="1:12" x14ac:dyDescent="0.2">
      <c r="A1829" s="10" t="s">
        <v>20</v>
      </c>
      <c r="B1829" s="12"/>
      <c r="C1829" s="12"/>
      <c r="D1829" s="12">
        <v>2572.5</v>
      </c>
      <c r="E1829" s="12">
        <v>4402.866</v>
      </c>
      <c r="F1829" s="12">
        <v>4025.9238999999998</v>
      </c>
      <c r="G1829" s="12">
        <v>3922.52</v>
      </c>
      <c r="H1829" s="12">
        <v>5586.99</v>
      </c>
      <c r="I1829" s="12">
        <v>2670.4437000000003</v>
      </c>
      <c r="J1829" s="12">
        <v>4882.3</v>
      </c>
      <c r="K1829" s="12"/>
      <c r="L1829" s="12"/>
    </row>
    <row r="1830" spans="1:12" x14ac:dyDescent="0.2">
      <c r="A1830" s="10" t="s">
        <v>21</v>
      </c>
      <c r="B1830" s="12"/>
      <c r="C1830" s="12"/>
      <c r="D1830" s="12">
        <f t="shared" ref="D1830:J1830" si="76">D1827-D1829</f>
        <v>2927.5</v>
      </c>
      <c r="E1830" s="12">
        <f t="shared" si="76"/>
        <v>197.13400000000001</v>
      </c>
      <c r="F1830" s="12">
        <f t="shared" si="76"/>
        <v>874.07610000000022</v>
      </c>
      <c r="G1830" s="12">
        <f t="shared" si="76"/>
        <v>674.61400000000003</v>
      </c>
      <c r="H1830" s="12">
        <f t="shared" si="76"/>
        <v>-312.91389999999956</v>
      </c>
      <c r="I1830" s="12">
        <f t="shared" si="76"/>
        <v>3184.1702999999993</v>
      </c>
      <c r="J1830" s="12">
        <f t="shared" si="76"/>
        <v>297.69999999999982</v>
      </c>
      <c r="K1830" s="12"/>
      <c r="L1830" s="12"/>
    </row>
    <row r="1831" spans="1:12" x14ac:dyDescent="0.2">
      <c r="A1831" s="16" t="s">
        <v>22</v>
      </c>
      <c r="B1831" s="17"/>
      <c r="C1831" s="17"/>
      <c r="D1831" s="160">
        <v>2020</v>
      </c>
      <c r="E1831" s="160">
        <v>2021</v>
      </c>
      <c r="F1831" s="160">
        <v>2022</v>
      </c>
      <c r="G1831" s="160">
        <v>2023</v>
      </c>
      <c r="H1831" s="160">
        <v>2024</v>
      </c>
      <c r="I1831" s="160">
        <v>2025</v>
      </c>
      <c r="J1831" s="160">
        <v>2026</v>
      </c>
      <c r="K1831" s="160">
        <v>2027</v>
      </c>
      <c r="L1831" s="160">
        <v>2027</v>
      </c>
    </row>
    <row r="1832" spans="1:12" x14ac:dyDescent="0.2">
      <c r="A1832" s="16" t="s">
        <v>23</v>
      </c>
      <c r="B1832" s="46"/>
      <c r="C1832" s="46"/>
      <c r="D1832" s="179"/>
      <c r="E1832" s="179"/>
      <c r="F1832" s="179"/>
      <c r="G1832" s="180"/>
      <c r="H1832" s="180"/>
      <c r="I1832" s="180"/>
      <c r="J1832" s="180"/>
      <c r="K1832" s="180"/>
      <c r="L1832" s="180"/>
    </row>
    <row r="1833" spans="1:12" x14ac:dyDescent="0.2">
      <c r="A1833" s="18" t="s">
        <v>115</v>
      </c>
      <c r="B1833" s="19"/>
      <c r="C1833" s="19"/>
      <c r="D1833" s="19"/>
      <c r="E1833" s="19"/>
      <c r="F1833" s="19"/>
      <c r="G1833" s="19"/>
      <c r="H1833" s="19"/>
      <c r="I1833" s="19"/>
      <c r="J1833" s="19"/>
      <c r="K1833" s="19"/>
      <c r="L1833" s="63"/>
    </row>
    <row r="1834" spans="1:12" x14ac:dyDescent="0.2">
      <c r="A1834" s="39" t="s">
        <v>326</v>
      </c>
      <c r="L1834" s="64"/>
    </row>
    <row r="1835" spans="1:12" x14ac:dyDescent="0.2">
      <c r="A1835" s="39" t="s">
        <v>327</v>
      </c>
      <c r="L1835" s="64"/>
    </row>
    <row r="1836" spans="1:12" x14ac:dyDescent="0.2">
      <c r="A1836" s="39" t="s">
        <v>466</v>
      </c>
      <c r="L1836" s="64"/>
    </row>
    <row r="1837" spans="1:12" x14ac:dyDescent="0.2">
      <c r="A1837" s="39" t="s">
        <v>908</v>
      </c>
      <c r="L1837" s="64"/>
    </row>
    <row r="1838" spans="1:12" x14ac:dyDescent="0.2">
      <c r="A1838" s="39" t="s">
        <v>818</v>
      </c>
      <c r="L1838" s="64"/>
    </row>
    <row r="1839" spans="1:12" x14ac:dyDescent="0.2">
      <c r="A1839" s="39" t="s">
        <v>1066</v>
      </c>
      <c r="L1839" s="64"/>
    </row>
    <row r="1840" spans="1:12" x14ac:dyDescent="0.2">
      <c r="A1840" s="39" t="s">
        <v>1067</v>
      </c>
      <c r="L1840" s="64"/>
    </row>
    <row r="1841" spans="1:12" x14ac:dyDescent="0.2">
      <c r="A1841" s="42" t="s">
        <v>1217</v>
      </c>
      <c r="B1841" s="34"/>
      <c r="C1841" s="34"/>
      <c r="D1841" s="34"/>
      <c r="E1841" s="34"/>
      <c r="F1841" s="34"/>
      <c r="G1841" s="34"/>
      <c r="H1841" s="34"/>
      <c r="I1841" s="34"/>
      <c r="J1841" s="34"/>
      <c r="K1841" s="34"/>
      <c r="L1841" s="48"/>
    </row>
    <row r="1843" spans="1:12" x14ac:dyDescent="0.2">
      <c r="A1843" s="6" t="s">
        <v>203</v>
      </c>
      <c r="B1843" s="7" t="s">
        <v>641</v>
      </c>
      <c r="C1843" s="9" t="s">
        <v>15</v>
      </c>
    </row>
    <row r="1844" spans="1:12" x14ac:dyDescent="0.2">
      <c r="A1844" s="11" t="s">
        <v>16</v>
      </c>
      <c r="B1844" s="11"/>
      <c r="C1844" s="155">
        <v>2016</v>
      </c>
      <c r="D1844" s="155">
        <v>2017</v>
      </c>
      <c r="E1844" s="155">
        <v>2018</v>
      </c>
      <c r="F1844" s="155">
        <v>2019</v>
      </c>
      <c r="G1844" s="155">
        <v>2020</v>
      </c>
      <c r="H1844" s="155">
        <v>2021</v>
      </c>
      <c r="I1844" s="155">
        <v>2022</v>
      </c>
      <c r="J1844" s="155">
        <v>2023</v>
      </c>
      <c r="K1844" s="155">
        <v>2024</v>
      </c>
    </row>
    <row r="1845" spans="1:12" x14ac:dyDescent="0.2">
      <c r="A1845" s="11" t="s">
        <v>17</v>
      </c>
      <c r="B1845" s="12"/>
      <c r="C1845" s="12">
        <v>1001</v>
      </c>
      <c r="D1845" s="12">
        <v>1001</v>
      </c>
      <c r="E1845" s="12">
        <v>1001</v>
      </c>
      <c r="F1845" s="12">
        <v>1001</v>
      </c>
      <c r="G1845" s="12">
        <v>1001</v>
      </c>
      <c r="H1845" s="12">
        <v>1001</v>
      </c>
      <c r="I1845" s="12">
        <v>1001</v>
      </c>
      <c r="J1845" s="12">
        <v>1001</v>
      </c>
      <c r="K1845" s="12">
        <v>1001</v>
      </c>
    </row>
    <row r="1846" spans="1:12" x14ac:dyDescent="0.2">
      <c r="A1846" s="11" t="s">
        <v>18</v>
      </c>
      <c r="B1846" s="12"/>
      <c r="C1846" s="12">
        <f>C1845*1.3-50</f>
        <v>1251.3</v>
      </c>
      <c r="D1846" s="12">
        <f>D1845*1.3-50</f>
        <v>1251.3</v>
      </c>
      <c r="E1846" s="12">
        <f>E1845*1.2-50</f>
        <v>1151.2</v>
      </c>
      <c r="F1846" s="12">
        <f>F1845*1.2-50</f>
        <v>1151.2</v>
      </c>
      <c r="G1846" s="12">
        <f>G1845*1.2-50</f>
        <v>1151.2</v>
      </c>
      <c r="H1846" s="12">
        <f>H1845*1.2-50</f>
        <v>1151.2</v>
      </c>
      <c r="I1846" s="12">
        <f>I1845*1.2-50</f>
        <v>1151.2</v>
      </c>
      <c r="J1846" s="12">
        <f>J1845*1.1-50</f>
        <v>1051.1000000000001</v>
      </c>
      <c r="K1846" s="12">
        <f>K1845*1.1-50</f>
        <v>1051.1000000000001</v>
      </c>
    </row>
    <row r="1847" spans="1:12" x14ac:dyDescent="0.2">
      <c r="A1847" s="10" t="s">
        <v>19</v>
      </c>
      <c r="B1847" s="287"/>
      <c r="C1847" s="505" t="s">
        <v>467</v>
      </c>
      <c r="D1847" s="505" t="s">
        <v>467</v>
      </c>
      <c r="E1847" s="505" t="s">
        <v>468</v>
      </c>
      <c r="F1847" s="505" t="s">
        <v>468</v>
      </c>
      <c r="G1847" s="505" t="s">
        <v>468</v>
      </c>
      <c r="H1847" s="505" t="s">
        <v>468</v>
      </c>
      <c r="I1847" s="505" t="s">
        <v>468</v>
      </c>
      <c r="J1847" s="505" t="s">
        <v>1068</v>
      </c>
      <c r="K1847" s="505" t="s">
        <v>1068</v>
      </c>
    </row>
    <row r="1848" spans="1:12" x14ac:dyDescent="0.2">
      <c r="A1848" s="10" t="s">
        <v>20</v>
      </c>
      <c r="B1848" s="12"/>
      <c r="C1848" s="12">
        <v>124.4</v>
      </c>
      <c r="D1848" s="12">
        <v>159</v>
      </c>
      <c r="E1848" s="12">
        <v>188.7</v>
      </c>
      <c r="F1848" s="12">
        <v>288.56359999999995</v>
      </c>
      <c r="G1848" s="12">
        <v>149.46553</v>
      </c>
      <c r="H1848" s="11">
        <v>228.99</v>
      </c>
      <c r="I1848" s="11">
        <v>160.58000000000001</v>
      </c>
      <c r="J1848" s="11">
        <v>291.24200000000002</v>
      </c>
      <c r="K1848" s="11">
        <v>291.10000000000002</v>
      </c>
    </row>
    <row r="1849" spans="1:12" x14ac:dyDescent="0.2">
      <c r="A1849" s="10" t="s">
        <v>21</v>
      </c>
      <c r="B1849" s="12"/>
      <c r="C1849" s="12">
        <f t="shared" ref="C1849:K1849" si="77">C1846-C1848</f>
        <v>1126.8999999999999</v>
      </c>
      <c r="D1849" s="12">
        <f t="shared" si="77"/>
        <v>1092.3</v>
      </c>
      <c r="E1849" s="12">
        <f t="shared" si="77"/>
        <v>962.5</v>
      </c>
      <c r="F1849" s="12">
        <f t="shared" si="77"/>
        <v>862.63640000000009</v>
      </c>
      <c r="G1849" s="12">
        <f t="shared" si="77"/>
        <v>1001.7344700000001</v>
      </c>
      <c r="H1849" s="12">
        <f t="shared" si="77"/>
        <v>922.21</v>
      </c>
      <c r="I1849" s="12">
        <f t="shared" si="77"/>
        <v>990.62</v>
      </c>
      <c r="J1849" s="12">
        <f t="shared" si="77"/>
        <v>759.85800000000017</v>
      </c>
      <c r="K1849" s="12">
        <f t="shared" si="77"/>
        <v>760.00000000000011</v>
      </c>
    </row>
    <row r="1850" spans="1:12" x14ac:dyDescent="0.2">
      <c r="A1850" s="16" t="s">
        <v>22</v>
      </c>
      <c r="B1850" s="17"/>
      <c r="C1850" s="160">
        <v>2018</v>
      </c>
      <c r="D1850" s="160">
        <v>2019</v>
      </c>
      <c r="E1850" s="160">
        <v>2020</v>
      </c>
      <c r="F1850" s="160">
        <v>2021</v>
      </c>
      <c r="G1850" s="160">
        <v>2022</v>
      </c>
      <c r="H1850" s="160">
        <v>2023</v>
      </c>
      <c r="I1850" s="160">
        <v>2024</v>
      </c>
      <c r="J1850" s="160">
        <v>2025</v>
      </c>
      <c r="K1850" s="160">
        <v>2026</v>
      </c>
    </row>
    <row r="1851" spans="1:12" x14ac:dyDescent="0.2">
      <c r="A1851" s="17" t="s">
        <v>23</v>
      </c>
      <c r="B1851" s="16"/>
      <c r="C1851" s="46"/>
      <c r="D1851" s="46"/>
      <c r="E1851" s="46"/>
      <c r="F1851" s="46"/>
      <c r="G1851" s="46"/>
      <c r="H1851" s="47"/>
      <c r="I1851" s="47"/>
      <c r="J1851" s="47"/>
      <c r="K1851" s="47"/>
    </row>
    <row r="1852" spans="1:12" x14ac:dyDescent="0.2">
      <c r="A1852" s="76" t="s">
        <v>455</v>
      </c>
      <c r="B1852" s="77"/>
      <c r="C1852" s="77"/>
      <c r="D1852" s="77"/>
      <c r="E1852" s="77"/>
      <c r="F1852" s="75"/>
      <c r="G1852" s="75"/>
      <c r="H1852" s="46"/>
      <c r="I1852" s="46"/>
      <c r="J1852" s="47"/>
      <c r="K1852" s="47"/>
    </row>
    <row r="1853" spans="1:12" x14ac:dyDescent="0.2">
      <c r="A1853" s="39" t="s">
        <v>454</v>
      </c>
      <c r="J1853" s="64"/>
      <c r="K1853" s="64"/>
    </row>
    <row r="1854" spans="1:12" x14ac:dyDescent="0.2">
      <c r="A1854" s="39" t="s">
        <v>837</v>
      </c>
      <c r="J1854" s="64"/>
      <c r="K1854" s="64"/>
    </row>
    <row r="1855" spans="1:12" x14ac:dyDescent="0.2">
      <c r="A1855" s="41" t="s">
        <v>1218</v>
      </c>
      <c r="B1855" s="34"/>
      <c r="C1855" s="34"/>
      <c r="D1855" s="34"/>
      <c r="E1855" s="34"/>
      <c r="F1855" s="34"/>
      <c r="G1855" s="34"/>
      <c r="H1855" s="34"/>
      <c r="I1855" s="34"/>
      <c r="J1855" s="48"/>
      <c r="K1855" s="48"/>
    </row>
    <row r="1858" spans="1:12" x14ac:dyDescent="0.2">
      <c r="A1858" s="6" t="s">
        <v>12</v>
      </c>
      <c r="B1858" s="7" t="s">
        <v>13</v>
      </c>
    </row>
    <row r="1859" spans="1:12" x14ac:dyDescent="0.2">
      <c r="A1859" s="6" t="s">
        <v>14</v>
      </c>
      <c r="B1859" s="7" t="s">
        <v>642</v>
      </c>
      <c r="C1859" s="9" t="s">
        <v>15</v>
      </c>
    </row>
    <row r="1860" spans="1:12" x14ac:dyDescent="0.2">
      <c r="A1860" s="10" t="s">
        <v>16</v>
      </c>
      <c r="B1860" s="11"/>
      <c r="C1860" s="534">
        <v>2016</v>
      </c>
      <c r="D1860" s="535">
        <v>2017</v>
      </c>
      <c r="E1860" s="534">
        <v>2018</v>
      </c>
      <c r="F1860" s="536">
        <v>2019</v>
      </c>
      <c r="G1860" s="536">
        <v>2020</v>
      </c>
      <c r="H1860" s="536">
        <v>2021</v>
      </c>
      <c r="I1860" s="536">
        <v>2022</v>
      </c>
      <c r="J1860" s="536">
        <v>2023</v>
      </c>
      <c r="K1860" s="536">
        <v>2024</v>
      </c>
      <c r="L1860" s="536">
        <v>2025</v>
      </c>
    </row>
    <row r="1861" spans="1:12" x14ac:dyDescent="0.2">
      <c r="A1861" s="10" t="s">
        <v>17</v>
      </c>
      <c r="B1861" s="11"/>
      <c r="C1861" s="12">
        <v>47.4</v>
      </c>
      <c r="D1861" s="189">
        <v>56.91</v>
      </c>
      <c r="E1861" s="12">
        <v>66</v>
      </c>
      <c r="F1861" s="190">
        <v>73</v>
      </c>
      <c r="G1861" s="190">
        <v>80</v>
      </c>
      <c r="H1861" s="190">
        <v>80</v>
      </c>
      <c r="I1861" s="190">
        <v>80</v>
      </c>
      <c r="J1861" s="190">
        <v>129</v>
      </c>
      <c r="K1861" s="190">
        <v>129</v>
      </c>
      <c r="L1861" s="190">
        <v>129</v>
      </c>
    </row>
    <row r="1862" spans="1:12" x14ac:dyDescent="0.2">
      <c r="A1862" s="10" t="s">
        <v>18</v>
      </c>
      <c r="B1862" s="11"/>
      <c r="C1862" s="12">
        <v>47.4</v>
      </c>
      <c r="D1862" s="189">
        <v>56.91</v>
      </c>
      <c r="E1862" s="12">
        <v>66</v>
      </c>
      <c r="F1862" s="190">
        <v>73</v>
      </c>
      <c r="G1862" s="190">
        <v>80</v>
      </c>
      <c r="H1862" s="190">
        <v>0.8</v>
      </c>
      <c r="I1862" s="190">
        <v>80</v>
      </c>
      <c r="J1862" s="190">
        <v>1</v>
      </c>
      <c r="K1862" s="190">
        <v>1</v>
      </c>
      <c r="L1862" s="190">
        <v>1</v>
      </c>
    </row>
    <row r="1863" spans="1:12" x14ac:dyDescent="0.2">
      <c r="A1863" s="10" t="s">
        <v>19</v>
      </c>
      <c r="B1863" s="11"/>
      <c r="C1863" s="12"/>
      <c r="D1863" s="189"/>
      <c r="E1863" s="12"/>
      <c r="F1863" s="190"/>
      <c r="G1863" s="190"/>
      <c r="H1863" s="537" t="s">
        <v>543</v>
      </c>
      <c r="I1863" s="537"/>
      <c r="J1863" s="537" t="s">
        <v>544</v>
      </c>
      <c r="K1863" s="537" t="s">
        <v>545</v>
      </c>
      <c r="L1863" s="537" t="s">
        <v>548</v>
      </c>
    </row>
    <row r="1864" spans="1:12" x14ac:dyDescent="0.2">
      <c r="A1864" s="10" t="s">
        <v>20</v>
      </c>
      <c r="B1864" s="11"/>
      <c r="C1864" s="12">
        <v>47.393000000000001</v>
      </c>
      <c r="D1864" s="189">
        <v>56.905999999999999</v>
      </c>
      <c r="E1864" s="12">
        <v>66</v>
      </c>
      <c r="F1864" s="190">
        <v>71.97</v>
      </c>
      <c r="G1864" s="190">
        <v>79.2</v>
      </c>
      <c r="H1864" s="190"/>
      <c r="I1864" s="190">
        <v>79.2</v>
      </c>
      <c r="J1864" s="190"/>
      <c r="K1864" s="190">
        <v>0</v>
      </c>
      <c r="L1864" s="190"/>
    </row>
    <row r="1865" spans="1:12" x14ac:dyDescent="0.2">
      <c r="A1865" s="10" t="s">
        <v>21</v>
      </c>
      <c r="B1865" s="11"/>
      <c r="C1865" s="12">
        <f>C1862-C1864</f>
        <v>6.9999999999978968E-3</v>
      </c>
      <c r="D1865" s="12">
        <f>D1862-D1864</f>
        <v>3.9999999999977831E-3</v>
      </c>
      <c r="E1865" s="12">
        <f>E1862-E1864</f>
        <v>0</v>
      </c>
      <c r="F1865" s="12">
        <f>F1862-F1864</f>
        <v>1.0300000000000011</v>
      </c>
      <c r="G1865" s="190">
        <f>G1862-G1864</f>
        <v>0.79999999999999716</v>
      </c>
      <c r="H1865" s="190"/>
      <c r="I1865" s="190">
        <v>0.79999999999999716</v>
      </c>
      <c r="J1865" s="190">
        <v>0</v>
      </c>
      <c r="K1865" s="190">
        <f>K1862-K1864</f>
        <v>1</v>
      </c>
      <c r="L1865" s="190"/>
    </row>
    <row r="1866" spans="1:12" x14ac:dyDescent="0.2">
      <c r="A1866" s="16" t="s">
        <v>22</v>
      </c>
      <c r="B1866" s="17"/>
      <c r="C1866" s="17"/>
      <c r="D1866" s="46"/>
      <c r="E1866" s="17"/>
      <c r="F1866" s="47"/>
      <c r="G1866" s="17"/>
      <c r="H1866" s="17"/>
      <c r="I1866" s="17"/>
      <c r="J1866" s="17"/>
      <c r="K1866" s="17">
        <v>2025</v>
      </c>
      <c r="L1866" s="17">
        <v>2026</v>
      </c>
    </row>
    <row r="1867" spans="1:12" x14ac:dyDescent="0.2">
      <c r="A1867" s="16" t="s">
        <v>23</v>
      </c>
      <c r="B1867" s="46"/>
      <c r="C1867" s="46"/>
      <c r="D1867" s="46"/>
      <c r="E1867" s="46"/>
      <c r="F1867" s="46"/>
      <c r="G1867" s="46"/>
      <c r="H1867" s="46"/>
      <c r="I1867" s="47"/>
      <c r="J1867" s="47"/>
      <c r="K1867" s="47"/>
    </row>
    <row r="1868" spans="1:12" x14ac:dyDescent="0.2">
      <c r="A1868" s="16" t="s">
        <v>956</v>
      </c>
      <c r="B1868" s="46"/>
      <c r="C1868" s="46"/>
      <c r="D1868" s="46"/>
      <c r="E1868" s="46"/>
      <c r="F1868" s="46"/>
      <c r="G1868" s="46"/>
      <c r="H1868" s="46"/>
      <c r="I1868" s="46"/>
      <c r="J1868" s="46"/>
      <c r="K1868" s="47"/>
    </row>
    <row r="1869" spans="1:12" x14ac:dyDescent="0.2">
      <c r="A1869" s="39" t="s">
        <v>957</v>
      </c>
      <c r="K1869" s="64"/>
    </row>
    <row r="1870" spans="1:12" x14ac:dyDescent="0.2">
      <c r="A1870" s="41" t="s">
        <v>958</v>
      </c>
      <c r="B1870" s="34"/>
      <c r="C1870" s="34"/>
      <c r="D1870" s="34"/>
      <c r="E1870" s="34"/>
      <c r="F1870" s="34"/>
      <c r="G1870" s="34"/>
      <c r="H1870" s="34"/>
      <c r="I1870" s="34"/>
      <c r="J1870" s="34"/>
      <c r="K1870" s="48"/>
    </row>
    <row r="1873" spans="1:12" x14ac:dyDescent="0.2">
      <c r="A1873" s="6" t="s">
        <v>12</v>
      </c>
      <c r="B1873" s="7" t="s">
        <v>172</v>
      </c>
    </row>
    <row r="1874" spans="1:12" x14ac:dyDescent="0.2">
      <c r="A1874" s="6" t="s">
        <v>14</v>
      </c>
      <c r="B1874" s="538" t="s">
        <v>623</v>
      </c>
      <c r="C1874" s="539" t="s">
        <v>15</v>
      </c>
    </row>
    <row r="1875" spans="1:12" x14ac:dyDescent="0.2">
      <c r="A1875" s="10" t="s">
        <v>16</v>
      </c>
      <c r="B1875" s="11"/>
      <c r="C1875" s="11"/>
      <c r="D1875" s="11"/>
      <c r="E1875" s="11"/>
      <c r="F1875" s="155">
        <v>2018</v>
      </c>
      <c r="G1875" s="155">
        <v>2019</v>
      </c>
      <c r="H1875" s="155">
        <v>2020</v>
      </c>
      <c r="I1875" s="155">
        <v>2021</v>
      </c>
      <c r="J1875" s="155">
        <v>2022</v>
      </c>
      <c r="K1875" s="155">
        <v>2023</v>
      </c>
      <c r="L1875" s="155">
        <v>2024</v>
      </c>
    </row>
    <row r="1876" spans="1:12" x14ac:dyDescent="0.2">
      <c r="A1876" s="10" t="s">
        <v>17</v>
      </c>
      <c r="B1876" s="11"/>
      <c r="C1876" s="12"/>
      <c r="D1876" s="12"/>
      <c r="E1876" s="12"/>
      <c r="F1876" s="12">
        <v>125</v>
      </c>
      <c r="G1876" s="12">
        <v>125</v>
      </c>
      <c r="H1876" s="12">
        <v>125</v>
      </c>
      <c r="I1876" s="12">
        <v>125</v>
      </c>
      <c r="J1876" s="12">
        <v>125</v>
      </c>
      <c r="K1876" s="12">
        <v>125</v>
      </c>
      <c r="L1876" s="12">
        <v>125</v>
      </c>
    </row>
    <row r="1877" spans="1:12" x14ac:dyDescent="0.2">
      <c r="A1877" s="10" t="s">
        <v>18</v>
      </c>
      <c r="B1877" s="11"/>
      <c r="C1877" s="12"/>
      <c r="D1877" s="12"/>
      <c r="E1877" s="12"/>
      <c r="F1877" s="12">
        <v>100</v>
      </c>
      <c r="G1877" s="12">
        <v>100</v>
      </c>
      <c r="H1877" s="12">
        <f>H1876*1.4-100</f>
        <v>75</v>
      </c>
      <c r="I1877" s="12">
        <v>75</v>
      </c>
      <c r="J1877" s="12">
        <v>75</v>
      </c>
      <c r="K1877" s="12">
        <v>75</v>
      </c>
      <c r="L1877" s="12">
        <v>75</v>
      </c>
    </row>
    <row r="1878" spans="1:12" x14ac:dyDescent="0.2">
      <c r="A1878" s="10" t="s">
        <v>19</v>
      </c>
      <c r="B1878" s="11"/>
      <c r="C1878" s="12"/>
      <c r="D1878" s="12"/>
      <c r="E1878" s="12"/>
      <c r="F1878" s="12">
        <f>F1876*1.4-(75)</f>
        <v>100</v>
      </c>
      <c r="G1878" s="12">
        <f>G1876*1.4-(75)</f>
        <v>100</v>
      </c>
      <c r="H1878" s="12">
        <v>75</v>
      </c>
      <c r="I1878" s="12">
        <v>75</v>
      </c>
      <c r="J1878" s="12">
        <v>75</v>
      </c>
      <c r="K1878" s="12">
        <v>75</v>
      </c>
      <c r="L1878" s="12">
        <f>L1876+0.4*K1876-75-25</f>
        <v>75</v>
      </c>
    </row>
    <row r="1879" spans="1:12" x14ac:dyDescent="0.2">
      <c r="A1879" s="10" t="s">
        <v>20</v>
      </c>
      <c r="B1879" s="11"/>
      <c r="C1879" s="12"/>
      <c r="D1879" s="12"/>
      <c r="E1879" s="12"/>
      <c r="F1879" s="12">
        <v>3</v>
      </c>
      <c r="G1879" s="12">
        <v>5.91</v>
      </c>
      <c r="H1879" s="12">
        <v>7.76</v>
      </c>
      <c r="I1879" s="12">
        <v>6.2</v>
      </c>
      <c r="J1879" s="12">
        <v>6.06</v>
      </c>
      <c r="K1879" s="12">
        <v>0.95</v>
      </c>
      <c r="L1879" s="12"/>
    </row>
    <row r="1880" spans="1:12" x14ac:dyDescent="0.2">
      <c r="A1880" s="10" t="s">
        <v>21</v>
      </c>
      <c r="B1880" s="11"/>
      <c r="C1880" s="12"/>
      <c r="D1880" s="12"/>
      <c r="E1880" s="12"/>
      <c r="F1880" s="12">
        <f>F1877-F1879</f>
        <v>97</v>
      </c>
      <c r="G1880" s="12">
        <f>G1877-G1879</f>
        <v>94.09</v>
      </c>
      <c r="H1880" s="12">
        <v>67.239999999999995</v>
      </c>
      <c r="I1880" s="12">
        <f>I1877-I1879</f>
        <v>68.8</v>
      </c>
      <c r="J1880" s="12">
        <f>J1877-J1879</f>
        <v>68.94</v>
      </c>
      <c r="K1880" s="12">
        <f>K1877-K1879</f>
        <v>74.05</v>
      </c>
      <c r="L1880" s="12"/>
    </row>
    <row r="1881" spans="1:12" x14ac:dyDescent="0.2">
      <c r="A1881" s="16" t="s">
        <v>22</v>
      </c>
      <c r="B1881" s="17"/>
      <c r="C1881" s="17"/>
      <c r="D1881" s="17"/>
      <c r="E1881" s="17"/>
      <c r="F1881" s="160">
        <v>2019</v>
      </c>
      <c r="G1881" s="160">
        <v>2020</v>
      </c>
      <c r="H1881" s="160">
        <v>2021</v>
      </c>
      <c r="I1881" s="160">
        <v>2022</v>
      </c>
      <c r="J1881" s="160">
        <v>2023</v>
      </c>
      <c r="K1881" s="160">
        <v>2024</v>
      </c>
      <c r="L1881" s="160">
        <v>2025</v>
      </c>
    </row>
    <row r="1882" spans="1:12" ht="25.9" customHeight="1" x14ac:dyDescent="0.2">
      <c r="A1882" s="540" t="s">
        <v>662</v>
      </c>
      <c r="B1882" s="336"/>
      <c r="C1882" s="336"/>
      <c r="D1882" s="336"/>
      <c r="E1882" s="336"/>
      <c r="F1882" s="336"/>
      <c r="G1882" s="336"/>
      <c r="H1882" s="336"/>
      <c r="I1882" s="336"/>
      <c r="J1882" s="46"/>
      <c r="K1882" s="46"/>
      <c r="L1882" s="47"/>
    </row>
    <row r="1883" spans="1:12" ht="34.15" customHeight="1" x14ac:dyDescent="0.2">
      <c r="A1883" s="162" t="s">
        <v>260</v>
      </c>
      <c r="B1883" s="4"/>
      <c r="C1883" s="4"/>
      <c r="D1883" s="4"/>
      <c r="E1883" s="4"/>
      <c r="F1883" s="4"/>
      <c r="G1883" s="4"/>
      <c r="H1883" s="4"/>
      <c r="I1883" s="4"/>
      <c r="L1883" s="64"/>
    </row>
    <row r="1884" spans="1:12" ht="27.6" customHeight="1" x14ac:dyDescent="0.2">
      <c r="A1884" s="162" t="s">
        <v>521</v>
      </c>
      <c r="B1884" s="4"/>
      <c r="C1884" s="4"/>
      <c r="D1884" s="4"/>
      <c r="E1884" s="4"/>
      <c r="F1884" s="4"/>
      <c r="G1884" s="4"/>
      <c r="H1884" s="4"/>
      <c r="I1884" s="4"/>
      <c r="L1884" s="64"/>
    </row>
    <row r="1885" spans="1:12" ht="27.6" customHeight="1" x14ac:dyDescent="0.2">
      <c r="A1885" s="162" t="s">
        <v>522</v>
      </c>
      <c r="B1885" s="4"/>
      <c r="C1885" s="4"/>
      <c r="D1885" s="4"/>
      <c r="E1885" s="4"/>
      <c r="F1885" s="4"/>
      <c r="G1885" s="4"/>
      <c r="H1885" s="4"/>
      <c r="I1885" s="4"/>
      <c r="L1885" s="64"/>
    </row>
    <row r="1886" spans="1:12" ht="27.6" customHeight="1" x14ac:dyDescent="0.2">
      <c r="A1886" s="162" t="s">
        <v>661</v>
      </c>
      <c r="L1886" s="64"/>
    </row>
    <row r="1887" spans="1:12" ht="27.6" customHeight="1" x14ac:dyDescent="0.2">
      <c r="A1887" s="162" t="s">
        <v>849</v>
      </c>
      <c r="L1887" s="64"/>
    </row>
    <row r="1888" spans="1:12" ht="30" customHeight="1" x14ac:dyDescent="0.2">
      <c r="A1888" s="246" t="s">
        <v>1071</v>
      </c>
      <c r="B1888" s="34"/>
      <c r="C1888" s="34"/>
      <c r="D1888" s="34"/>
      <c r="E1888" s="34"/>
      <c r="F1888" s="34"/>
      <c r="G1888" s="34"/>
      <c r="H1888" s="34"/>
      <c r="I1888" s="34"/>
      <c r="J1888" s="34"/>
      <c r="K1888" s="34"/>
      <c r="L1888" s="48"/>
    </row>
    <row r="1890" spans="1:12" x14ac:dyDescent="0.2">
      <c r="A1890" s="6" t="s">
        <v>14</v>
      </c>
      <c r="B1890" s="498" t="s">
        <v>74</v>
      </c>
      <c r="C1890" s="7" t="s">
        <v>15</v>
      </c>
    </row>
    <row r="1891" spans="1:12" x14ac:dyDescent="0.2">
      <c r="A1891" s="41" t="s">
        <v>16</v>
      </c>
      <c r="B1891" s="494"/>
      <c r="C1891" s="155">
        <v>2015</v>
      </c>
      <c r="D1891" s="155">
        <v>2016</v>
      </c>
      <c r="E1891" s="155">
        <v>2017</v>
      </c>
      <c r="F1891" s="155">
        <v>2018</v>
      </c>
      <c r="G1891" s="155">
        <v>2019</v>
      </c>
      <c r="H1891" s="155">
        <v>2020</v>
      </c>
      <c r="I1891" s="155">
        <v>2021</v>
      </c>
      <c r="J1891" s="155">
        <v>2022</v>
      </c>
      <c r="K1891" s="155">
        <v>2023</v>
      </c>
      <c r="L1891" s="155">
        <v>2024</v>
      </c>
    </row>
    <row r="1892" spans="1:12" x14ac:dyDescent="0.2">
      <c r="A1892" s="10" t="s">
        <v>17</v>
      </c>
      <c r="B1892" s="278"/>
      <c r="C1892" s="278">
        <v>20</v>
      </c>
      <c r="D1892" s="278">
        <v>20</v>
      </c>
      <c r="E1892" s="278">
        <v>20</v>
      </c>
      <c r="F1892" s="278">
        <v>20</v>
      </c>
      <c r="G1892" s="278">
        <v>20</v>
      </c>
      <c r="H1892" s="301">
        <v>16.8</v>
      </c>
      <c r="I1892" s="11">
        <v>16.8</v>
      </c>
      <c r="J1892" s="11">
        <v>16.8</v>
      </c>
      <c r="K1892" s="11">
        <v>16.8</v>
      </c>
      <c r="L1892" s="11">
        <v>16.8</v>
      </c>
    </row>
    <row r="1893" spans="1:12" x14ac:dyDescent="0.2">
      <c r="A1893" s="10" t="s">
        <v>18</v>
      </c>
      <c r="B1893" s="278"/>
      <c r="C1893" s="278"/>
      <c r="D1893" s="278">
        <v>-64.900000000000006</v>
      </c>
      <c r="E1893" s="278">
        <v>-63.600000000000009</v>
      </c>
      <c r="F1893" s="278">
        <v>-43.600000000000009</v>
      </c>
      <c r="G1893" s="278">
        <v>-23.600000000000009</v>
      </c>
      <c r="H1893" s="278">
        <f>G1896+H1892+2</f>
        <v>-4.8000000000000078</v>
      </c>
      <c r="I1893" s="12">
        <f>I1892+H1896+2</f>
        <v>13.999999999999993</v>
      </c>
      <c r="J1893" s="12">
        <f>J1892+2</f>
        <v>18.8</v>
      </c>
      <c r="K1893" s="12">
        <f>K1892+2</f>
        <v>18.8</v>
      </c>
      <c r="L1893" s="12">
        <f>L1892+2</f>
        <v>18.8</v>
      </c>
    </row>
    <row r="1894" spans="1:12" x14ac:dyDescent="0.2">
      <c r="A1894" s="10" t="s">
        <v>19</v>
      </c>
      <c r="B1894" s="279"/>
      <c r="C1894" s="279"/>
      <c r="D1894" s="294">
        <v>1</v>
      </c>
      <c r="E1894" s="294">
        <v>2</v>
      </c>
      <c r="F1894" s="294">
        <v>3</v>
      </c>
      <c r="G1894" s="294">
        <v>4</v>
      </c>
      <c r="H1894" s="294">
        <v>5</v>
      </c>
      <c r="I1894" s="198">
        <v>6</v>
      </c>
      <c r="J1894" s="198">
        <v>7</v>
      </c>
      <c r="K1894" s="198">
        <v>8</v>
      </c>
      <c r="L1894" s="198">
        <v>9</v>
      </c>
    </row>
    <row r="1895" spans="1:12" x14ac:dyDescent="0.2">
      <c r="A1895" s="10" t="s">
        <v>20</v>
      </c>
      <c r="B1895" s="12"/>
      <c r="C1895" s="12">
        <v>34.9</v>
      </c>
      <c r="D1895" s="12">
        <v>18.7</v>
      </c>
      <c r="E1895" s="12">
        <v>0</v>
      </c>
      <c r="F1895" s="12">
        <v>0</v>
      </c>
      <c r="G1895" s="12">
        <v>0</v>
      </c>
      <c r="H1895" s="12">
        <v>0</v>
      </c>
      <c r="I1895" s="11">
        <v>0.6</v>
      </c>
      <c r="J1895" s="11">
        <v>0</v>
      </c>
      <c r="K1895" s="11">
        <v>0</v>
      </c>
      <c r="L1895" s="11"/>
    </row>
    <row r="1896" spans="1:12" x14ac:dyDescent="0.2">
      <c r="A1896" s="10" t="s">
        <v>21</v>
      </c>
      <c r="B1896" s="12"/>
      <c r="C1896" s="12">
        <v>-84.9</v>
      </c>
      <c r="D1896" s="12">
        <v>-83.600000000000009</v>
      </c>
      <c r="E1896" s="12">
        <v>-63.600000000000009</v>
      </c>
      <c r="F1896" s="12">
        <v>-43.600000000000009</v>
      </c>
      <c r="G1896" s="12">
        <f>G1893-G1895</f>
        <v>-23.600000000000009</v>
      </c>
      <c r="H1896" s="12">
        <f>H1893-H1895</f>
        <v>-4.8000000000000078</v>
      </c>
      <c r="I1896" s="12">
        <f>I1893-I1895</f>
        <v>13.399999999999993</v>
      </c>
      <c r="J1896" s="12">
        <f>J1893-J1895</f>
        <v>18.8</v>
      </c>
      <c r="K1896" s="12">
        <f>K1893-K1895</f>
        <v>18.8</v>
      </c>
      <c r="L1896" s="11"/>
    </row>
    <row r="1897" spans="1:12" x14ac:dyDescent="0.2">
      <c r="A1897" s="16" t="s">
        <v>22</v>
      </c>
      <c r="B1897" s="539"/>
      <c r="C1897" s="160">
        <v>2016</v>
      </c>
      <c r="D1897" s="160">
        <v>2017</v>
      </c>
      <c r="E1897" s="160">
        <v>2018</v>
      </c>
      <c r="F1897" s="160">
        <v>2019</v>
      </c>
      <c r="G1897" s="160">
        <v>2020</v>
      </c>
      <c r="H1897" s="160">
        <v>2021</v>
      </c>
      <c r="I1897" s="160">
        <v>2022</v>
      </c>
      <c r="J1897" s="160"/>
      <c r="K1897" s="160"/>
      <c r="L1897" s="160"/>
    </row>
    <row r="1898" spans="1:12" x14ac:dyDescent="0.2">
      <c r="A1898" s="16" t="s">
        <v>523</v>
      </c>
      <c r="B1898" s="541"/>
      <c r="C1898" s="541"/>
      <c r="D1898" s="541"/>
      <c r="E1898" s="541"/>
      <c r="F1898" s="542"/>
      <c r="G1898" s="542"/>
      <c r="H1898" s="542"/>
      <c r="I1898" s="46"/>
      <c r="J1898" s="46"/>
      <c r="K1898" s="46"/>
      <c r="L1898" s="47"/>
    </row>
    <row r="1899" spans="1:12" x14ac:dyDescent="0.2">
      <c r="A1899" s="39" t="s">
        <v>524</v>
      </c>
      <c r="B1899" s="2"/>
      <c r="C1899" s="2"/>
      <c r="D1899" s="2"/>
      <c r="E1899" s="2"/>
      <c r="F1899" s="543"/>
      <c r="G1899" s="543"/>
      <c r="H1899" s="543"/>
      <c r="L1899" s="64"/>
    </row>
    <row r="1900" spans="1:12" x14ac:dyDescent="0.2">
      <c r="A1900" s="39" t="s">
        <v>525</v>
      </c>
      <c r="B1900" s="2"/>
      <c r="C1900" s="2"/>
      <c r="D1900" s="2"/>
      <c r="E1900" s="2"/>
      <c r="F1900" s="543"/>
      <c r="G1900" s="543"/>
      <c r="H1900" s="543"/>
      <c r="L1900" s="64"/>
    </row>
    <row r="1901" spans="1:12" x14ac:dyDescent="0.2">
      <c r="A1901" s="39" t="s">
        <v>526</v>
      </c>
      <c r="B1901" s="2"/>
      <c r="C1901" s="2"/>
      <c r="D1901" s="2"/>
      <c r="E1901" s="2"/>
      <c r="F1901" s="543"/>
      <c r="G1901" s="543"/>
      <c r="H1901" s="543"/>
      <c r="L1901" s="64"/>
    </row>
    <row r="1902" spans="1:12" x14ac:dyDescent="0.2">
      <c r="A1902" s="39" t="s">
        <v>527</v>
      </c>
      <c r="B1902" s="2"/>
      <c r="C1902" s="2"/>
      <c r="D1902" s="2"/>
      <c r="E1902" s="2"/>
      <c r="F1902" s="543"/>
      <c r="G1902" s="543"/>
      <c r="H1902" s="543"/>
      <c r="L1902" s="64"/>
    </row>
    <row r="1903" spans="1:12" x14ac:dyDescent="0.2">
      <c r="A1903" s="39" t="s">
        <v>664</v>
      </c>
      <c r="B1903" s="2"/>
      <c r="C1903" s="2"/>
      <c r="D1903" s="2"/>
      <c r="E1903" s="2"/>
      <c r="F1903" s="543"/>
      <c r="G1903" s="543"/>
      <c r="H1903" s="543"/>
      <c r="L1903" s="64"/>
    </row>
    <row r="1904" spans="1:12" x14ac:dyDescent="0.2">
      <c r="A1904" s="39" t="s">
        <v>663</v>
      </c>
      <c r="B1904" s="2"/>
      <c r="C1904" s="2"/>
      <c r="D1904" s="2"/>
      <c r="E1904" s="2"/>
      <c r="F1904" s="543"/>
      <c r="G1904" s="543"/>
      <c r="H1904" s="543"/>
      <c r="L1904" s="64"/>
    </row>
    <row r="1905" spans="1:12" x14ac:dyDescent="0.2">
      <c r="A1905" s="39" t="s">
        <v>850</v>
      </c>
      <c r="B1905" s="2"/>
      <c r="C1905" s="2"/>
      <c r="D1905" s="2"/>
      <c r="E1905" s="2"/>
      <c r="F1905" s="543"/>
      <c r="G1905" s="543"/>
      <c r="H1905" s="543"/>
      <c r="L1905" s="64"/>
    </row>
    <row r="1906" spans="1:12" x14ac:dyDescent="0.2">
      <c r="A1906" s="41" t="s">
        <v>1073</v>
      </c>
      <c r="B1906" s="33"/>
      <c r="C1906" s="33"/>
      <c r="D1906" s="33"/>
      <c r="E1906" s="33"/>
      <c r="F1906" s="544"/>
      <c r="G1906" s="544"/>
      <c r="H1906" s="544"/>
      <c r="I1906" s="34"/>
      <c r="J1906" s="34"/>
      <c r="K1906" s="34"/>
      <c r="L1906" s="48"/>
    </row>
    <row r="1908" spans="1:12" x14ac:dyDescent="0.2">
      <c r="A1908" s="6" t="s">
        <v>14</v>
      </c>
      <c r="B1908" s="498" t="s">
        <v>79</v>
      </c>
      <c r="C1908" s="7" t="s">
        <v>15</v>
      </c>
    </row>
    <row r="1909" spans="1:12" x14ac:dyDescent="0.2">
      <c r="A1909" s="41" t="s">
        <v>16</v>
      </c>
      <c r="B1909" s="494"/>
      <c r="C1909" s="9">
        <v>2015</v>
      </c>
      <c r="D1909" s="9">
        <v>2016</v>
      </c>
      <c r="E1909" s="9">
        <v>2017</v>
      </c>
      <c r="F1909" s="9">
        <v>2018</v>
      </c>
      <c r="G1909" s="9">
        <v>2019</v>
      </c>
      <c r="H1909" s="9">
        <v>2020</v>
      </c>
      <c r="I1909" s="155">
        <v>2021</v>
      </c>
      <c r="J1909" s="155">
        <v>2022</v>
      </c>
    </row>
    <row r="1910" spans="1:12" x14ac:dyDescent="0.2">
      <c r="A1910" s="10" t="s">
        <v>17</v>
      </c>
      <c r="B1910" s="278"/>
      <c r="C1910" s="278">
        <v>15</v>
      </c>
      <c r="D1910" s="278">
        <v>15</v>
      </c>
      <c r="E1910" s="278">
        <v>15</v>
      </c>
      <c r="F1910" s="278">
        <v>15</v>
      </c>
      <c r="G1910" s="278">
        <v>15</v>
      </c>
      <c r="H1910" s="301">
        <v>15</v>
      </c>
      <c r="I1910" s="12">
        <v>15</v>
      </c>
      <c r="J1910" s="12">
        <v>15</v>
      </c>
    </row>
    <row r="1911" spans="1:12" x14ac:dyDescent="0.2">
      <c r="A1911" s="10" t="s">
        <v>18</v>
      </c>
      <c r="B1911" s="278"/>
      <c r="C1911" s="278"/>
      <c r="D1911" s="278">
        <v>-59.3</v>
      </c>
      <c r="E1911" s="278">
        <v>-64.199999999999989</v>
      </c>
      <c r="F1911" s="278">
        <v>-49.199999999999989</v>
      </c>
      <c r="G1911" s="278">
        <v>-34.199999999999989</v>
      </c>
      <c r="H1911" s="278">
        <f>G1914+H1910</f>
        <v>-19.199999999999989</v>
      </c>
      <c r="I1911" s="12">
        <f>I1910+H1914</f>
        <v>-4.1999999999999886</v>
      </c>
      <c r="J1911" s="12">
        <f>J1910+I1914</f>
        <v>10.440000000000012</v>
      </c>
    </row>
    <row r="1912" spans="1:12" x14ac:dyDescent="0.2">
      <c r="A1912" s="10" t="s">
        <v>19</v>
      </c>
      <c r="B1912" s="279"/>
      <c r="C1912" s="279"/>
      <c r="D1912" s="294">
        <v>1</v>
      </c>
      <c r="E1912" s="294">
        <v>2</v>
      </c>
      <c r="F1912" s="294">
        <v>3</v>
      </c>
      <c r="G1912" s="294">
        <v>4</v>
      </c>
      <c r="H1912" s="294">
        <v>5</v>
      </c>
      <c r="I1912" s="198">
        <v>6</v>
      </c>
      <c r="J1912" s="198">
        <v>7</v>
      </c>
    </row>
    <row r="1913" spans="1:12" x14ac:dyDescent="0.2">
      <c r="A1913" s="10" t="s">
        <v>20</v>
      </c>
      <c r="B1913" s="12"/>
      <c r="C1913" s="12">
        <v>31.9</v>
      </c>
      <c r="D1913" s="12">
        <v>19.899999999999999</v>
      </c>
      <c r="E1913" s="12">
        <v>0</v>
      </c>
      <c r="F1913" s="12">
        <v>0</v>
      </c>
      <c r="G1913" s="12">
        <v>0</v>
      </c>
      <c r="H1913" s="12">
        <v>0</v>
      </c>
      <c r="I1913" s="12">
        <v>0.36</v>
      </c>
      <c r="J1913" s="12">
        <v>0</v>
      </c>
    </row>
    <row r="1914" spans="1:12" x14ac:dyDescent="0.2">
      <c r="A1914" s="10" t="s">
        <v>21</v>
      </c>
      <c r="B1914" s="12"/>
      <c r="C1914" s="12">
        <v>-74.3</v>
      </c>
      <c r="D1914" s="12">
        <v>-79.199999999999989</v>
      </c>
      <c r="E1914" s="12">
        <v>-64.199999999999989</v>
      </c>
      <c r="F1914" s="12">
        <v>-49.199999999999989</v>
      </c>
      <c r="G1914" s="12">
        <f>G1911-G1913</f>
        <v>-34.199999999999989</v>
      </c>
      <c r="H1914" s="12">
        <f>H1911-H1913</f>
        <v>-19.199999999999989</v>
      </c>
      <c r="I1914" s="12">
        <f>I1911-I1913</f>
        <v>-4.559999999999989</v>
      </c>
      <c r="J1914" s="12">
        <v>10.44</v>
      </c>
    </row>
    <row r="1915" spans="1:12" x14ac:dyDescent="0.2">
      <c r="A1915" s="16" t="s">
        <v>22</v>
      </c>
      <c r="B1915" s="539"/>
      <c r="C1915" s="160">
        <v>2016</v>
      </c>
      <c r="D1915" s="160">
        <v>2017</v>
      </c>
      <c r="E1915" s="160">
        <v>2018</v>
      </c>
      <c r="F1915" s="160">
        <v>2019</v>
      </c>
      <c r="G1915" s="160">
        <v>2020</v>
      </c>
      <c r="H1915" s="160">
        <v>2021</v>
      </c>
      <c r="I1915" s="160">
        <v>2022</v>
      </c>
      <c r="J1915" s="160"/>
    </row>
    <row r="1916" spans="1:12" x14ac:dyDescent="0.2">
      <c r="A1916" s="16" t="s">
        <v>523</v>
      </c>
      <c r="B1916" s="541"/>
      <c r="C1916" s="541"/>
      <c r="D1916" s="179"/>
      <c r="E1916" s="179"/>
      <c r="F1916" s="179"/>
      <c r="G1916" s="179"/>
      <c r="H1916" s="179"/>
      <c r="I1916" s="179"/>
      <c r="J1916" s="180"/>
    </row>
    <row r="1917" spans="1:12" x14ac:dyDescent="0.2">
      <c r="A1917" s="39" t="s">
        <v>524</v>
      </c>
      <c r="B1917" s="2"/>
      <c r="C1917" s="2"/>
      <c r="D1917" s="471"/>
      <c r="E1917" s="471"/>
      <c r="F1917" s="471"/>
      <c r="G1917" s="471"/>
      <c r="H1917" s="471"/>
      <c r="I1917" s="471"/>
      <c r="J1917" s="545"/>
    </row>
    <row r="1918" spans="1:12" x14ac:dyDescent="0.2">
      <c r="A1918" s="39" t="s">
        <v>525</v>
      </c>
      <c r="B1918" s="2"/>
      <c r="C1918" s="2"/>
      <c r="D1918" s="471"/>
      <c r="E1918" s="471"/>
      <c r="F1918" s="471"/>
      <c r="G1918" s="471"/>
      <c r="H1918" s="471"/>
      <c r="I1918" s="471"/>
      <c r="J1918" s="545"/>
    </row>
    <row r="1919" spans="1:12" x14ac:dyDescent="0.2">
      <c r="A1919" s="39" t="s">
        <v>526</v>
      </c>
      <c r="B1919" s="2"/>
      <c r="C1919" s="2"/>
      <c r="D1919" s="471"/>
      <c r="E1919" s="471"/>
      <c r="F1919" s="471"/>
      <c r="G1919" s="471"/>
      <c r="H1919" s="471"/>
      <c r="I1919" s="471"/>
      <c r="J1919" s="545"/>
    </row>
    <row r="1920" spans="1:12" x14ac:dyDescent="0.2">
      <c r="A1920" s="39" t="s">
        <v>528</v>
      </c>
      <c r="B1920" s="2"/>
      <c r="C1920" s="2"/>
      <c r="D1920" s="471"/>
      <c r="E1920" s="471"/>
      <c r="F1920" s="471"/>
      <c r="G1920" s="471"/>
      <c r="H1920" s="471"/>
      <c r="I1920" s="471"/>
      <c r="J1920" s="545"/>
    </row>
    <row r="1921" spans="1:11" x14ac:dyDescent="0.2">
      <c r="A1921" s="39" t="s">
        <v>529</v>
      </c>
      <c r="B1921" s="2"/>
      <c r="C1921" s="2"/>
      <c r="D1921" s="471"/>
      <c r="E1921" s="471"/>
      <c r="F1921" s="471"/>
      <c r="G1921" s="471"/>
      <c r="H1921" s="471"/>
      <c r="I1921" s="471"/>
      <c r="J1921" s="545"/>
    </row>
    <row r="1922" spans="1:11" x14ac:dyDescent="0.2">
      <c r="A1922" s="41" t="s">
        <v>665</v>
      </c>
      <c r="B1922" s="33"/>
      <c r="C1922" s="33"/>
      <c r="D1922" s="514"/>
      <c r="E1922" s="514"/>
      <c r="F1922" s="514"/>
      <c r="G1922" s="514"/>
      <c r="H1922" s="514"/>
      <c r="I1922" s="514"/>
      <c r="J1922" s="546"/>
    </row>
    <row r="1925" spans="1:11" x14ac:dyDescent="0.2">
      <c r="A1925" s="6" t="s">
        <v>11</v>
      </c>
      <c r="B1925" s="7" t="s">
        <v>38</v>
      </c>
    </row>
    <row r="1926" spans="1:11" x14ac:dyDescent="0.2">
      <c r="A1926" s="6" t="s">
        <v>1</v>
      </c>
      <c r="B1926" s="498" t="s">
        <v>642</v>
      </c>
      <c r="C1926" s="9" t="s">
        <v>2</v>
      </c>
    </row>
    <row r="1927" spans="1:11" x14ac:dyDescent="0.2">
      <c r="A1927" s="11" t="s">
        <v>3</v>
      </c>
      <c r="B1927" s="547">
        <v>2016</v>
      </c>
      <c r="C1927" s="548">
        <v>2017</v>
      </c>
      <c r="D1927" s="548">
        <v>2018</v>
      </c>
      <c r="E1927" s="548">
        <v>2019</v>
      </c>
      <c r="F1927" s="155">
        <v>2020</v>
      </c>
      <c r="G1927" s="155">
        <v>2021</v>
      </c>
      <c r="H1927" s="155">
        <v>2022</v>
      </c>
      <c r="I1927" s="155">
        <v>2023</v>
      </c>
      <c r="J1927" s="155">
        <v>2024</v>
      </c>
      <c r="K1927" s="155">
        <v>2025</v>
      </c>
    </row>
    <row r="1928" spans="1:11" x14ac:dyDescent="0.2">
      <c r="A1928" s="10" t="s">
        <v>4</v>
      </c>
      <c r="B1928" s="549">
        <v>1491.71</v>
      </c>
      <c r="C1928" s="549">
        <v>1791</v>
      </c>
      <c r="D1928" s="190">
        <v>2115</v>
      </c>
      <c r="E1928" s="190">
        <v>2400</v>
      </c>
      <c r="F1928" s="190">
        <v>2655</v>
      </c>
      <c r="G1928" s="190">
        <v>2655</v>
      </c>
      <c r="H1928" s="190">
        <v>2655</v>
      </c>
      <c r="I1928" s="190">
        <v>3000</v>
      </c>
      <c r="J1928" s="190">
        <v>3000</v>
      </c>
      <c r="K1928" s="190">
        <v>3000</v>
      </c>
    </row>
    <row r="1929" spans="1:11" x14ac:dyDescent="0.2">
      <c r="A1929" s="10" t="s">
        <v>5</v>
      </c>
      <c r="B1929" s="549">
        <v>1491.71</v>
      </c>
      <c r="C1929" s="549">
        <v>1791</v>
      </c>
      <c r="D1929" s="190">
        <v>2115</v>
      </c>
      <c r="E1929" s="190">
        <v>2400</v>
      </c>
      <c r="F1929" s="190">
        <v>2675.4</v>
      </c>
      <c r="G1929" s="190">
        <f>G1928+79.2+21.55</f>
        <v>2755.75</v>
      </c>
      <c r="H1929" s="190">
        <f>H1928+24.72</f>
        <v>2679.72</v>
      </c>
      <c r="I1929" s="190">
        <v>3020</v>
      </c>
      <c r="J1929" s="190">
        <v>3030</v>
      </c>
      <c r="K1929" s="190">
        <v>3020.62</v>
      </c>
    </row>
    <row r="1930" spans="1:11" x14ac:dyDescent="0.2">
      <c r="A1930" s="10" t="s">
        <v>6</v>
      </c>
      <c r="B1930" s="12"/>
      <c r="C1930" s="189"/>
      <c r="D1930" s="12"/>
      <c r="E1930" s="190"/>
      <c r="F1930" s="190"/>
      <c r="G1930" s="190"/>
      <c r="H1930" s="190"/>
      <c r="I1930" s="190"/>
      <c r="J1930" s="190"/>
      <c r="K1930" s="190"/>
    </row>
    <row r="1931" spans="1:11" x14ac:dyDescent="0.2">
      <c r="A1931" s="10" t="s">
        <v>7</v>
      </c>
      <c r="B1931" s="190">
        <v>1490.58</v>
      </c>
      <c r="C1931" s="190">
        <v>1789.538</v>
      </c>
      <c r="D1931" s="190">
        <v>2102.0929999999998</v>
      </c>
      <c r="E1931" s="190">
        <v>2379.1309999999999</v>
      </c>
      <c r="F1931" s="190">
        <v>2653.377</v>
      </c>
      <c r="G1931" s="190">
        <v>2729.7379999999998</v>
      </c>
      <c r="H1931" s="190">
        <v>2652.7869999999998</v>
      </c>
      <c r="I1931" s="190">
        <v>2989.87</v>
      </c>
      <c r="J1931" s="550">
        <v>2998</v>
      </c>
      <c r="K1931" s="550"/>
    </row>
    <row r="1932" spans="1:11" x14ac:dyDescent="0.2">
      <c r="A1932" s="10" t="s">
        <v>8</v>
      </c>
      <c r="B1932" s="12">
        <v>1.1300000000001091</v>
      </c>
      <c r="C1932" s="12">
        <v>1.4619999999999891</v>
      </c>
      <c r="D1932" s="12">
        <v>12.907000000000153</v>
      </c>
      <c r="E1932" s="12">
        <f t="shared" ref="E1932:J1932" si="78">E1929-E1931</f>
        <v>20.869000000000142</v>
      </c>
      <c r="F1932" s="190">
        <f t="shared" si="78"/>
        <v>22.023000000000138</v>
      </c>
      <c r="G1932" s="190">
        <f t="shared" si="78"/>
        <v>26.012000000000171</v>
      </c>
      <c r="H1932" s="190">
        <f t="shared" si="78"/>
        <v>26.932999999999993</v>
      </c>
      <c r="I1932" s="190">
        <f t="shared" si="78"/>
        <v>30.130000000000109</v>
      </c>
      <c r="J1932" s="190">
        <f t="shared" si="78"/>
        <v>32</v>
      </c>
      <c r="K1932" s="190"/>
    </row>
    <row r="1933" spans="1:11" x14ac:dyDescent="0.2">
      <c r="A1933" s="10" t="s">
        <v>9</v>
      </c>
      <c r="B1933" s="11">
        <v>2017</v>
      </c>
      <c r="C1933" s="11">
        <v>2018</v>
      </c>
      <c r="D1933" s="11">
        <v>2019</v>
      </c>
      <c r="E1933" s="11">
        <v>2020</v>
      </c>
      <c r="F1933" s="11">
        <v>2021</v>
      </c>
      <c r="G1933" s="11">
        <v>2022</v>
      </c>
      <c r="H1933" s="37">
        <v>2023</v>
      </c>
      <c r="I1933" s="37">
        <v>2024</v>
      </c>
      <c r="J1933" s="37">
        <v>2025</v>
      </c>
      <c r="K1933" s="37">
        <v>2026</v>
      </c>
    </row>
    <row r="1934" spans="1:11" x14ac:dyDescent="0.2">
      <c r="A1934" s="16" t="s">
        <v>10</v>
      </c>
      <c r="B1934" s="46"/>
      <c r="C1934" s="46"/>
      <c r="D1934" s="46"/>
      <c r="E1934" s="46"/>
      <c r="F1934" s="47"/>
      <c r="G1934" s="47"/>
      <c r="H1934" s="47"/>
      <c r="I1934" s="47"/>
      <c r="J1934" s="47"/>
    </row>
    <row r="1935" spans="1:11" x14ac:dyDescent="0.2">
      <c r="A1935" s="16" t="s">
        <v>530</v>
      </c>
      <c r="B1935" s="46"/>
      <c r="C1935" s="46"/>
      <c r="D1935" s="46"/>
      <c r="E1935" s="46"/>
      <c r="F1935" s="46"/>
      <c r="G1935" s="46"/>
      <c r="H1935" s="46"/>
      <c r="I1935" s="46"/>
      <c r="J1935" s="47"/>
    </row>
    <row r="1936" spans="1:11" x14ac:dyDescent="0.2">
      <c r="A1936" s="39" t="s">
        <v>251</v>
      </c>
      <c r="J1936" s="64"/>
    </row>
    <row r="1937" spans="1:10" x14ac:dyDescent="0.2">
      <c r="A1937" s="651" t="s">
        <v>595</v>
      </c>
      <c r="B1937" s="652"/>
      <c r="C1937" s="652"/>
      <c r="D1937" s="652"/>
      <c r="E1937" s="652"/>
      <c r="F1937" s="652"/>
      <c r="G1937" s="652"/>
      <c r="J1937" s="64"/>
    </row>
    <row r="1938" spans="1:10" x14ac:dyDescent="0.2">
      <c r="A1938" s="162" t="s">
        <v>955</v>
      </c>
      <c r="B1938" s="32"/>
      <c r="C1938" s="32"/>
      <c r="D1938" s="32"/>
      <c r="E1938" s="32"/>
      <c r="F1938" s="32"/>
      <c r="G1938" s="32"/>
      <c r="J1938" s="64"/>
    </row>
    <row r="1939" spans="1:10" x14ac:dyDescent="0.2">
      <c r="A1939" s="162" t="s">
        <v>851</v>
      </c>
      <c r="B1939" s="32"/>
      <c r="C1939" s="32"/>
      <c r="D1939" s="32"/>
      <c r="E1939" s="32"/>
      <c r="F1939" s="32"/>
      <c r="G1939" s="32"/>
      <c r="J1939" s="64"/>
    </row>
    <row r="1940" spans="1:10" x14ac:dyDescent="0.2">
      <c r="A1940" s="123" t="s">
        <v>1074</v>
      </c>
      <c r="B1940" s="32"/>
      <c r="C1940" s="32"/>
      <c r="D1940" s="32"/>
      <c r="E1940" s="32"/>
      <c r="F1940" s="32"/>
      <c r="G1940" s="32"/>
    </row>
    <row r="1941" spans="1:10" s="43" customFormat="1" x14ac:dyDescent="0.2">
      <c r="A1941" s="172" t="s">
        <v>1151</v>
      </c>
      <c r="B1941" s="551"/>
      <c r="C1941" s="551"/>
      <c r="D1941" s="551"/>
      <c r="E1941" s="551"/>
      <c r="F1941" s="551"/>
      <c r="G1941" s="551"/>
    </row>
    <row r="1944" spans="1:10" x14ac:dyDescent="0.2">
      <c r="A1944" s="552" t="s">
        <v>12</v>
      </c>
      <c r="B1944" s="553" t="s">
        <v>864</v>
      </c>
      <c r="D1944" s="554"/>
      <c r="E1944" s="554"/>
      <c r="F1944" s="554"/>
      <c r="G1944" s="554"/>
      <c r="H1944" s="554"/>
    </row>
    <row r="1945" spans="1:10" x14ac:dyDescent="0.2">
      <c r="A1945" s="552" t="s">
        <v>14</v>
      </c>
      <c r="B1945" s="555" t="s">
        <v>642</v>
      </c>
      <c r="C1945" s="556" t="s">
        <v>15</v>
      </c>
      <c r="D1945" s="554"/>
      <c r="E1945" s="554"/>
      <c r="F1945" s="554"/>
      <c r="G1945" s="554"/>
      <c r="H1945" s="554"/>
    </row>
    <row r="1946" spans="1:10" x14ac:dyDescent="0.2">
      <c r="A1946" s="557" t="s">
        <v>16</v>
      </c>
      <c r="B1946" s="558"/>
      <c r="C1946" s="559">
        <v>2022</v>
      </c>
      <c r="D1946" s="560">
        <v>2023</v>
      </c>
      <c r="E1946" s="560">
        <v>2024</v>
      </c>
      <c r="F1946" s="560">
        <v>2025</v>
      </c>
    </row>
    <row r="1947" spans="1:10" x14ac:dyDescent="0.2">
      <c r="A1947" s="557" t="s">
        <v>17</v>
      </c>
      <c r="B1947" s="558"/>
      <c r="C1947" s="561">
        <v>2305</v>
      </c>
      <c r="D1947" s="561">
        <v>2600</v>
      </c>
      <c r="E1947" s="561">
        <v>2600</v>
      </c>
      <c r="F1947" s="561">
        <v>2600</v>
      </c>
    </row>
    <row r="1948" spans="1:10" x14ac:dyDescent="0.2">
      <c r="A1948" s="557" t="s">
        <v>18</v>
      </c>
      <c r="B1948" s="558"/>
      <c r="C1948" s="562"/>
      <c r="D1948" s="561">
        <f>D1947+C1951+440.79+67.08+128</f>
        <v>3246.0209999999997</v>
      </c>
      <c r="E1948" s="561">
        <f>E1947+D1951+128+507.87</f>
        <v>3200.74</v>
      </c>
      <c r="F1948" s="561">
        <f>F1947+E1951+128+507.87</f>
        <v>3236.13</v>
      </c>
    </row>
    <row r="1949" spans="1:10" x14ac:dyDescent="0.2">
      <c r="A1949" s="557" t="s">
        <v>19</v>
      </c>
      <c r="B1949" s="558"/>
      <c r="C1949" s="563"/>
      <c r="D1949" s="564" t="str">
        <f>"(1)"</f>
        <v>(1)</v>
      </c>
      <c r="E1949" s="564" t="str">
        <f>"(2)"</f>
        <v>(2)</v>
      </c>
      <c r="F1949" s="564" t="str">
        <f>"(3)"</f>
        <v>(3)</v>
      </c>
    </row>
    <row r="1950" spans="1:10" x14ac:dyDescent="0.2">
      <c r="A1950" s="557" t="s">
        <v>20</v>
      </c>
      <c r="B1950" s="558"/>
      <c r="C1950" s="561">
        <v>2294.8490000000002</v>
      </c>
      <c r="D1950" s="565">
        <f>D1948-D1951</f>
        <v>3281.1509999999998</v>
      </c>
      <c r="E1950" s="565">
        <v>3200.48</v>
      </c>
      <c r="F1950" s="565"/>
    </row>
    <row r="1951" spans="1:10" x14ac:dyDescent="0.2">
      <c r="A1951" s="557" t="s">
        <v>21</v>
      </c>
      <c r="B1951" s="558"/>
      <c r="C1951" s="561">
        <f>C1947-C1950</f>
        <v>10.15099999999984</v>
      </c>
      <c r="D1951" s="561">
        <v>-35.130000000000003</v>
      </c>
      <c r="E1951" s="561">
        <v>0.26</v>
      </c>
      <c r="F1951" s="561"/>
    </row>
    <row r="1952" spans="1:10" x14ac:dyDescent="0.2">
      <c r="A1952" s="566" t="s">
        <v>22</v>
      </c>
      <c r="B1952" s="567"/>
      <c r="C1952" s="568">
        <v>2023</v>
      </c>
      <c r="D1952" s="569">
        <v>2024</v>
      </c>
      <c r="E1952" s="569">
        <v>2025</v>
      </c>
      <c r="F1952" s="569">
        <v>2026</v>
      </c>
    </row>
    <row r="1953" spans="1:8" x14ac:dyDescent="0.2">
      <c r="A1953" s="570" t="s">
        <v>934</v>
      </c>
      <c r="B1953" s="571"/>
      <c r="C1953" s="572"/>
      <c r="D1953" s="572"/>
      <c r="E1953" s="573"/>
    </row>
    <row r="1954" spans="1:8" x14ac:dyDescent="0.2">
      <c r="A1954" s="574" t="s">
        <v>960</v>
      </c>
      <c r="B1954" s="575"/>
      <c r="C1954" s="576"/>
      <c r="D1954" s="576"/>
      <c r="E1954" s="577"/>
    </row>
    <row r="1955" spans="1:8" x14ac:dyDescent="0.2">
      <c r="A1955" s="554"/>
      <c r="B1955" s="554"/>
      <c r="C1955" s="554"/>
      <c r="D1955" s="554"/>
      <c r="E1955" s="554"/>
    </row>
    <row r="1956" spans="1:8" x14ac:dyDescent="0.2">
      <c r="A1956" s="552" t="s">
        <v>14</v>
      </c>
      <c r="B1956" s="555" t="s">
        <v>865</v>
      </c>
      <c r="C1956" s="556" t="s">
        <v>15</v>
      </c>
      <c r="D1956" s="554"/>
      <c r="E1956" s="554"/>
      <c r="F1956" s="554"/>
      <c r="G1956" s="554"/>
      <c r="H1956" s="554"/>
    </row>
    <row r="1957" spans="1:8" x14ac:dyDescent="0.2">
      <c r="A1957" s="557" t="s">
        <v>16</v>
      </c>
      <c r="B1957" s="558"/>
      <c r="C1957" s="559">
        <v>2023</v>
      </c>
      <c r="D1957" s="560">
        <v>2024</v>
      </c>
      <c r="E1957" s="560">
        <v>2025</v>
      </c>
    </row>
    <row r="1958" spans="1:8" x14ac:dyDescent="0.2">
      <c r="A1958" s="557" t="s">
        <v>17</v>
      </c>
      <c r="B1958" s="558"/>
      <c r="C1958" s="561">
        <v>225</v>
      </c>
      <c r="D1958" s="561">
        <v>225</v>
      </c>
      <c r="E1958" s="561">
        <v>225</v>
      </c>
    </row>
    <row r="1959" spans="1:8" x14ac:dyDescent="0.2">
      <c r="A1959" s="557" t="s">
        <v>18</v>
      </c>
      <c r="B1959" s="558"/>
      <c r="C1959" s="561">
        <v>150</v>
      </c>
      <c r="D1959" s="561">
        <v>150</v>
      </c>
      <c r="E1959" s="561">
        <v>150</v>
      </c>
    </row>
    <row r="1960" spans="1:8" x14ac:dyDescent="0.2">
      <c r="A1960" s="557" t="s">
        <v>19</v>
      </c>
      <c r="B1960" s="558"/>
      <c r="C1960" s="578" t="s">
        <v>866</v>
      </c>
      <c r="D1960" s="578" t="s">
        <v>866</v>
      </c>
      <c r="E1960" s="578" t="s">
        <v>1220</v>
      </c>
    </row>
    <row r="1961" spans="1:8" x14ac:dyDescent="0.2">
      <c r="A1961" s="557" t="s">
        <v>20</v>
      </c>
      <c r="B1961" s="558"/>
      <c r="C1961" s="561">
        <v>149.94999999999999</v>
      </c>
      <c r="D1961" s="565">
        <v>150</v>
      </c>
      <c r="E1961" s="565">
        <v>150</v>
      </c>
    </row>
    <row r="1962" spans="1:8" x14ac:dyDescent="0.2">
      <c r="A1962" s="557" t="s">
        <v>21</v>
      </c>
      <c r="B1962" s="558"/>
      <c r="C1962" s="561">
        <f>C1959-C1961</f>
        <v>5.0000000000011369E-2</v>
      </c>
      <c r="D1962" s="561">
        <f>D1959-D1961</f>
        <v>0</v>
      </c>
      <c r="E1962" s="561"/>
    </row>
    <row r="1963" spans="1:8" x14ac:dyDescent="0.2">
      <c r="A1963" s="566" t="s">
        <v>22</v>
      </c>
      <c r="B1963" s="567"/>
      <c r="C1963" s="568"/>
      <c r="D1963" s="569"/>
      <c r="E1963" s="569"/>
    </row>
    <row r="1964" spans="1:8" x14ac:dyDescent="0.2">
      <c r="A1964" s="579" t="s">
        <v>867</v>
      </c>
      <c r="B1964" s="580"/>
      <c r="C1964" s="581"/>
      <c r="D1964" s="582"/>
    </row>
    <row r="1965" spans="1:8" x14ac:dyDescent="0.2">
      <c r="A1965" s="583" t="s">
        <v>1219</v>
      </c>
      <c r="B1965" s="554"/>
      <c r="C1965" s="554"/>
      <c r="D1965" s="554"/>
      <c r="E1965" s="554"/>
    </row>
    <row r="1966" spans="1:8" x14ac:dyDescent="0.2">
      <c r="A1966" s="554"/>
      <c r="B1966" s="554"/>
      <c r="C1966" s="554"/>
      <c r="D1966" s="554"/>
      <c r="E1966" s="554"/>
    </row>
    <row r="1967" spans="1:8" x14ac:dyDescent="0.2">
      <c r="A1967" s="552" t="s">
        <v>12</v>
      </c>
      <c r="B1967" s="553" t="s">
        <v>584</v>
      </c>
      <c r="D1967" s="554"/>
      <c r="E1967" s="554"/>
      <c r="F1967" s="554"/>
      <c r="G1967" s="554"/>
      <c r="H1967" s="554"/>
    </row>
    <row r="1968" spans="1:8" x14ac:dyDescent="0.2">
      <c r="A1968" s="552" t="s">
        <v>14</v>
      </c>
      <c r="B1968" s="555" t="s">
        <v>624</v>
      </c>
      <c r="C1968" s="556" t="s">
        <v>15</v>
      </c>
      <c r="D1968" s="554"/>
      <c r="E1968" s="554"/>
      <c r="F1968" s="554"/>
      <c r="G1968" s="554"/>
      <c r="H1968" s="554"/>
    </row>
    <row r="1969" spans="1:8" x14ac:dyDescent="0.2">
      <c r="A1969" s="557" t="s">
        <v>16</v>
      </c>
      <c r="B1969" s="558"/>
      <c r="C1969" s="559">
        <v>2021</v>
      </c>
      <c r="D1969" s="560">
        <v>2022</v>
      </c>
      <c r="E1969" s="584">
        <v>2023</v>
      </c>
      <c r="F1969" s="584">
        <v>2024</v>
      </c>
      <c r="G1969" s="584">
        <v>2025</v>
      </c>
      <c r="H1969" s="584" t="s">
        <v>1222</v>
      </c>
    </row>
    <row r="1970" spans="1:8" x14ac:dyDescent="0.2">
      <c r="A1970" s="557" t="s">
        <v>17</v>
      </c>
      <c r="B1970" s="558"/>
      <c r="C1970" s="561">
        <f>434.04</f>
        <v>434.04</v>
      </c>
      <c r="D1970" s="561">
        <v>442.25</v>
      </c>
      <c r="E1970" s="561">
        <v>442.25</v>
      </c>
      <c r="F1970" s="561">
        <v>752.8</v>
      </c>
      <c r="G1970" s="561">
        <v>752.8</v>
      </c>
      <c r="H1970" s="585">
        <v>752.8</v>
      </c>
    </row>
    <row r="1971" spans="1:8" x14ac:dyDescent="0.2">
      <c r="A1971" s="557" t="s">
        <v>18</v>
      </c>
      <c r="B1971" s="558"/>
      <c r="C1971" s="561">
        <f>C1970+53.75</f>
        <v>487.79</v>
      </c>
      <c r="D1971" s="561">
        <f>D1970+53.75</f>
        <v>496</v>
      </c>
      <c r="E1971" s="563">
        <f>E1970+0.25*C1970</f>
        <v>550.76</v>
      </c>
      <c r="F1971" s="563">
        <f>F1970+0.25*D1970</f>
        <v>863.36249999999995</v>
      </c>
      <c r="G1971" s="563">
        <f>G1970+0.25*E1970</f>
        <v>863.36249999999995</v>
      </c>
      <c r="H1971" s="585">
        <v>941</v>
      </c>
    </row>
    <row r="1972" spans="1:8" x14ac:dyDescent="0.2">
      <c r="A1972" s="557" t="s">
        <v>19</v>
      </c>
      <c r="B1972" s="558"/>
      <c r="C1972" s="563" t="s">
        <v>685</v>
      </c>
      <c r="D1972" s="563" t="s">
        <v>687</v>
      </c>
      <c r="E1972" s="563" t="s">
        <v>686</v>
      </c>
      <c r="F1972" s="563" t="s">
        <v>854</v>
      </c>
      <c r="G1972" s="563" t="s">
        <v>1075</v>
      </c>
      <c r="H1972" s="586" t="s">
        <v>1223</v>
      </c>
    </row>
    <row r="1973" spans="1:8" x14ac:dyDescent="0.2">
      <c r="A1973" s="557" t="s">
        <v>20</v>
      </c>
      <c r="B1973" s="558"/>
      <c r="C1973" s="561">
        <v>169.39099999999999</v>
      </c>
      <c r="D1973" s="565">
        <v>125.35080000000001</v>
      </c>
      <c r="E1973" s="563">
        <v>112.47</v>
      </c>
      <c r="F1973" s="563">
        <v>8.23</v>
      </c>
      <c r="G1973" s="563"/>
      <c r="H1973" s="586"/>
    </row>
    <row r="1974" spans="1:8" x14ac:dyDescent="0.2">
      <c r="A1974" s="557" t="s">
        <v>21</v>
      </c>
      <c r="B1974" s="558"/>
      <c r="C1974" s="561">
        <f>C1971-C1973</f>
        <v>318.399</v>
      </c>
      <c r="D1974" s="561">
        <f>D1971-D1973</f>
        <v>370.64920000000001</v>
      </c>
      <c r="E1974" s="561">
        <f>E1971-E1973</f>
        <v>438.28999999999996</v>
      </c>
      <c r="F1974" s="561">
        <f>F1971-F1973</f>
        <v>855.13249999999994</v>
      </c>
      <c r="G1974" s="563"/>
      <c r="H1974" s="586"/>
    </row>
    <row r="1975" spans="1:8" x14ac:dyDescent="0.2">
      <c r="A1975" s="566" t="s">
        <v>22</v>
      </c>
      <c r="B1975" s="567"/>
      <c r="C1975" s="568">
        <v>2023</v>
      </c>
      <c r="D1975" s="569">
        <v>2024</v>
      </c>
      <c r="E1975" s="568">
        <v>2025</v>
      </c>
      <c r="F1975" s="568">
        <v>2026</v>
      </c>
      <c r="G1975" s="568">
        <v>2027</v>
      </c>
      <c r="H1975" s="587">
        <v>2028</v>
      </c>
    </row>
    <row r="1976" spans="1:8" x14ac:dyDescent="0.2">
      <c r="A1976" s="588" t="s">
        <v>692</v>
      </c>
      <c r="B1976" s="589"/>
      <c r="C1976" s="589"/>
      <c r="D1976" s="589"/>
      <c r="E1976" s="589"/>
      <c r="F1976" s="19"/>
      <c r="G1976" s="19"/>
      <c r="H1976" s="63"/>
    </row>
    <row r="1977" spans="1:8" ht="12.75" customHeight="1" x14ac:dyDescent="0.2">
      <c r="A1977" s="590" t="s">
        <v>700</v>
      </c>
      <c r="B1977" s="591"/>
      <c r="C1977" s="591"/>
      <c r="D1977" s="591"/>
      <c r="E1977" s="591"/>
      <c r="H1977" s="64"/>
    </row>
    <row r="1978" spans="1:8" x14ac:dyDescent="0.2">
      <c r="A1978" s="592" t="s">
        <v>701</v>
      </c>
      <c r="B1978" s="593"/>
      <c r="C1978" s="593"/>
      <c r="D1978" s="593"/>
      <c r="E1978" s="593"/>
      <c r="H1978" s="64"/>
    </row>
    <row r="1979" spans="1:8" x14ac:dyDescent="0.2">
      <c r="A1979" s="592" t="s">
        <v>943</v>
      </c>
      <c r="B1979" s="593"/>
      <c r="C1979" s="593"/>
      <c r="D1979" s="593"/>
      <c r="E1979" s="593"/>
      <c r="H1979" s="64"/>
    </row>
    <row r="1980" spans="1:8" x14ac:dyDescent="0.2">
      <c r="A1980" s="592" t="s">
        <v>1076</v>
      </c>
      <c r="B1980" s="593"/>
      <c r="C1980" s="593"/>
      <c r="D1980" s="593"/>
      <c r="E1980" s="593"/>
      <c r="H1980" s="64"/>
    </row>
    <row r="1981" spans="1:8" x14ac:dyDescent="0.2">
      <c r="A1981" s="594" t="s">
        <v>1221</v>
      </c>
      <c r="B1981" s="595"/>
      <c r="C1981" s="595"/>
      <c r="D1981" s="595"/>
      <c r="E1981" s="595"/>
      <c r="F1981" s="34"/>
      <c r="G1981" s="34"/>
      <c r="H1981" s="48"/>
    </row>
    <row r="1982" spans="1:8" x14ac:dyDescent="0.2">
      <c r="A1982" s="554"/>
      <c r="B1982" s="591"/>
      <c r="C1982" s="595"/>
      <c r="D1982" s="591"/>
      <c r="E1982" s="591"/>
    </row>
    <row r="1983" spans="1:8" x14ac:dyDescent="0.2">
      <c r="A1983" s="593"/>
      <c r="B1983" s="593"/>
      <c r="C1983" s="596"/>
      <c r="D1983" s="593"/>
      <c r="E1983" s="593"/>
    </row>
    <row r="1984" spans="1:8" x14ac:dyDescent="0.2">
      <c r="A1984" s="552" t="s">
        <v>14</v>
      </c>
      <c r="B1984" s="555" t="s">
        <v>638</v>
      </c>
      <c r="C1984" s="556" t="s">
        <v>15</v>
      </c>
      <c r="D1984" s="554"/>
      <c r="E1984" s="554"/>
      <c r="F1984" s="554"/>
      <c r="G1984" s="554"/>
      <c r="H1984" s="554"/>
    </row>
    <row r="1985" spans="1:8" x14ac:dyDescent="0.2">
      <c r="A1985" s="557" t="s">
        <v>16</v>
      </c>
      <c r="B1985" s="558"/>
      <c r="C1985" s="559">
        <v>2021</v>
      </c>
      <c r="D1985" s="560">
        <v>2022</v>
      </c>
      <c r="E1985" s="584">
        <v>2023</v>
      </c>
      <c r="F1985" s="584">
        <v>2024</v>
      </c>
      <c r="G1985" s="584">
        <v>2025</v>
      </c>
      <c r="H1985" s="584">
        <v>2026</v>
      </c>
    </row>
    <row r="1986" spans="1:8" x14ac:dyDescent="0.2">
      <c r="A1986" s="557" t="s">
        <v>17</v>
      </c>
      <c r="B1986" s="558"/>
      <c r="C1986" s="561">
        <v>100</v>
      </c>
      <c r="D1986" s="561">
        <v>100</v>
      </c>
      <c r="E1986" s="563">
        <v>120</v>
      </c>
      <c r="F1986" s="563">
        <v>120</v>
      </c>
      <c r="G1986" s="563">
        <v>120</v>
      </c>
      <c r="H1986" s="586">
        <v>120</v>
      </c>
    </row>
    <row r="1987" spans="1:8" x14ac:dyDescent="0.2">
      <c r="A1987" s="557" t="s">
        <v>18</v>
      </c>
      <c r="B1987" s="558"/>
      <c r="C1987" s="561"/>
      <c r="D1987" s="561">
        <v>125</v>
      </c>
      <c r="E1987" s="597">
        <f>E1986+0.25*C1986</f>
        <v>145</v>
      </c>
      <c r="F1987" s="597">
        <f>F1986+1.49</f>
        <v>121.49</v>
      </c>
      <c r="G1987" s="597">
        <f>G1986+0.25*E1986</f>
        <v>150</v>
      </c>
      <c r="H1987" s="586">
        <v>150</v>
      </c>
    </row>
    <row r="1988" spans="1:8" x14ac:dyDescent="0.2">
      <c r="A1988" s="557" t="s">
        <v>19</v>
      </c>
      <c r="B1988" s="558"/>
      <c r="C1988" s="597"/>
      <c r="D1988" s="597" t="s">
        <v>682</v>
      </c>
      <c r="E1988" s="597" t="s">
        <v>681</v>
      </c>
      <c r="F1988" s="597" t="s">
        <v>932</v>
      </c>
      <c r="G1988" s="597" t="s">
        <v>1078</v>
      </c>
      <c r="H1988" s="586" t="s">
        <v>1225</v>
      </c>
    </row>
    <row r="1989" spans="1:8" x14ac:dyDescent="0.2">
      <c r="A1989" s="557" t="s">
        <v>20</v>
      </c>
      <c r="B1989" s="558"/>
      <c r="C1989" s="561">
        <v>0</v>
      </c>
      <c r="D1989" s="565">
        <v>0</v>
      </c>
      <c r="E1989" s="563">
        <v>0</v>
      </c>
      <c r="F1989" s="563">
        <v>0</v>
      </c>
      <c r="G1989" s="563"/>
      <c r="H1989" s="586"/>
    </row>
    <row r="1990" spans="1:8" x14ac:dyDescent="0.2">
      <c r="A1990" s="557" t="s">
        <v>21</v>
      </c>
      <c r="B1990" s="558"/>
      <c r="C1990" s="561">
        <f>C1986-C1989</f>
        <v>100</v>
      </c>
      <c r="D1990" s="561">
        <f>D1987-D1989</f>
        <v>125</v>
      </c>
      <c r="E1990" s="561">
        <f>E1987-E1989</f>
        <v>145</v>
      </c>
      <c r="F1990" s="561">
        <f>F1987-F1989</f>
        <v>121.49</v>
      </c>
      <c r="G1990" s="563"/>
      <c r="H1990" s="586"/>
    </row>
    <row r="1991" spans="1:8" x14ac:dyDescent="0.2">
      <c r="A1991" s="566" t="s">
        <v>22</v>
      </c>
      <c r="B1991" s="567"/>
      <c r="C1991" s="568">
        <v>2023</v>
      </c>
      <c r="D1991" s="569">
        <v>2024</v>
      </c>
      <c r="E1991" s="568">
        <v>2025</v>
      </c>
      <c r="F1991" s="568">
        <v>2026</v>
      </c>
      <c r="G1991" s="568">
        <v>2027</v>
      </c>
      <c r="H1991" s="587">
        <v>2028</v>
      </c>
    </row>
    <row r="1992" spans="1:8" x14ac:dyDescent="0.2">
      <c r="A1992" s="588" t="s">
        <v>735</v>
      </c>
      <c r="B1992" s="598"/>
      <c r="C1992" s="599"/>
      <c r="D1992" s="599"/>
      <c r="E1992" s="599"/>
      <c r="F1992" s="599"/>
      <c r="G1992" s="599"/>
      <c r="H1992" s="63"/>
    </row>
    <row r="1993" spans="1:8" x14ac:dyDescent="0.2">
      <c r="A1993" s="590" t="s">
        <v>933</v>
      </c>
      <c r="B1993" s="554"/>
      <c r="C1993" s="600"/>
      <c r="D1993" s="600"/>
      <c r="E1993" s="600"/>
      <c r="F1993" s="600"/>
      <c r="G1993" s="600"/>
      <c r="H1993" s="64"/>
    </row>
    <row r="1994" spans="1:8" x14ac:dyDescent="0.2">
      <c r="A1994" s="590" t="s">
        <v>1077</v>
      </c>
      <c r="B1994" s="554"/>
      <c r="C1994" s="600"/>
      <c r="D1994" s="600"/>
      <c r="E1994" s="600"/>
      <c r="F1994" s="600"/>
      <c r="G1994" s="600"/>
      <c r="H1994" s="64"/>
    </row>
    <row r="1995" spans="1:8" x14ac:dyDescent="0.2">
      <c r="A1995" s="594" t="s">
        <v>1224</v>
      </c>
      <c r="B1995" s="575"/>
      <c r="C1995" s="575"/>
      <c r="D1995" s="575"/>
      <c r="E1995" s="575"/>
      <c r="F1995" s="34"/>
      <c r="G1995" s="34"/>
      <c r="H1995" s="48"/>
    </row>
    <row r="1996" spans="1:8" x14ac:dyDescent="0.2">
      <c r="A1996" s="554"/>
      <c r="B1996" s="554"/>
      <c r="C1996" s="554"/>
      <c r="D1996" s="554"/>
      <c r="E1996" s="554"/>
    </row>
    <row r="1997" spans="1:8" x14ac:dyDescent="0.2">
      <c r="A1997" s="552" t="s">
        <v>14</v>
      </c>
      <c r="B1997" s="555" t="s">
        <v>623</v>
      </c>
      <c r="C1997" s="556" t="s">
        <v>15</v>
      </c>
      <c r="D1997" s="554"/>
      <c r="E1997" s="554"/>
      <c r="F1997" s="554"/>
      <c r="G1997" s="554"/>
      <c r="H1997" s="554"/>
    </row>
    <row r="1998" spans="1:8" x14ac:dyDescent="0.2">
      <c r="A1998" s="557" t="s">
        <v>16</v>
      </c>
      <c r="B1998" s="558"/>
      <c r="C1998" s="559">
        <v>2021</v>
      </c>
      <c r="D1998" s="560">
        <v>2022</v>
      </c>
      <c r="E1998" s="584">
        <v>2023</v>
      </c>
      <c r="F1998" s="584">
        <v>2024</v>
      </c>
      <c r="G1998" s="584">
        <v>2025</v>
      </c>
      <c r="H1998" s="584">
        <v>2026</v>
      </c>
    </row>
    <row r="1999" spans="1:8" x14ac:dyDescent="0.2">
      <c r="A1999" s="557" t="s">
        <v>17</v>
      </c>
      <c r="B1999" s="558"/>
      <c r="C1999" s="561">
        <v>35</v>
      </c>
      <c r="D1999" s="561">
        <v>35</v>
      </c>
      <c r="E1999" s="561">
        <v>35.67</v>
      </c>
      <c r="F1999" s="561">
        <v>35.67</v>
      </c>
      <c r="G1999" s="561">
        <v>35.67</v>
      </c>
      <c r="H1999" s="586">
        <v>35.67</v>
      </c>
    </row>
    <row r="2000" spans="1:8" x14ac:dyDescent="0.2">
      <c r="A2000" s="557" t="s">
        <v>18</v>
      </c>
      <c r="B2000" s="558"/>
      <c r="C2000" s="561">
        <v>49.67</v>
      </c>
      <c r="D2000" s="561">
        <v>49.67</v>
      </c>
      <c r="E2000" s="563">
        <f>E1999+0.4*C1999</f>
        <v>49.67</v>
      </c>
      <c r="F2000" s="563">
        <f>F1999+0.4*D1999</f>
        <v>49.67</v>
      </c>
      <c r="G2000" s="563">
        <f>G1999+0.4*E1999</f>
        <v>49.938000000000002</v>
      </c>
      <c r="H2000" s="586">
        <v>49.94</v>
      </c>
    </row>
    <row r="2001" spans="1:8" ht="30.75" customHeight="1" x14ac:dyDescent="0.2">
      <c r="A2001" s="557" t="s">
        <v>19</v>
      </c>
      <c r="B2001" s="558"/>
      <c r="C2001" s="601" t="s">
        <v>703</v>
      </c>
      <c r="D2001" s="601" t="s">
        <v>704</v>
      </c>
      <c r="E2001" s="601" t="s">
        <v>688</v>
      </c>
      <c r="F2001" s="601" t="s">
        <v>855</v>
      </c>
      <c r="G2001" s="601" t="s">
        <v>1081</v>
      </c>
      <c r="H2001" s="586" t="s">
        <v>1226</v>
      </c>
    </row>
    <row r="2002" spans="1:8" x14ac:dyDescent="0.2">
      <c r="A2002" s="557" t="s">
        <v>20</v>
      </c>
      <c r="B2002" s="558"/>
      <c r="C2002" s="561">
        <v>5.9</v>
      </c>
      <c r="D2002" s="565">
        <v>3.351</v>
      </c>
      <c r="E2002" s="563">
        <v>3.54</v>
      </c>
      <c r="F2002" s="563">
        <v>4.3899999999999997</v>
      </c>
      <c r="G2002" s="563"/>
      <c r="H2002" s="586"/>
    </row>
    <row r="2003" spans="1:8" x14ac:dyDescent="0.2">
      <c r="A2003" s="557" t="s">
        <v>21</v>
      </c>
      <c r="B2003" s="558"/>
      <c r="C2003" s="561">
        <f>C2000-C2002</f>
        <v>43.77</v>
      </c>
      <c r="D2003" s="561">
        <f>D2000-D2002</f>
        <v>46.319000000000003</v>
      </c>
      <c r="E2003" s="561">
        <f>E2000-E2002</f>
        <v>46.13</v>
      </c>
      <c r="F2003" s="561">
        <f>F2000-F2002</f>
        <v>45.28</v>
      </c>
      <c r="G2003" s="563"/>
      <c r="H2003" s="586"/>
    </row>
    <row r="2004" spans="1:8" x14ac:dyDescent="0.2">
      <c r="A2004" s="566" t="s">
        <v>22</v>
      </c>
      <c r="B2004" s="567"/>
      <c r="C2004" s="568">
        <v>2023</v>
      </c>
      <c r="D2004" s="568">
        <v>2024</v>
      </c>
      <c r="E2004" s="568">
        <v>2025</v>
      </c>
      <c r="F2004" s="568">
        <v>2026</v>
      </c>
      <c r="G2004" s="568">
        <v>2027</v>
      </c>
      <c r="H2004" s="587">
        <v>2028</v>
      </c>
    </row>
    <row r="2005" spans="1:8" x14ac:dyDescent="0.2">
      <c r="A2005" s="588" t="s">
        <v>702</v>
      </c>
      <c r="B2005" s="598"/>
      <c r="C2005" s="598"/>
      <c r="D2005" s="598"/>
      <c r="E2005" s="598"/>
      <c r="F2005" s="19"/>
      <c r="G2005" s="19"/>
      <c r="H2005" s="63"/>
    </row>
    <row r="2006" spans="1:8" x14ac:dyDescent="0.2">
      <c r="A2006" s="590" t="s">
        <v>706</v>
      </c>
      <c r="B2006" s="554"/>
      <c r="C2006" s="554"/>
      <c r="D2006" s="554"/>
      <c r="E2006" s="554"/>
      <c r="H2006" s="64"/>
    </row>
    <row r="2007" spans="1:8" x14ac:dyDescent="0.2">
      <c r="A2007" s="590" t="s">
        <v>705</v>
      </c>
      <c r="B2007" s="554"/>
      <c r="C2007" s="554"/>
      <c r="D2007" s="554"/>
      <c r="E2007" s="554"/>
      <c r="H2007" s="64"/>
    </row>
    <row r="2008" spans="1:8" x14ac:dyDescent="0.2">
      <c r="A2008" s="590" t="s">
        <v>1079</v>
      </c>
      <c r="B2008" s="554"/>
      <c r="C2008" s="554"/>
      <c r="D2008" s="554"/>
      <c r="E2008" s="554"/>
      <c r="H2008" s="64"/>
    </row>
    <row r="2009" spans="1:8" x14ac:dyDescent="0.2">
      <c r="A2009" s="590" t="s">
        <v>1080</v>
      </c>
      <c r="B2009" s="554"/>
      <c r="C2009" s="554"/>
      <c r="D2009" s="554"/>
      <c r="E2009" s="554"/>
      <c r="H2009" s="64"/>
    </row>
    <row r="2010" spans="1:8" x14ac:dyDescent="0.2">
      <c r="A2010" s="594" t="s">
        <v>1227</v>
      </c>
      <c r="B2010" s="575"/>
      <c r="C2010" s="575"/>
      <c r="D2010" s="575"/>
      <c r="E2010" s="575"/>
      <c r="F2010" s="34"/>
      <c r="G2010" s="34"/>
      <c r="H2010" s="48"/>
    </row>
    <row r="2011" spans="1:8" x14ac:dyDescent="0.2">
      <c r="A2011" s="593"/>
      <c r="B2011" s="593"/>
      <c r="C2011" s="596"/>
      <c r="D2011" s="593"/>
      <c r="E2011" s="593"/>
    </row>
    <row r="2012" spans="1:8" x14ac:dyDescent="0.2">
      <c r="A2012" s="552" t="s">
        <v>14</v>
      </c>
      <c r="B2012" s="555" t="s">
        <v>641</v>
      </c>
      <c r="C2012" s="556" t="s">
        <v>15</v>
      </c>
      <c r="D2012" s="554"/>
      <c r="E2012" s="554"/>
      <c r="F2012" s="554"/>
      <c r="G2012" s="554"/>
      <c r="H2012" s="554"/>
    </row>
    <row r="2013" spans="1:8" x14ac:dyDescent="0.2">
      <c r="A2013" s="557" t="s">
        <v>16</v>
      </c>
      <c r="B2013" s="558"/>
      <c r="C2013" s="559">
        <v>2021</v>
      </c>
      <c r="D2013" s="560">
        <v>2022</v>
      </c>
      <c r="E2013" s="584">
        <v>2023</v>
      </c>
      <c r="F2013" s="584">
        <v>2024</v>
      </c>
      <c r="G2013" s="584">
        <v>2025</v>
      </c>
      <c r="H2013" s="584">
        <v>2026</v>
      </c>
    </row>
    <row r="2014" spans="1:8" x14ac:dyDescent="0.2">
      <c r="A2014" s="557" t="s">
        <v>17</v>
      </c>
      <c r="B2014" s="558"/>
      <c r="C2014" s="561">
        <v>25</v>
      </c>
      <c r="D2014" s="561">
        <v>25</v>
      </c>
      <c r="E2014" s="561">
        <v>25</v>
      </c>
      <c r="F2014" s="561">
        <v>25</v>
      </c>
      <c r="G2014" s="561">
        <v>25</v>
      </c>
      <c r="H2014" s="585">
        <v>25</v>
      </c>
    </row>
    <row r="2015" spans="1:8" x14ac:dyDescent="0.2">
      <c r="A2015" s="557" t="s">
        <v>18</v>
      </c>
      <c r="B2015" s="558"/>
      <c r="C2015" s="561">
        <v>30</v>
      </c>
      <c r="D2015" s="561">
        <v>30</v>
      </c>
      <c r="E2015" s="597">
        <f>E2014+0.1*C2014</f>
        <v>27.5</v>
      </c>
      <c r="F2015" s="597">
        <f>F2014+0.1*D2014</f>
        <v>27.5</v>
      </c>
      <c r="G2015" s="597">
        <f>G2014+0.1*E2014</f>
        <v>27.5</v>
      </c>
      <c r="H2015" s="585">
        <v>27.5</v>
      </c>
    </row>
    <row r="2016" spans="1:8" x14ac:dyDescent="0.2">
      <c r="A2016" s="557" t="s">
        <v>19</v>
      </c>
      <c r="B2016" s="558"/>
      <c r="C2016" s="597" t="s">
        <v>683</v>
      </c>
      <c r="D2016" s="597" t="s">
        <v>684</v>
      </c>
      <c r="E2016" s="597" t="s">
        <v>1082</v>
      </c>
      <c r="F2016" s="597" t="s">
        <v>1083</v>
      </c>
      <c r="G2016" s="597" t="s">
        <v>1084</v>
      </c>
      <c r="H2016" s="586" t="s">
        <v>1230</v>
      </c>
    </row>
    <row r="2017" spans="1:8" x14ac:dyDescent="0.2">
      <c r="A2017" s="557" t="s">
        <v>20</v>
      </c>
      <c r="B2017" s="558"/>
      <c r="C2017" s="561">
        <v>0</v>
      </c>
      <c r="D2017" s="565">
        <v>0</v>
      </c>
      <c r="E2017" s="563">
        <v>0</v>
      </c>
      <c r="F2017" s="563">
        <v>0</v>
      </c>
      <c r="G2017" s="563"/>
      <c r="H2017" s="586"/>
    </row>
    <row r="2018" spans="1:8" x14ac:dyDescent="0.2">
      <c r="A2018" s="557" t="s">
        <v>21</v>
      </c>
      <c r="B2018" s="558"/>
      <c r="C2018" s="561">
        <v>30</v>
      </c>
      <c r="D2018" s="565">
        <f>D2015-D2017</f>
        <v>30</v>
      </c>
      <c r="E2018" s="565">
        <f>E2015-E2017</f>
        <v>27.5</v>
      </c>
      <c r="F2018" s="565">
        <f>F2015-F2017</f>
        <v>27.5</v>
      </c>
      <c r="G2018" s="563"/>
      <c r="H2018" s="586"/>
    </row>
    <row r="2019" spans="1:8" x14ac:dyDescent="0.2">
      <c r="A2019" s="566" t="s">
        <v>22</v>
      </c>
      <c r="B2019" s="567"/>
      <c r="C2019" s="568">
        <v>2023</v>
      </c>
      <c r="D2019" s="569">
        <v>2024</v>
      </c>
      <c r="E2019" s="568">
        <v>2025</v>
      </c>
      <c r="F2019" s="568">
        <v>2026</v>
      </c>
      <c r="G2019" s="568">
        <v>2027</v>
      </c>
      <c r="H2019" s="587">
        <v>2028</v>
      </c>
    </row>
    <row r="2020" spans="1:8" x14ac:dyDescent="0.2">
      <c r="A2020" s="588" t="s">
        <v>689</v>
      </c>
      <c r="B2020" s="598"/>
      <c r="C2020" s="599"/>
      <c r="D2020" s="599"/>
      <c r="E2020" s="599"/>
      <c r="F2020" s="599"/>
      <c r="G2020" s="19"/>
      <c r="H2020" s="63"/>
    </row>
    <row r="2021" spans="1:8" x14ac:dyDescent="0.2">
      <c r="A2021" s="590" t="s">
        <v>1085</v>
      </c>
      <c r="B2021" s="554"/>
      <c r="C2021" s="554"/>
      <c r="D2021" s="554"/>
      <c r="E2021" s="554"/>
      <c r="H2021" s="64"/>
    </row>
    <row r="2022" spans="1:8" x14ac:dyDescent="0.2">
      <c r="A2022" s="590" t="s">
        <v>1086</v>
      </c>
      <c r="B2022" s="554"/>
      <c r="C2022" s="554"/>
      <c r="D2022" s="554"/>
      <c r="E2022" s="554"/>
      <c r="H2022" s="64"/>
    </row>
    <row r="2023" spans="1:8" x14ac:dyDescent="0.2">
      <c r="A2023" s="594" t="s">
        <v>1228</v>
      </c>
      <c r="B2023" s="575"/>
      <c r="C2023" s="575"/>
      <c r="D2023" s="575"/>
      <c r="E2023" s="575"/>
      <c r="F2023" s="34"/>
      <c r="G2023" s="34"/>
      <c r="H2023" s="48"/>
    </row>
    <row r="2024" spans="1:8" x14ac:dyDescent="0.2">
      <c r="A2024" s="554"/>
      <c r="B2024" s="554"/>
      <c r="C2024" s="554"/>
      <c r="D2024" s="554"/>
      <c r="E2024" s="554"/>
    </row>
    <row r="2025" spans="1:8" x14ac:dyDescent="0.2">
      <c r="A2025" s="552" t="s">
        <v>14</v>
      </c>
      <c r="B2025" s="555" t="s">
        <v>642</v>
      </c>
      <c r="C2025" s="556" t="s">
        <v>15</v>
      </c>
      <c r="D2025" s="554"/>
      <c r="E2025" s="554"/>
      <c r="F2025" s="554"/>
      <c r="G2025" s="554"/>
      <c r="H2025" s="554"/>
    </row>
    <row r="2026" spans="1:8" x14ac:dyDescent="0.2">
      <c r="A2026" s="557" t="s">
        <v>16</v>
      </c>
      <c r="B2026" s="558"/>
      <c r="C2026" s="559">
        <v>2021</v>
      </c>
      <c r="D2026" s="560">
        <v>2022</v>
      </c>
      <c r="E2026" s="584">
        <v>2023</v>
      </c>
      <c r="F2026" s="584">
        <v>2024</v>
      </c>
      <c r="G2026" s="584">
        <v>2025</v>
      </c>
      <c r="H2026" s="584">
        <v>2026</v>
      </c>
    </row>
    <row r="2027" spans="1:8" x14ac:dyDescent="0.2">
      <c r="A2027" s="557" t="s">
        <v>17</v>
      </c>
      <c r="B2027" s="558"/>
      <c r="C2027" s="561">
        <v>48.4</v>
      </c>
      <c r="D2027" s="561">
        <v>48.4</v>
      </c>
      <c r="E2027" s="561">
        <v>63</v>
      </c>
      <c r="F2027" s="561">
        <v>63</v>
      </c>
      <c r="G2027" s="561">
        <v>63</v>
      </c>
      <c r="H2027" s="561">
        <v>63</v>
      </c>
    </row>
    <row r="2028" spans="1:8" x14ac:dyDescent="0.2">
      <c r="A2028" s="557" t="s">
        <v>18</v>
      </c>
      <c r="B2028" s="558"/>
      <c r="C2028" s="561"/>
      <c r="D2028" s="561">
        <f>D2027+0.05*C2027</f>
        <v>50.82</v>
      </c>
      <c r="E2028" s="563">
        <f>E2027+0.05*D2027</f>
        <v>65.42</v>
      </c>
      <c r="F2028" s="563">
        <f>F2027+0.05*E2027</f>
        <v>66.150000000000006</v>
      </c>
      <c r="G2028" s="563">
        <v>66.150000000000006</v>
      </c>
      <c r="H2028" s="586"/>
    </row>
    <row r="2029" spans="1:8" x14ac:dyDescent="0.2">
      <c r="A2029" s="557" t="s">
        <v>19</v>
      </c>
      <c r="B2029" s="558"/>
      <c r="C2029" s="563"/>
      <c r="D2029" s="565" t="s">
        <v>856</v>
      </c>
      <c r="E2029" s="563" t="s">
        <v>857</v>
      </c>
      <c r="F2029" s="563" t="s">
        <v>858</v>
      </c>
      <c r="G2029" s="563" t="s">
        <v>1087</v>
      </c>
      <c r="H2029" s="586" t="s">
        <v>1231</v>
      </c>
    </row>
    <row r="2030" spans="1:8" x14ac:dyDescent="0.2">
      <c r="A2030" s="557" t="s">
        <v>20</v>
      </c>
      <c r="B2030" s="558"/>
      <c r="C2030" s="561">
        <v>2.92</v>
      </c>
      <c r="D2030" s="565">
        <v>4.609</v>
      </c>
      <c r="E2030" s="563">
        <v>22.1</v>
      </c>
      <c r="F2030" s="563">
        <v>39.75</v>
      </c>
      <c r="G2030" s="563"/>
      <c r="H2030" s="586"/>
    </row>
    <row r="2031" spans="1:8" x14ac:dyDescent="0.2">
      <c r="A2031" s="557" t="s">
        <v>21</v>
      </c>
      <c r="B2031" s="558"/>
      <c r="C2031" s="561">
        <f>C2027-C2030</f>
        <v>45.48</v>
      </c>
      <c r="D2031" s="561">
        <f>D2028-D2030</f>
        <v>46.210999999999999</v>
      </c>
      <c r="E2031" s="561">
        <f>E2028-E2030</f>
        <v>43.32</v>
      </c>
      <c r="F2031" s="561">
        <f>F2028-F2030</f>
        <v>26.400000000000006</v>
      </c>
      <c r="G2031" s="563"/>
      <c r="H2031" s="586"/>
    </row>
    <row r="2032" spans="1:8" x14ac:dyDescent="0.2">
      <c r="A2032" s="566" t="s">
        <v>22</v>
      </c>
      <c r="B2032" s="567"/>
      <c r="C2032" s="568">
        <v>2022</v>
      </c>
      <c r="D2032" s="569">
        <v>2023</v>
      </c>
      <c r="E2032" s="568">
        <v>2024</v>
      </c>
      <c r="F2032" s="568">
        <v>2025</v>
      </c>
      <c r="G2032" s="568">
        <v>2026</v>
      </c>
      <c r="H2032" s="587">
        <v>2027</v>
      </c>
    </row>
    <row r="2033" spans="1:8" x14ac:dyDescent="0.2">
      <c r="A2033" s="588" t="s">
        <v>690</v>
      </c>
      <c r="B2033" s="598"/>
      <c r="C2033" s="599"/>
      <c r="D2033" s="599"/>
      <c r="E2033" s="599"/>
      <c r="F2033" s="599"/>
      <c r="G2033" s="599"/>
      <c r="H2033" s="63"/>
    </row>
    <row r="2034" spans="1:8" x14ac:dyDescent="0.2">
      <c r="A2034" s="590" t="s">
        <v>859</v>
      </c>
      <c r="B2034" s="554"/>
      <c r="C2034" s="600"/>
      <c r="D2034" s="600"/>
      <c r="E2034" s="600"/>
      <c r="F2034" s="600"/>
      <c r="G2034" s="600"/>
      <c r="H2034" s="64"/>
    </row>
    <row r="2035" spans="1:8" x14ac:dyDescent="0.2">
      <c r="A2035" s="590" t="s">
        <v>1088</v>
      </c>
      <c r="B2035" s="554"/>
      <c r="C2035" s="600"/>
      <c r="D2035" s="600"/>
      <c r="E2035" s="600"/>
      <c r="F2035" s="600"/>
      <c r="G2035" s="600"/>
      <c r="H2035" s="64"/>
    </row>
    <row r="2036" spans="1:8" x14ac:dyDescent="0.2">
      <c r="A2036" s="594" t="s">
        <v>1229</v>
      </c>
      <c r="B2036" s="575"/>
      <c r="C2036" s="575"/>
      <c r="D2036" s="575"/>
      <c r="E2036" s="575"/>
      <c r="F2036" s="34"/>
      <c r="G2036" s="34"/>
      <c r="H2036" s="48"/>
    </row>
    <row r="2037" spans="1:8" x14ac:dyDescent="0.2">
      <c r="A2037" s="554"/>
      <c r="B2037" s="554"/>
      <c r="C2037" s="554"/>
      <c r="D2037" s="554"/>
      <c r="E2037" s="554"/>
    </row>
    <row r="2038" spans="1:8" x14ac:dyDescent="0.2">
      <c r="A2038" s="552" t="s">
        <v>14</v>
      </c>
      <c r="B2038" s="555" t="s">
        <v>645</v>
      </c>
      <c r="C2038" s="556" t="s">
        <v>15</v>
      </c>
      <c r="D2038" s="554"/>
      <c r="E2038" s="554"/>
      <c r="F2038" s="554"/>
      <c r="G2038" s="554"/>
      <c r="H2038" s="554"/>
    </row>
    <row r="2039" spans="1:8" x14ac:dyDescent="0.2">
      <c r="A2039" s="557" t="s">
        <v>16</v>
      </c>
      <c r="B2039" s="558"/>
      <c r="C2039" s="559">
        <v>2021</v>
      </c>
      <c r="D2039" s="560">
        <v>2022</v>
      </c>
      <c r="E2039" s="584">
        <v>2023</v>
      </c>
      <c r="F2039" s="584">
        <v>2024</v>
      </c>
      <c r="G2039" s="584">
        <v>2025</v>
      </c>
      <c r="H2039" s="584">
        <v>2026</v>
      </c>
    </row>
    <row r="2040" spans="1:8" x14ac:dyDescent="0.2">
      <c r="A2040" s="557" t="s">
        <v>17</v>
      </c>
      <c r="B2040" s="558"/>
      <c r="C2040" s="561">
        <v>5.31</v>
      </c>
      <c r="D2040" s="561">
        <v>6.18</v>
      </c>
      <c r="E2040" s="561">
        <v>6.18</v>
      </c>
      <c r="F2040" s="561">
        <v>6.18</v>
      </c>
      <c r="G2040" s="561">
        <v>6.18</v>
      </c>
      <c r="H2040" s="586">
        <v>6.18</v>
      </c>
    </row>
    <row r="2041" spans="1:8" x14ac:dyDescent="0.2">
      <c r="A2041" s="557" t="s">
        <v>18</v>
      </c>
      <c r="B2041" s="558"/>
      <c r="C2041" s="561">
        <v>10.62</v>
      </c>
      <c r="D2041" s="561">
        <f>D2040+C2040</f>
        <v>11.489999999999998</v>
      </c>
      <c r="E2041" s="563">
        <f>E2040+D2040</f>
        <v>12.36</v>
      </c>
      <c r="F2041" s="563">
        <f>F2040*2</f>
        <v>12.36</v>
      </c>
      <c r="G2041" s="563">
        <f>G2040*2</f>
        <v>12.36</v>
      </c>
      <c r="H2041" s="586">
        <v>12.36</v>
      </c>
    </row>
    <row r="2042" spans="1:8" x14ac:dyDescent="0.2">
      <c r="A2042" s="557" t="s">
        <v>19</v>
      </c>
      <c r="B2042" s="558"/>
      <c r="C2042" s="563"/>
      <c r="D2042" s="565" t="s">
        <v>860</v>
      </c>
      <c r="E2042" s="563" t="s">
        <v>861</v>
      </c>
      <c r="F2042" s="563" t="s">
        <v>862</v>
      </c>
      <c r="G2042" s="563" t="s">
        <v>1089</v>
      </c>
      <c r="H2042" s="586" t="s">
        <v>1232</v>
      </c>
    </row>
    <row r="2043" spans="1:8" x14ac:dyDescent="0.2">
      <c r="A2043" s="557" t="s">
        <v>20</v>
      </c>
      <c r="B2043" s="558"/>
      <c r="C2043" s="561">
        <v>0.71</v>
      </c>
      <c r="D2043" s="565">
        <v>0</v>
      </c>
      <c r="E2043" s="563">
        <v>0.55000000000000004</v>
      </c>
      <c r="F2043" s="563">
        <v>0</v>
      </c>
      <c r="G2043" s="563"/>
      <c r="H2043" s="586"/>
    </row>
    <row r="2044" spans="1:8" x14ac:dyDescent="0.2">
      <c r="A2044" s="557" t="s">
        <v>21</v>
      </c>
      <c r="B2044" s="558"/>
      <c r="C2044" s="561">
        <f>C2041-C2043</f>
        <v>9.91</v>
      </c>
      <c r="D2044" s="561">
        <f>D2041-D2043</f>
        <v>11.489999999999998</v>
      </c>
      <c r="E2044" s="561">
        <f>E2041-E2043</f>
        <v>11.809999999999999</v>
      </c>
      <c r="F2044" s="561">
        <f>F2041-F2043</f>
        <v>12.36</v>
      </c>
      <c r="G2044" s="563"/>
      <c r="H2044" s="586"/>
    </row>
    <row r="2045" spans="1:8" x14ac:dyDescent="0.2">
      <c r="A2045" s="566" t="s">
        <v>22</v>
      </c>
      <c r="B2045" s="567"/>
      <c r="C2045" s="568">
        <v>2022</v>
      </c>
      <c r="D2045" s="569">
        <v>2023</v>
      </c>
      <c r="E2045" s="568">
        <v>2024</v>
      </c>
      <c r="F2045" s="568">
        <v>2025</v>
      </c>
      <c r="G2045" s="568">
        <v>2026</v>
      </c>
      <c r="H2045" s="587">
        <v>2027</v>
      </c>
    </row>
    <row r="2046" spans="1:8" x14ac:dyDescent="0.2">
      <c r="A2046" s="588" t="s">
        <v>691</v>
      </c>
      <c r="B2046" s="598"/>
      <c r="C2046" s="599"/>
      <c r="D2046" s="599"/>
      <c r="E2046" s="599"/>
      <c r="F2046" s="599"/>
      <c r="G2046" s="599"/>
      <c r="H2046" s="63"/>
    </row>
    <row r="2047" spans="1:8" x14ac:dyDescent="0.2">
      <c r="A2047" s="590" t="s">
        <v>863</v>
      </c>
      <c r="B2047" s="554"/>
      <c r="C2047" s="554"/>
      <c r="D2047" s="554"/>
      <c r="E2047" s="554"/>
      <c r="F2047" s="554"/>
      <c r="G2047" s="554"/>
      <c r="H2047" s="64"/>
    </row>
    <row r="2048" spans="1:8" x14ac:dyDescent="0.2">
      <c r="A2048" s="590" t="s">
        <v>1090</v>
      </c>
      <c r="B2048" s="554"/>
      <c r="C2048" s="554"/>
      <c r="D2048" s="554"/>
      <c r="E2048" s="554"/>
      <c r="F2048" s="554"/>
      <c r="G2048" s="554"/>
      <c r="H2048" s="64"/>
    </row>
    <row r="2049" spans="1:8" x14ac:dyDescent="0.2">
      <c r="A2049" s="594" t="s">
        <v>1233</v>
      </c>
      <c r="B2049" s="575"/>
      <c r="C2049" s="575"/>
      <c r="D2049" s="575"/>
      <c r="E2049" s="575"/>
      <c r="F2049" s="34"/>
      <c r="G2049" s="34"/>
      <c r="H2049" s="48"/>
    </row>
    <row r="2050" spans="1:8" x14ac:dyDescent="0.2">
      <c r="A2050" s="554"/>
      <c r="B2050" s="554"/>
      <c r="C2050" s="554"/>
      <c r="D2050" s="554"/>
      <c r="E2050" s="554"/>
    </row>
    <row r="2051" spans="1:8" x14ac:dyDescent="0.2">
      <c r="A2051" s="6" t="s">
        <v>204</v>
      </c>
      <c r="B2051" s="7" t="s">
        <v>819</v>
      </c>
    </row>
    <row r="2052" spans="1:8" x14ac:dyDescent="0.2">
      <c r="A2052" s="6" t="s">
        <v>203</v>
      </c>
      <c r="B2052" s="7" t="s">
        <v>638</v>
      </c>
      <c r="C2052" s="9" t="s">
        <v>15</v>
      </c>
    </row>
    <row r="2053" spans="1:8" x14ac:dyDescent="0.2">
      <c r="A2053" s="11" t="s">
        <v>16</v>
      </c>
      <c r="B2053" s="11"/>
      <c r="C2053" s="11"/>
      <c r="D2053" s="155">
        <v>2022</v>
      </c>
      <c r="E2053" s="155">
        <v>2023</v>
      </c>
      <c r="F2053" s="155">
        <v>2024</v>
      </c>
      <c r="G2053" s="155">
        <v>2025</v>
      </c>
    </row>
    <row r="2054" spans="1:8" x14ac:dyDescent="0.2">
      <c r="A2054" s="11" t="s">
        <v>17</v>
      </c>
      <c r="B2054" s="12"/>
      <c r="C2054" s="12"/>
      <c r="D2054" s="12">
        <v>440</v>
      </c>
      <c r="E2054" s="12">
        <v>530</v>
      </c>
      <c r="F2054" s="12">
        <v>530</v>
      </c>
      <c r="G2054" s="12">
        <v>530</v>
      </c>
    </row>
    <row r="2055" spans="1:8" x14ac:dyDescent="0.2">
      <c r="A2055" s="11" t="s">
        <v>18</v>
      </c>
      <c r="B2055" s="12"/>
      <c r="C2055" s="12"/>
      <c r="D2055" s="12">
        <f>D2054+0.25*440-52.95</f>
        <v>497.05</v>
      </c>
      <c r="E2055" s="12">
        <f>E2054+0.25*440-100</f>
        <v>540</v>
      </c>
      <c r="F2055" s="12">
        <f>F2054-100</f>
        <v>430</v>
      </c>
      <c r="G2055" s="12">
        <f>G2054+0.25*E2054-100</f>
        <v>562.5</v>
      </c>
    </row>
    <row r="2056" spans="1:8" x14ac:dyDescent="0.2">
      <c r="A2056" s="10" t="s">
        <v>19</v>
      </c>
      <c r="B2056" s="287"/>
      <c r="C2056" s="12"/>
      <c r="D2056" s="12"/>
      <c r="E2056" s="12"/>
      <c r="F2056" s="12"/>
      <c r="G2056" s="12"/>
    </row>
    <row r="2057" spans="1:8" x14ac:dyDescent="0.2">
      <c r="A2057" s="10" t="s">
        <v>20</v>
      </c>
      <c r="B2057" s="12"/>
      <c r="C2057" s="12"/>
      <c r="D2057" s="12">
        <v>0</v>
      </c>
      <c r="E2057" s="12">
        <v>0</v>
      </c>
      <c r="F2057" s="12"/>
      <c r="G2057" s="12"/>
    </row>
    <row r="2058" spans="1:8" x14ac:dyDescent="0.2">
      <c r="A2058" s="10" t="s">
        <v>21</v>
      </c>
      <c r="B2058" s="12"/>
      <c r="C2058" s="12"/>
      <c r="D2058" s="12">
        <f>D2055-D2057</f>
        <v>497.05</v>
      </c>
      <c r="E2058" s="12">
        <f>E2055-E2057</f>
        <v>540</v>
      </c>
      <c r="F2058" s="12"/>
      <c r="G2058" s="12"/>
    </row>
    <row r="2059" spans="1:8" x14ac:dyDescent="0.2">
      <c r="A2059" s="16" t="s">
        <v>22</v>
      </c>
      <c r="B2059" s="17"/>
      <c r="C2059" s="17"/>
      <c r="D2059" s="160">
        <v>2024</v>
      </c>
      <c r="E2059" s="160">
        <v>2025</v>
      </c>
      <c r="F2059" s="160">
        <v>2026</v>
      </c>
      <c r="G2059" s="160">
        <v>2027</v>
      </c>
    </row>
    <row r="2060" spans="1:8" x14ac:dyDescent="0.2">
      <c r="A2060" s="16" t="s">
        <v>23</v>
      </c>
      <c r="B2060" s="46"/>
      <c r="C2060" s="46"/>
      <c r="D2060" s="179"/>
      <c r="E2060" s="179"/>
      <c r="F2060" s="179"/>
      <c r="G2060" s="180"/>
    </row>
    <row r="2061" spans="1:8" x14ac:dyDescent="0.2">
      <c r="A2061" s="39" t="s">
        <v>909</v>
      </c>
      <c r="D2061" s="471"/>
      <c r="E2061" s="471"/>
      <c r="F2061" s="471"/>
      <c r="G2061" s="545"/>
    </row>
    <row r="2062" spans="1:8" x14ac:dyDescent="0.2">
      <c r="A2062" s="39" t="s">
        <v>820</v>
      </c>
      <c r="G2062" s="64"/>
    </row>
    <row r="2063" spans="1:8" x14ac:dyDescent="0.2">
      <c r="A2063" s="39" t="s">
        <v>1103</v>
      </c>
      <c r="G2063" s="64"/>
    </row>
    <row r="2064" spans="1:8" x14ac:dyDescent="0.2">
      <c r="A2064" s="41" t="s">
        <v>1104</v>
      </c>
      <c r="B2064" s="34"/>
      <c r="C2064" s="34"/>
      <c r="D2064" s="34"/>
      <c r="E2064" s="34"/>
      <c r="F2064" s="34"/>
      <c r="G2064" s="48"/>
    </row>
    <row r="2067" spans="1:12" x14ac:dyDescent="0.2">
      <c r="A2067" s="552" t="s">
        <v>12</v>
      </c>
      <c r="B2067" s="553" t="s">
        <v>114</v>
      </c>
      <c r="D2067" s="554"/>
      <c r="E2067" s="554"/>
      <c r="F2067" s="554"/>
      <c r="G2067" s="554"/>
      <c r="H2067" s="554"/>
    </row>
    <row r="2068" spans="1:12" x14ac:dyDescent="0.2">
      <c r="A2068" s="552" t="s">
        <v>14</v>
      </c>
      <c r="B2068" s="555" t="s">
        <v>624</v>
      </c>
      <c r="C2068" s="556" t="s">
        <v>15</v>
      </c>
      <c r="D2068" s="554"/>
      <c r="E2068" s="554"/>
      <c r="F2068" s="554"/>
      <c r="G2068" s="554"/>
      <c r="H2068" s="554"/>
    </row>
    <row r="2069" spans="1:12" x14ac:dyDescent="0.2">
      <c r="A2069" s="557" t="s">
        <v>16</v>
      </c>
      <c r="B2069" s="558"/>
      <c r="C2069" s="559">
        <v>2016</v>
      </c>
      <c r="D2069" s="560">
        <v>2017</v>
      </c>
      <c r="E2069" s="584">
        <v>2018</v>
      </c>
      <c r="F2069" s="602">
        <v>2019</v>
      </c>
      <c r="G2069" s="603">
        <v>2020</v>
      </c>
      <c r="H2069" s="603">
        <v>2021</v>
      </c>
      <c r="I2069" s="603">
        <v>2022</v>
      </c>
      <c r="J2069" s="603">
        <v>2023</v>
      </c>
      <c r="K2069" s="603">
        <v>2024</v>
      </c>
      <c r="L2069" s="603">
        <v>2025</v>
      </c>
    </row>
    <row r="2070" spans="1:12" x14ac:dyDescent="0.2">
      <c r="A2070" s="557" t="s">
        <v>17</v>
      </c>
      <c r="B2070" s="558"/>
      <c r="C2070" s="561">
        <v>527</v>
      </c>
      <c r="D2070" s="561">
        <v>527</v>
      </c>
      <c r="E2070" s="563">
        <v>632.4</v>
      </c>
      <c r="F2070" s="604">
        <v>632.4</v>
      </c>
      <c r="G2070" s="605">
        <v>632.4</v>
      </c>
      <c r="H2070" s="605">
        <v>711.5</v>
      </c>
      <c r="I2070" s="605">
        <v>711.5</v>
      </c>
      <c r="J2070" s="605">
        <v>711.5</v>
      </c>
      <c r="K2070" s="605">
        <v>889.4</v>
      </c>
      <c r="L2070" s="605">
        <v>889.4</v>
      </c>
    </row>
    <row r="2071" spans="1:12" x14ac:dyDescent="0.2">
      <c r="A2071" s="557" t="s">
        <v>18</v>
      </c>
      <c r="B2071" s="558"/>
      <c r="C2071" s="561">
        <v>658.75</v>
      </c>
      <c r="D2071" s="561">
        <v>658.75</v>
      </c>
      <c r="E2071" s="563">
        <v>764.15</v>
      </c>
      <c r="F2071" s="604">
        <v>790.5</v>
      </c>
      <c r="G2071" s="605">
        <v>790.5</v>
      </c>
      <c r="H2071" s="605">
        <f>H2070+0.25*G2070</f>
        <v>869.6</v>
      </c>
      <c r="I2071" s="605">
        <f>I2070+0.25*H2070</f>
        <v>889.375</v>
      </c>
      <c r="J2071" s="605">
        <f>J2070+0.25*I2070</f>
        <v>889.375</v>
      </c>
      <c r="K2071" s="605">
        <f>K2070+0.25*J2070</f>
        <v>1067.2750000000001</v>
      </c>
      <c r="L2071" s="605">
        <f>L2070+0.25*K2070</f>
        <v>1111.75</v>
      </c>
    </row>
    <row r="2072" spans="1:12" x14ac:dyDescent="0.2">
      <c r="A2072" s="557" t="s">
        <v>19</v>
      </c>
      <c r="B2072" s="558"/>
      <c r="C2072" s="563"/>
      <c r="D2072" s="565"/>
      <c r="E2072" s="563"/>
      <c r="F2072" s="604"/>
      <c r="G2072" s="605"/>
      <c r="H2072" s="605"/>
      <c r="I2072" s="605"/>
      <c r="J2072" s="605"/>
      <c r="K2072" s="605"/>
      <c r="L2072" s="605"/>
    </row>
    <row r="2073" spans="1:12" x14ac:dyDescent="0.2">
      <c r="A2073" s="557" t="s">
        <v>20</v>
      </c>
      <c r="B2073" s="558"/>
      <c r="C2073" s="561">
        <v>250.22</v>
      </c>
      <c r="D2073" s="565">
        <v>238.35</v>
      </c>
      <c r="E2073" s="563">
        <v>102.57</v>
      </c>
      <c r="F2073" s="604">
        <v>221.13</v>
      </c>
      <c r="G2073" s="605">
        <v>328.36</v>
      </c>
      <c r="H2073" s="605">
        <v>295.93</v>
      </c>
      <c r="I2073" s="605">
        <v>310.56</v>
      </c>
      <c r="J2073" s="606">
        <v>180.1</v>
      </c>
      <c r="K2073" s="606">
        <v>228.4</v>
      </c>
      <c r="L2073" s="605"/>
    </row>
    <row r="2074" spans="1:12" x14ac:dyDescent="0.2">
      <c r="A2074" s="557" t="s">
        <v>21</v>
      </c>
      <c r="B2074" s="558"/>
      <c r="C2074" s="561">
        <v>408.53</v>
      </c>
      <c r="D2074" s="565">
        <v>420.4</v>
      </c>
      <c r="E2074" s="563">
        <f t="shared" ref="E2074:K2074" si="79">E2071-E2073</f>
        <v>661.57999999999993</v>
      </c>
      <c r="F2074" s="604">
        <f t="shared" si="79"/>
        <v>569.37</v>
      </c>
      <c r="G2074" s="605">
        <f t="shared" si="79"/>
        <v>462.14</v>
      </c>
      <c r="H2074" s="605">
        <f t="shared" si="79"/>
        <v>573.67000000000007</v>
      </c>
      <c r="I2074" s="605">
        <f t="shared" si="79"/>
        <v>578.81500000000005</v>
      </c>
      <c r="J2074" s="606">
        <f t="shared" si="79"/>
        <v>709.27499999999998</v>
      </c>
      <c r="K2074" s="606">
        <f t="shared" si="79"/>
        <v>838.87500000000011</v>
      </c>
      <c r="L2074" s="605"/>
    </row>
    <row r="2075" spans="1:12" x14ac:dyDescent="0.2">
      <c r="A2075" s="566" t="s">
        <v>22</v>
      </c>
      <c r="B2075" s="567"/>
      <c r="C2075" s="568">
        <v>2017</v>
      </c>
      <c r="D2075" s="569">
        <v>2018</v>
      </c>
      <c r="E2075" s="568">
        <v>2019</v>
      </c>
      <c r="F2075" s="607">
        <v>2020</v>
      </c>
      <c r="G2075" s="608">
        <v>2021</v>
      </c>
      <c r="H2075" s="608">
        <v>2022</v>
      </c>
      <c r="I2075" s="608">
        <v>2023</v>
      </c>
      <c r="J2075" s="608">
        <v>2024</v>
      </c>
      <c r="K2075" s="608">
        <v>2025</v>
      </c>
      <c r="L2075" s="609">
        <v>2026</v>
      </c>
    </row>
    <row r="2076" spans="1:12" x14ac:dyDescent="0.2">
      <c r="A2076" s="610" t="s">
        <v>115</v>
      </c>
      <c r="B2076" s="611"/>
      <c r="C2076" s="611"/>
      <c r="D2076" s="611"/>
      <c r="E2076" s="611"/>
      <c r="F2076" s="611"/>
      <c r="G2076" s="611"/>
      <c r="H2076" s="611"/>
      <c r="I2076" s="611"/>
      <c r="J2076" s="611"/>
      <c r="K2076" s="611"/>
      <c r="L2076" s="88"/>
    </row>
    <row r="2077" spans="1:12" x14ac:dyDescent="0.2">
      <c r="A2077" s="588" t="s">
        <v>116</v>
      </c>
      <c r="B2077" s="598"/>
      <c r="C2077" s="598"/>
      <c r="D2077" s="516"/>
      <c r="E2077" s="516"/>
      <c r="F2077" s="516"/>
      <c r="G2077" s="516"/>
      <c r="H2077" s="516"/>
      <c r="I2077" s="516"/>
      <c r="J2077" s="598"/>
      <c r="K2077" s="598"/>
      <c r="L2077" s="63"/>
    </row>
    <row r="2078" spans="1:12" x14ac:dyDescent="0.2">
      <c r="A2078" s="590" t="s">
        <v>117</v>
      </c>
      <c r="B2078" s="554"/>
      <c r="C2078" s="554"/>
      <c r="D2078" s="554"/>
      <c r="E2078" s="554"/>
      <c r="F2078" s="554"/>
      <c r="G2078" s="554"/>
      <c r="H2078" s="554"/>
      <c r="I2078" s="554"/>
      <c r="J2078" s="554"/>
      <c r="K2078" s="554"/>
      <c r="L2078" s="64"/>
    </row>
    <row r="2079" spans="1:12" x14ac:dyDescent="0.2">
      <c r="A2079" s="590" t="s">
        <v>118</v>
      </c>
      <c r="B2079" s="554"/>
      <c r="C2079" s="554"/>
      <c r="D2079" s="554"/>
      <c r="E2079" s="554"/>
      <c r="F2079" s="554"/>
      <c r="G2079" s="554"/>
      <c r="H2079" s="554"/>
      <c r="I2079" s="554"/>
      <c r="J2079" s="554"/>
      <c r="K2079" s="554"/>
      <c r="L2079" s="64"/>
    </row>
    <row r="2080" spans="1:12" x14ac:dyDescent="0.2">
      <c r="A2080" s="590" t="s">
        <v>119</v>
      </c>
      <c r="B2080" s="554"/>
      <c r="C2080" s="554"/>
      <c r="D2080" s="554"/>
      <c r="E2080" s="554"/>
      <c r="F2080" s="554"/>
      <c r="G2080" s="554"/>
      <c r="H2080" s="554"/>
      <c r="I2080" s="554"/>
      <c r="J2080" s="554"/>
      <c r="K2080" s="554"/>
      <c r="L2080" s="64"/>
    </row>
    <row r="2081" spans="1:26" x14ac:dyDescent="0.2">
      <c r="A2081" s="590" t="s">
        <v>301</v>
      </c>
      <c r="B2081" s="554"/>
      <c r="C2081" s="554"/>
      <c r="D2081" s="554"/>
      <c r="E2081" s="554"/>
      <c r="F2081" s="554"/>
      <c r="G2081" s="554"/>
      <c r="H2081" s="554"/>
      <c r="I2081" s="554"/>
      <c r="J2081" s="554"/>
      <c r="K2081" s="554"/>
      <c r="L2081" s="64"/>
    </row>
    <row r="2082" spans="1:26" x14ac:dyDescent="0.2">
      <c r="A2082" s="590" t="s">
        <v>532</v>
      </c>
      <c r="B2082" s="554"/>
      <c r="C2082" s="554"/>
      <c r="D2082" s="554"/>
      <c r="E2082" s="554"/>
      <c r="F2082" s="554"/>
      <c r="G2082" s="554"/>
      <c r="H2082" s="554"/>
      <c r="I2082" s="554"/>
      <c r="J2082" s="554"/>
      <c r="K2082" s="554"/>
      <c r="L2082" s="64"/>
    </row>
    <row r="2083" spans="1:26" x14ac:dyDescent="0.2">
      <c r="A2083" s="590" t="s">
        <v>666</v>
      </c>
      <c r="B2083" s="554"/>
      <c r="C2083" s="554"/>
      <c r="D2083" s="554"/>
      <c r="E2083" s="554"/>
      <c r="F2083" s="554"/>
      <c r="G2083" s="554"/>
      <c r="H2083" s="554"/>
      <c r="I2083" s="554"/>
      <c r="J2083" s="554"/>
      <c r="K2083" s="554"/>
      <c r="L2083" s="64"/>
    </row>
    <row r="2084" spans="1:26" x14ac:dyDescent="0.2">
      <c r="A2084" s="590" t="s">
        <v>868</v>
      </c>
      <c r="B2084" s="554"/>
      <c r="C2084" s="554"/>
      <c r="D2084" s="554"/>
      <c r="E2084" s="554"/>
      <c r="F2084" s="554"/>
      <c r="G2084" s="554"/>
      <c r="H2084" s="554"/>
      <c r="I2084" s="554"/>
      <c r="J2084" s="554"/>
      <c r="K2084" s="554"/>
      <c r="L2084" s="64"/>
    </row>
    <row r="2085" spans="1:26" s="50" customFormat="1" ht="15" x14ac:dyDescent="0.25">
      <c r="A2085" s="39" t="s">
        <v>1023</v>
      </c>
      <c r="B2085" s="3"/>
      <c r="C2085" s="3"/>
      <c r="D2085" s="3"/>
      <c r="E2085" s="3"/>
      <c r="F2085" s="3"/>
      <c r="G2085" s="3"/>
      <c r="H2085" s="3"/>
      <c r="I2085" s="3"/>
      <c r="J2085" s="3"/>
      <c r="K2085" s="3"/>
      <c r="L2085" s="64"/>
      <c r="M2085" s="3"/>
      <c r="N2085" s="3"/>
      <c r="O2085" s="3"/>
      <c r="P2085" s="3"/>
      <c r="Q2085" s="3"/>
      <c r="R2085" s="3"/>
      <c r="S2085" s="3"/>
      <c r="T2085" s="3"/>
      <c r="U2085" s="3"/>
      <c r="V2085" s="3"/>
      <c r="W2085" s="3"/>
      <c r="X2085" s="3"/>
      <c r="Y2085" s="3"/>
      <c r="Z2085" s="3"/>
    </row>
    <row r="2086" spans="1:26" s="50" customFormat="1" ht="15" x14ac:dyDescent="0.25">
      <c r="A2086" s="151" t="s">
        <v>1130</v>
      </c>
      <c r="B2086" s="3"/>
      <c r="C2086" s="3"/>
      <c r="D2086" s="3"/>
      <c r="E2086" s="3"/>
      <c r="F2086" s="3"/>
      <c r="G2086" s="3"/>
      <c r="H2086" s="3"/>
      <c r="I2086" s="3"/>
      <c r="J2086" s="3"/>
      <c r="K2086" s="3"/>
      <c r="L2086" s="64"/>
      <c r="M2086" s="3"/>
      <c r="N2086" s="3"/>
      <c r="O2086" s="3"/>
      <c r="P2086" s="3"/>
      <c r="Q2086" s="3"/>
      <c r="R2086" s="3"/>
      <c r="S2086" s="3"/>
      <c r="T2086" s="3"/>
      <c r="U2086" s="3"/>
      <c r="V2086" s="3"/>
      <c r="W2086" s="3"/>
      <c r="X2086" s="3"/>
      <c r="Y2086" s="3"/>
      <c r="Z2086" s="3"/>
    </row>
    <row r="2087" spans="1:26" x14ac:dyDescent="0.2">
      <c r="A2087" s="590" t="s">
        <v>533</v>
      </c>
      <c r="B2087" s="554"/>
      <c r="C2087" s="554"/>
      <c r="D2087" s="554"/>
      <c r="E2087" s="554"/>
      <c r="F2087" s="554"/>
      <c r="G2087" s="554"/>
      <c r="H2087" s="554"/>
      <c r="I2087" s="554"/>
      <c r="J2087" s="554"/>
      <c r="K2087" s="554"/>
      <c r="L2087" s="64"/>
    </row>
    <row r="2088" spans="1:26" x14ac:dyDescent="0.2">
      <c r="A2088" s="590" t="s">
        <v>534</v>
      </c>
      <c r="B2088" s="554"/>
      <c r="C2088" s="554"/>
      <c r="D2088" s="554"/>
      <c r="E2088" s="554"/>
      <c r="F2088" s="554"/>
      <c r="G2088" s="554"/>
      <c r="H2088" s="554"/>
      <c r="I2088" s="554"/>
      <c r="J2088" s="554"/>
      <c r="K2088" s="554"/>
      <c r="L2088" s="64"/>
    </row>
    <row r="2089" spans="1:26" s="50" customFormat="1" ht="12.75" customHeight="1" x14ac:dyDescent="0.25">
      <c r="A2089" s="39" t="s">
        <v>1024</v>
      </c>
      <c r="B2089" s="3"/>
      <c r="C2089" s="3"/>
      <c r="D2089" s="3"/>
      <c r="E2089" s="3"/>
      <c r="F2089" s="3"/>
      <c r="G2089" s="3"/>
      <c r="H2089" s="3"/>
      <c r="I2089" s="3"/>
      <c r="J2089" s="3"/>
      <c r="K2089" s="3"/>
      <c r="L2089" s="64"/>
      <c r="M2089" s="3"/>
      <c r="N2089" s="3"/>
      <c r="O2089" s="3"/>
      <c r="P2089" s="3"/>
      <c r="Q2089" s="3"/>
      <c r="R2089" s="3"/>
      <c r="S2089" s="3"/>
      <c r="T2089" s="3"/>
      <c r="U2089" s="3"/>
      <c r="V2089" s="3"/>
      <c r="W2089" s="3"/>
      <c r="X2089" s="3"/>
      <c r="Y2089" s="3"/>
      <c r="Z2089" s="3"/>
    </row>
    <row r="2090" spans="1:26" s="59" customFormat="1" ht="12.75" customHeight="1" x14ac:dyDescent="0.25">
      <c r="A2090" s="42" t="s">
        <v>1131</v>
      </c>
      <c r="B2090" s="34"/>
      <c r="C2090" s="34"/>
      <c r="D2090" s="34"/>
      <c r="E2090" s="34"/>
      <c r="F2090" s="34"/>
      <c r="G2090" s="34"/>
      <c r="H2090" s="34"/>
      <c r="I2090" s="34"/>
      <c r="J2090" s="34"/>
      <c r="K2090" s="34"/>
      <c r="L2090" s="48"/>
      <c r="M2090" s="34"/>
      <c r="N2090" s="34"/>
      <c r="O2090" s="34"/>
      <c r="P2090" s="34"/>
      <c r="Q2090" s="34"/>
      <c r="R2090" s="34"/>
      <c r="S2090" s="34"/>
      <c r="T2090" s="34"/>
      <c r="U2090" s="34"/>
      <c r="V2090" s="34"/>
      <c r="W2090" s="34"/>
      <c r="X2090" s="34"/>
      <c r="Y2090" s="34"/>
      <c r="Z2090" s="34"/>
    </row>
    <row r="2092" spans="1:26" x14ac:dyDescent="0.2">
      <c r="A2092" s="552" t="s">
        <v>14</v>
      </c>
      <c r="B2092" s="555" t="s">
        <v>623</v>
      </c>
      <c r="C2092" s="556" t="s">
        <v>15</v>
      </c>
      <c r="D2092" s="554"/>
      <c r="E2092" s="554"/>
      <c r="F2092" s="554"/>
      <c r="G2092" s="554"/>
      <c r="H2092" s="554"/>
    </row>
    <row r="2093" spans="1:26" x14ac:dyDescent="0.2">
      <c r="A2093" s="557" t="s">
        <v>16</v>
      </c>
      <c r="B2093" s="558"/>
      <c r="C2093" s="612">
        <v>2017</v>
      </c>
      <c r="D2093" s="584">
        <v>2018</v>
      </c>
      <c r="E2093" s="584">
        <v>2019</v>
      </c>
      <c r="F2093" s="602">
        <v>2020</v>
      </c>
      <c r="G2093" s="603">
        <v>2021</v>
      </c>
      <c r="H2093" s="603">
        <v>2022</v>
      </c>
      <c r="I2093" s="603">
        <v>2023</v>
      </c>
      <c r="J2093" s="603">
        <v>2024</v>
      </c>
      <c r="K2093" s="613">
        <v>2025</v>
      </c>
    </row>
    <row r="2094" spans="1:26" x14ac:dyDescent="0.2">
      <c r="A2094" s="557" t="s">
        <v>17</v>
      </c>
      <c r="B2094" s="558"/>
      <c r="C2094" s="561">
        <v>3907</v>
      </c>
      <c r="D2094" s="561">
        <v>3907</v>
      </c>
      <c r="E2094" s="563">
        <v>3907</v>
      </c>
      <c r="F2094" s="604">
        <v>3907</v>
      </c>
      <c r="G2094" s="605">
        <v>3907</v>
      </c>
      <c r="H2094" s="605">
        <v>3907</v>
      </c>
      <c r="I2094" s="605">
        <v>3907</v>
      </c>
      <c r="J2094" s="605">
        <v>3907</v>
      </c>
      <c r="K2094" s="606">
        <v>3907</v>
      </c>
    </row>
    <row r="2095" spans="1:26" x14ac:dyDescent="0.2">
      <c r="A2095" s="557" t="s">
        <v>18</v>
      </c>
      <c r="B2095" s="558"/>
      <c r="C2095" s="561">
        <v>4468.05</v>
      </c>
      <c r="D2095" s="561">
        <v>4493.05</v>
      </c>
      <c r="E2095" s="563">
        <v>4493.05</v>
      </c>
      <c r="F2095" s="604">
        <v>4493.05</v>
      </c>
      <c r="G2095" s="605">
        <v>4493.05</v>
      </c>
      <c r="H2095" s="605">
        <v>4493.05</v>
      </c>
      <c r="I2095" s="605">
        <v>4493.05</v>
      </c>
      <c r="J2095" s="605">
        <f>J2094+I2094*0.15-200</f>
        <v>4293.05</v>
      </c>
      <c r="K2095" s="606">
        <f>K2094+(K2094*0.15)-300</f>
        <v>4193.05</v>
      </c>
    </row>
    <row r="2096" spans="1:26" x14ac:dyDescent="0.2">
      <c r="A2096" s="557" t="s">
        <v>19</v>
      </c>
      <c r="B2096" s="558"/>
      <c r="C2096" s="614"/>
      <c r="D2096" s="563"/>
      <c r="E2096" s="563"/>
      <c r="F2096" s="604"/>
      <c r="G2096" s="605"/>
      <c r="H2096" s="605"/>
      <c r="I2096" s="605"/>
      <c r="J2096" s="605"/>
      <c r="K2096" s="606"/>
    </row>
    <row r="2097" spans="1:11" x14ac:dyDescent="0.2">
      <c r="A2097" s="557" t="s">
        <v>20</v>
      </c>
      <c r="B2097" s="558"/>
      <c r="C2097" s="615">
        <v>1404.81</v>
      </c>
      <c r="D2097" s="563">
        <v>1274.78</v>
      </c>
      <c r="E2097" s="563">
        <v>1736.49</v>
      </c>
      <c r="F2097" s="604">
        <v>1441.75</v>
      </c>
      <c r="G2097" s="605">
        <v>1231.69</v>
      </c>
      <c r="H2097" s="605">
        <v>1339.32</v>
      </c>
      <c r="I2097" s="605">
        <v>1008.8</v>
      </c>
      <c r="J2097" s="605">
        <v>890.44</v>
      </c>
      <c r="K2097" s="606"/>
    </row>
    <row r="2098" spans="1:11" x14ac:dyDescent="0.2">
      <c r="A2098" s="557" t="s">
        <v>21</v>
      </c>
      <c r="B2098" s="558"/>
      <c r="C2098" s="561">
        <v>3063.24</v>
      </c>
      <c r="D2098" s="563">
        <f t="shared" ref="D2098:H2098" si="80">D2095-D2097</f>
        <v>3218.2700000000004</v>
      </c>
      <c r="E2098" s="563">
        <f t="shared" si="80"/>
        <v>2756.5600000000004</v>
      </c>
      <c r="F2098" s="563">
        <f t="shared" si="80"/>
        <v>3051.3</v>
      </c>
      <c r="G2098" s="605">
        <f t="shared" si="80"/>
        <v>3261.36</v>
      </c>
      <c r="H2098" s="605">
        <f t="shared" si="80"/>
        <v>3153.7300000000005</v>
      </c>
      <c r="I2098" s="605">
        <v>3484.25</v>
      </c>
      <c r="J2098" s="605">
        <v>3402.61</v>
      </c>
      <c r="K2098" s="606"/>
    </row>
    <row r="2099" spans="1:11" x14ac:dyDescent="0.2">
      <c r="A2099" s="566" t="s">
        <v>22</v>
      </c>
      <c r="B2099" s="567"/>
      <c r="C2099" s="600">
        <v>2018</v>
      </c>
      <c r="D2099" s="568">
        <v>2019</v>
      </c>
      <c r="E2099" s="568">
        <v>2020</v>
      </c>
      <c r="F2099" s="607">
        <v>2021</v>
      </c>
      <c r="G2099" s="608">
        <v>2022</v>
      </c>
      <c r="H2099" s="608">
        <v>2023</v>
      </c>
      <c r="I2099" s="608">
        <v>2024</v>
      </c>
      <c r="J2099" s="608">
        <v>2025</v>
      </c>
      <c r="K2099" s="616">
        <v>2026</v>
      </c>
    </row>
    <row r="2100" spans="1:11" x14ac:dyDescent="0.2">
      <c r="A2100" s="610" t="s">
        <v>120</v>
      </c>
      <c r="B2100" s="611"/>
      <c r="C2100" s="611"/>
      <c r="D2100" s="611"/>
      <c r="E2100" s="611"/>
      <c r="F2100" s="611"/>
      <c r="G2100" s="611"/>
      <c r="H2100" s="611"/>
      <c r="I2100" s="611"/>
      <c r="J2100" s="611"/>
      <c r="K2100" s="88"/>
    </row>
    <row r="2101" spans="1:11" x14ac:dyDescent="0.2">
      <c r="A2101" s="588" t="s">
        <v>121</v>
      </c>
      <c r="B2101" s="598"/>
      <c r="C2101" s="598"/>
      <c r="D2101" s="598"/>
      <c r="E2101" s="598"/>
      <c r="F2101" s="598"/>
      <c r="G2101" s="598"/>
      <c r="H2101" s="598"/>
      <c r="I2101" s="598"/>
      <c r="J2101" s="598"/>
      <c r="K2101" s="63"/>
    </row>
    <row r="2102" spans="1:11" x14ac:dyDescent="0.2">
      <c r="A2102" s="590" t="s">
        <v>122</v>
      </c>
      <c r="B2102" s="554"/>
      <c r="C2102" s="554"/>
      <c r="D2102" s="554"/>
      <c r="E2102" s="554"/>
      <c r="F2102" s="554"/>
      <c r="G2102" s="554"/>
      <c r="H2102" s="554"/>
      <c r="I2102" s="554"/>
      <c r="J2102" s="554"/>
      <c r="K2102" s="64"/>
    </row>
    <row r="2103" spans="1:11" x14ac:dyDescent="0.2">
      <c r="A2103" s="590" t="s">
        <v>123</v>
      </c>
      <c r="B2103" s="554"/>
      <c r="C2103" s="554"/>
      <c r="D2103" s="554"/>
      <c r="E2103" s="554"/>
      <c r="F2103" s="554"/>
      <c r="G2103" s="554"/>
      <c r="H2103" s="554"/>
      <c r="I2103" s="554"/>
      <c r="J2103" s="554"/>
      <c r="K2103" s="64"/>
    </row>
    <row r="2104" spans="1:11" x14ac:dyDescent="0.2">
      <c r="A2104" s="39" t="s">
        <v>302</v>
      </c>
      <c r="B2104" s="554"/>
      <c r="C2104" s="554"/>
      <c r="D2104" s="554"/>
      <c r="E2104" s="554"/>
      <c r="F2104" s="554"/>
      <c r="G2104" s="554"/>
      <c r="H2104" s="554"/>
      <c r="I2104" s="554"/>
      <c r="J2104" s="554"/>
      <c r="K2104" s="64"/>
    </row>
    <row r="2105" spans="1:11" x14ac:dyDescent="0.2">
      <c r="A2105" s="590" t="s">
        <v>535</v>
      </c>
      <c r="B2105" s="554"/>
      <c r="C2105" s="554"/>
      <c r="D2105" s="554"/>
      <c r="E2105" s="554"/>
      <c r="F2105" s="554"/>
      <c r="G2105" s="554"/>
      <c r="H2105" s="554"/>
      <c r="I2105" s="554"/>
      <c r="J2105" s="554"/>
      <c r="K2105" s="64"/>
    </row>
    <row r="2106" spans="1:11" x14ac:dyDescent="0.2">
      <c r="A2106" s="590" t="s">
        <v>667</v>
      </c>
      <c r="B2106" s="554"/>
      <c r="C2106" s="554"/>
      <c r="D2106" s="554"/>
      <c r="E2106" s="554"/>
      <c r="F2106" s="554"/>
      <c r="G2106" s="554"/>
      <c r="H2106" s="554"/>
      <c r="I2106" s="554"/>
      <c r="J2106" s="554"/>
      <c r="K2106" s="64"/>
    </row>
    <row r="2107" spans="1:11" x14ac:dyDescent="0.2">
      <c r="A2107" s="590" t="s">
        <v>869</v>
      </c>
      <c r="B2107" s="554"/>
      <c r="C2107" s="554"/>
      <c r="D2107" s="554"/>
      <c r="E2107" s="554"/>
      <c r="F2107" s="554"/>
      <c r="G2107" s="554"/>
      <c r="H2107" s="554"/>
      <c r="I2107" s="554"/>
      <c r="J2107" s="554"/>
      <c r="K2107" s="64"/>
    </row>
    <row r="2108" spans="1:11" x14ac:dyDescent="0.2">
      <c r="A2108" s="590" t="s">
        <v>1025</v>
      </c>
      <c r="B2108" s="554"/>
      <c r="C2108" s="554"/>
      <c r="D2108" s="554"/>
      <c r="E2108" s="554"/>
      <c r="F2108" s="554"/>
      <c r="G2108" s="554"/>
      <c r="H2108" s="554"/>
      <c r="I2108" s="554"/>
      <c r="J2108" s="554"/>
      <c r="K2108" s="64"/>
    </row>
    <row r="2109" spans="1:11" x14ac:dyDescent="0.2">
      <c r="A2109" s="594" t="s">
        <v>1234</v>
      </c>
      <c r="B2109" s="575"/>
      <c r="C2109" s="575"/>
      <c r="D2109" s="575"/>
      <c r="E2109" s="575"/>
      <c r="F2109" s="575"/>
      <c r="G2109" s="575"/>
      <c r="H2109" s="575"/>
      <c r="I2109" s="575"/>
      <c r="J2109" s="575"/>
      <c r="K2109" s="48"/>
    </row>
    <row r="2111" spans="1:11" x14ac:dyDescent="0.2">
      <c r="A2111" s="552" t="s">
        <v>14</v>
      </c>
      <c r="B2111" s="555" t="s">
        <v>641</v>
      </c>
      <c r="C2111" s="556" t="s">
        <v>15</v>
      </c>
      <c r="D2111" s="554"/>
      <c r="E2111" s="554"/>
      <c r="F2111" s="554"/>
      <c r="G2111" s="554"/>
      <c r="H2111" s="554"/>
    </row>
    <row r="2112" spans="1:11" x14ac:dyDescent="0.2">
      <c r="A2112" s="557" t="s">
        <v>16</v>
      </c>
      <c r="B2112" s="558"/>
      <c r="C2112" s="617">
        <v>2017</v>
      </c>
      <c r="D2112" s="618">
        <v>2018</v>
      </c>
      <c r="E2112" s="618">
        <v>2019</v>
      </c>
      <c r="F2112" s="619">
        <v>2020</v>
      </c>
      <c r="G2112" s="603">
        <v>2021</v>
      </c>
      <c r="H2112" s="603">
        <v>2022</v>
      </c>
      <c r="I2112" s="603">
        <v>2023</v>
      </c>
      <c r="J2112" s="603">
        <v>2024</v>
      </c>
      <c r="K2112" s="613">
        <v>2025</v>
      </c>
    </row>
    <row r="2113" spans="1:11" x14ac:dyDescent="0.2">
      <c r="A2113" s="557" t="s">
        <v>17</v>
      </c>
      <c r="B2113" s="557"/>
      <c r="C2113" s="620">
        <v>100</v>
      </c>
      <c r="D2113" s="620">
        <v>100</v>
      </c>
      <c r="E2113" s="605">
        <v>100</v>
      </c>
      <c r="F2113" s="605">
        <v>100</v>
      </c>
      <c r="G2113" s="605">
        <v>100</v>
      </c>
      <c r="H2113" s="605">
        <v>100</v>
      </c>
      <c r="I2113" s="605">
        <v>100</v>
      </c>
      <c r="J2113" s="605">
        <v>100</v>
      </c>
      <c r="K2113" s="606">
        <v>100</v>
      </c>
    </row>
    <row r="2114" spans="1:11" x14ac:dyDescent="0.2">
      <c r="A2114" s="557" t="s">
        <v>18</v>
      </c>
      <c r="B2114" s="557"/>
      <c r="C2114" s="620">
        <v>99.94</v>
      </c>
      <c r="D2114" s="620">
        <v>99.94</v>
      </c>
      <c r="E2114" s="605">
        <v>99.94</v>
      </c>
      <c r="F2114" s="605">
        <v>99.94</v>
      </c>
      <c r="G2114" s="605">
        <v>99.94</v>
      </c>
      <c r="H2114" s="605">
        <f>H2113-50-25-24.94+G2117</f>
        <v>100</v>
      </c>
      <c r="I2114" s="605">
        <f>I2113-50-25-25+H2117</f>
        <v>100</v>
      </c>
      <c r="J2114" s="605">
        <f>J2113-50-25-25+I2117</f>
        <v>100</v>
      </c>
      <c r="K2114" s="606">
        <f t="shared" ref="K2114" si="81">K2113-50-25-25+I2117</f>
        <v>100</v>
      </c>
    </row>
    <row r="2115" spans="1:11" x14ac:dyDescent="0.2">
      <c r="A2115" s="557" t="s">
        <v>19</v>
      </c>
      <c r="B2115" s="557"/>
      <c r="C2115" s="605"/>
      <c r="D2115" s="605"/>
      <c r="E2115" s="605"/>
      <c r="F2115" s="605"/>
      <c r="G2115" s="605"/>
      <c r="H2115" s="605"/>
      <c r="I2115" s="605"/>
      <c r="J2115" s="605"/>
      <c r="K2115" s="606"/>
    </row>
    <row r="2116" spans="1:11" x14ac:dyDescent="0.2">
      <c r="A2116" s="557" t="s">
        <v>20</v>
      </c>
      <c r="B2116" s="557"/>
      <c r="C2116" s="620">
        <v>0</v>
      </c>
      <c r="D2116" s="620">
        <v>0</v>
      </c>
      <c r="E2116" s="620">
        <v>0</v>
      </c>
      <c r="F2116" s="605">
        <v>0</v>
      </c>
      <c r="G2116" s="605">
        <v>0</v>
      </c>
      <c r="H2116" s="605">
        <v>0</v>
      </c>
      <c r="I2116" s="605">
        <v>0</v>
      </c>
      <c r="J2116" s="606">
        <v>0</v>
      </c>
      <c r="K2116" s="606"/>
    </row>
    <row r="2117" spans="1:11" x14ac:dyDescent="0.2">
      <c r="A2117" s="557" t="s">
        <v>21</v>
      </c>
      <c r="B2117" s="558"/>
      <c r="C2117" s="621">
        <v>99.94</v>
      </c>
      <c r="D2117" s="621">
        <v>99.94</v>
      </c>
      <c r="E2117" s="621">
        <v>99.94</v>
      </c>
      <c r="F2117" s="614">
        <v>99.94</v>
      </c>
      <c r="G2117" s="605">
        <v>99.94</v>
      </c>
      <c r="H2117" s="605">
        <f>H2113-H2116</f>
        <v>100</v>
      </c>
      <c r="I2117" s="605">
        <v>100</v>
      </c>
      <c r="J2117" s="606">
        <v>100</v>
      </c>
      <c r="K2117" s="606"/>
    </row>
    <row r="2118" spans="1:11" x14ac:dyDescent="0.2">
      <c r="A2118" s="566" t="s">
        <v>22</v>
      </c>
      <c r="B2118" s="567"/>
      <c r="C2118" s="600">
        <v>2018</v>
      </c>
      <c r="D2118" s="568">
        <v>2019</v>
      </c>
      <c r="E2118" s="568">
        <v>2020</v>
      </c>
      <c r="F2118" s="607">
        <v>2021</v>
      </c>
      <c r="G2118" s="608">
        <v>2022</v>
      </c>
      <c r="H2118" s="608">
        <v>2023</v>
      </c>
      <c r="I2118" s="608">
        <v>2024</v>
      </c>
      <c r="J2118" s="608">
        <v>2025</v>
      </c>
      <c r="K2118" s="616">
        <v>2026</v>
      </c>
    </row>
    <row r="2119" spans="1:11" x14ac:dyDescent="0.2">
      <c r="A2119" s="588" t="s">
        <v>124</v>
      </c>
      <c r="B2119" s="598"/>
      <c r="C2119" s="598"/>
      <c r="D2119" s="598"/>
      <c r="E2119" s="598"/>
      <c r="F2119" s="598"/>
      <c r="G2119" s="598"/>
      <c r="H2119" s="598"/>
      <c r="I2119" s="598"/>
      <c r="J2119" s="598"/>
      <c r="K2119" s="63"/>
    </row>
    <row r="2120" spans="1:11" x14ac:dyDescent="0.2">
      <c r="A2120" s="590" t="s">
        <v>125</v>
      </c>
      <c r="B2120" s="554"/>
      <c r="C2120" s="554"/>
      <c r="D2120" s="554"/>
      <c r="E2120" s="554"/>
      <c r="F2120" s="554"/>
      <c r="G2120" s="554"/>
      <c r="H2120" s="554"/>
      <c r="I2120" s="554"/>
      <c r="J2120" s="554"/>
      <c r="K2120" s="64"/>
    </row>
    <row r="2121" spans="1:11" x14ac:dyDescent="0.2">
      <c r="A2121" s="590" t="s">
        <v>126</v>
      </c>
      <c r="B2121" s="554"/>
      <c r="C2121" s="554"/>
      <c r="D2121" s="554"/>
      <c r="E2121" s="554"/>
      <c r="F2121" s="554"/>
      <c r="G2121" s="554"/>
      <c r="H2121" s="554"/>
      <c r="I2121" s="554"/>
      <c r="J2121" s="554"/>
      <c r="K2121" s="64"/>
    </row>
    <row r="2122" spans="1:11" x14ac:dyDescent="0.2">
      <c r="A2122" s="590" t="s">
        <v>127</v>
      </c>
      <c r="B2122" s="554"/>
      <c r="C2122" s="554"/>
      <c r="D2122" s="554"/>
      <c r="E2122" s="554"/>
      <c r="F2122" s="554"/>
      <c r="G2122" s="554"/>
      <c r="H2122" s="554"/>
      <c r="I2122" s="554"/>
      <c r="J2122" s="554"/>
      <c r="K2122" s="64"/>
    </row>
    <row r="2123" spans="1:11" x14ac:dyDescent="0.2">
      <c r="A2123" s="590" t="s">
        <v>303</v>
      </c>
      <c r="B2123" s="554"/>
      <c r="C2123" s="554"/>
      <c r="D2123" s="554"/>
      <c r="E2123" s="554"/>
      <c r="F2123" s="554"/>
      <c r="G2123" s="554"/>
      <c r="H2123" s="554"/>
      <c r="I2123" s="554"/>
      <c r="J2123" s="554"/>
      <c r="K2123" s="64"/>
    </row>
    <row r="2124" spans="1:11" x14ac:dyDescent="0.2">
      <c r="A2124" s="590" t="s">
        <v>536</v>
      </c>
      <c r="B2124" s="554"/>
      <c r="C2124" s="554"/>
      <c r="D2124" s="554"/>
      <c r="E2124" s="554"/>
      <c r="F2124" s="554"/>
      <c r="G2124" s="554"/>
      <c r="H2124" s="554"/>
      <c r="I2124" s="554"/>
      <c r="J2124" s="554"/>
      <c r="K2124" s="64"/>
    </row>
    <row r="2125" spans="1:11" x14ac:dyDescent="0.2">
      <c r="A2125" s="590" t="s">
        <v>577</v>
      </c>
      <c r="B2125" s="554"/>
      <c r="C2125" s="554"/>
      <c r="D2125" s="554"/>
      <c r="E2125" s="554"/>
      <c r="F2125" s="554"/>
      <c r="G2125" s="554"/>
      <c r="H2125" s="554"/>
      <c r="I2125" s="554"/>
      <c r="J2125" s="554"/>
      <c r="K2125" s="64"/>
    </row>
    <row r="2126" spans="1:11" x14ac:dyDescent="0.2">
      <c r="A2126" s="590" t="s">
        <v>870</v>
      </c>
      <c r="B2126" s="554"/>
      <c r="C2126" s="554"/>
      <c r="D2126" s="554"/>
      <c r="E2126" s="554"/>
      <c r="F2126" s="554"/>
      <c r="G2126" s="554"/>
      <c r="H2126" s="554"/>
      <c r="I2126" s="554"/>
      <c r="J2126" s="554"/>
      <c r="K2126" s="64"/>
    </row>
    <row r="2127" spans="1:11" x14ac:dyDescent="0.2">
      <c r="A2127" s="590" t="s">
        <v>1026</v>
      </c>
      <c r="B2127" s="554"/>
      <c r="C2127" s="554"/>
      <c r="D2127" s="554"/>
      <c r="E2127" s="554"/>
      <c r="F2127" s="554"/>
      <c r="G2127" s="554"/>
      <c r="H2127" s="554"/>
      <c r="I2127" s="554"/>
      <c r="J2127" s="554"/>
      <c r="K2127" s="64"/>
    </row>
    <row r="2128" spans="1:11" x14ac:dyDescent="0.2">
      <c r="A2128" s="42" t="s">
        <v>1235</v>
      </c>
      <c r="B2128" s="575"/>
      <c r="C2128" s="575"/>
      <c r="D2128" s="575"/>
      <c r="E2128" s="575"/>
      <c r="F2128" s="575"/>
      <c r="G2128" s="575"/>
      <c r="H2128" s="575"/>
      <c r="I2128" s="575"/>
      <c r="J2128" s="575"/>
      <c r="K2128" s="48"/>
    </row>
    <row r="2130" spans="1:12" x14ac:dyDescent="0.2">
      <c r="A2130" s="552" t="s">
        <v>14</v>
      </c>
      <c r="B2130" s="555" t="s">
        <v>645</v>
      </c>
      <c r="C2130" s="556" t="s">
        <v>15</v>
      </c>
      <c r="D2130" s="554"/>
      <c r="E2130" s="554"/>
      <c r="F2130" s="554"/>
    </row>
    <row r="2131" spans="1:12" x14ac:dyDescent="0.2">
      <c r="A2131" s="557" t="s">
        <v>16</v>
      </c>
      <c r="B2131" s="558"/>
      <c r="C2131" s="559">
        <v>2016</v>
      </c>
      <c r="D2131" s="602">
        <v>2017</v>
      </c>
      <c r="E2131" s="584">
        <v>2018</v>
      </c>
      <c r="F2131" s="602">
        <v>2019</v>
      </c>
      <c r="G2131" s="155">
        <v>2020</v>
      </c>
      <c r="H2131" s="155">
        <v>2021</v>
      </c>
      <c r="I2131" s="155">
        <v>2022</v>
      </c>
      <c r="J2131" s="155">
        <v>2023</v>
      </c>
      <c r="K2131" s="155">
        <v>2024</v>
      </c>
      <c r="L2131" s="613">
        <v>2025</v>
      </c>
    </row>
    <row r="2132" spans="1:12" x14ac:dyDescent="0.2">
      <c r="A2132" s="557" t="s">
        <v>17</v>
      </c>
      <c r="B2132" s="558"/>
      <c r="C2132" s="622">
        <v>1083.79</v>
      </c>
      <c r="D2132" s="622">
        <v>1083.79</v>
      </c>
      <c r="E2132" s="558">
        <v>1272.8599999999999</v>
      </c>
      <c r="F2132" s="623">
        <v>1272.8599999999999</v>
      </c>
      <c r="G2132" s="11">
        <v>1272.8599999999999</v>
      </c>
      <c r="H2132" s="11">
        <v>1272.8599999999999</v>
      </c>
      <c r="I2132" s="12">
        <v>1341.14</v>
      </c>
      <c r="J2132" s="11">
        <v>1341.14</v>
      </c>
      <c r="K2132" s="11">
        <v>1341.14</v>
      </c>
      <c r="L2132" s="624">
        <v>1341.14</v>
      </c>
    </row>
    <row r="2133" spans="1:12" x14ac:dyDescent="0.2">
      <c r="A2133" s="557" t="s">
        <v>18</v>
      </c>
      <c r="B2133" s="558"/>
      <c r="C2133" s="622">
        <v>1192.17</v>
      </c>
      <c r="D2133" s="622">
        <v>1192.17</v>
      </c>
      <c r="E2133" s="558">
        <v>1381.24</v>
      </c>
      <c r="F2133" s="623">
        <v>1400.15</v>
      </c>
      <c r="G2133" s="11">
        <v>1400.15</v>
      </c>
      <c r="H2133" s="11">
        <v>1400.15</v>
      </c>
      <c r="I2133" s="12">
        <f>I2132+0.1*H2132</f>
        <v>1468.4260000000002</v>
      </c>
      <c r="J2133" s="12">
        <f>J2132+I2136</f>
        <v>1447.6760000000002</v>
      </c>
      <c r="K2133" s="12">
        <f>K2132+0.1*J2132</f>
        <v>1475.2540000000001</v>
      </c>
      <c r="L2133" s="606">
        <v>1199.96</v>
      </c>
    </row>
    <row r="2134" spans="1:12" x14ac:dyDescent="0.2">
      <c r="A2134" s="557" t="s">
        <v>19</v>
      </c>
      <c r="B2134" s="558"/>
      <c r="C2134" s="558"/>
      <c r="D2134" s="623"/>
      <c r="E2134" s="558"/>
      <c r="F2134" s="623"/>
      <c r="G2134" s="11"/>
      <c r="H2134" s="11"/>
      <c r="I2134" s="12"/>
      <c r="J2134" s="11"/>
      <c r="K2134" s="11"/>
      <c r="L2134" s="624"/>
    </row>
    <row r="2135" spans="1:12" x14ac:dyDescent="0.2">
      <c r="A2135" s="557" t="s">
        <v>20</v>
      </c>
      <c r="B2135" s="558"/>
      <c r="C2135" s="622">
        <v>1025.0999999999999</v>
      </c>
      <c r="D2135" s="623">
        <v>996.8</v>
      </c>
      <c r="E2135" s="558">
        <v>1028.26</v>
      </c>
      <c r="F2135" s="623">
        <v>1190.78</v>
      </c>
      <c r="G2135" s="11">
        <v>1184.99</v>
      </c>
      <c r="H2135" s="11">
        <v>1205.69</v>
      </c>
      <c r="I2135" s="12">
        <v>1361.89</v>
      </c>
      <c r="J2135" s="11">
        <v>1311.3</v>
      </c>
      <c r="K2135" s="11">
        <v>1616.43</v>
      </c>
      <c r="L2135" s="624"/>
    </row>
    <row r="2136" spans="1:12" x14ac:dyDescent="0.2">
      <c r="A2136" s="557" t="s">
        <v>21</v>
      </c>
      <c r="B2136" s="558"/>
      <c r="C2136" s="622">
        <f t="shared" ref="C2136:I2136" si="82">C2133-C2135</f>
        <v>167.07000000000016</v>
      </c>
      <c r="D2136" s="622">
        <f t="shared" si="82"/>
        <v>195.37000000000012</v>
      </c>
      <c r="E2136" s="622">
        <f t="shared" si="82"/>
        <v>352.98</v>
      </c>
      <c r="F2136" s="622">
        <f t="shared" si="82"/>
        <v>209.37000000000012</v>
      </c>
      <c r="G2136" s="622">
        <f t="shared" si="82"/>
        <v>215.16000000000008</v>
      </c>
      <c r="H2136" s="11">
        <f t="shared" si="82"/>
        <v>194.46000000000004</v>
      </c>
      <c r="I2136" s="12">
        <f t="shared" si="82"/>
        <v>106.53600000000006</v>
      </c>
      <c r="J2136" s="12">
        <v>136.3760000000002</v>
      </c>
      <c r="K2136" s="25">
        <v>-141.18</v>
      </c>
      <c r="L2136" s="624"/>
    </row>
    <row r="2137" spans="1:12" x14ac:dyDescent="0.2">
      <c r="A2137" s="566" t="s">
        <v>22</v>
      </c>
      <c r="B2137" s="567"/>
      <c r="C2137" s="568">
        <v>2017</v>
      </c>
      <c r="D2137" s="607">
        <v>2018</v>
      </c>
      <c r="E2137" s="568">
        <v>2019</v>
      </c>
      <c r="F2137" s="607">
        <v>2020</v>
      </c>
      <c r="G2137" s="160">
        <v>2021</v>
      </c>
      <c r="H2137" s="160">
        <v>2022</v>
      </c>
      <c r="I2137" s="160">
        <v>2023</v>
      </c>
      <c r="J2137" s="160">
        <v>2024</v>
      </c>
      <c r="K2137" s="160">
        <v>2025</v>
      </c>
      <c r="L2137" s="616">
        <v>2026</v>
      </c>
    </row>
    <row r="2138" spans="1:12" x14ac:dyDescent="0.2">
      <c r="A2138" s="610" t="s">
        <v>538</v>
      </c>
      <c r="B2138" s="611"/>
      <c r="C2138" s="625"/>
      <c r="D2138" s="625"/>
      <c r="E2138" s="625"/>
      <c r="F2138" s="625"/>
      <c r="G2138" s="187"/>
      <c r="H2138" s="187"/>
      <c r="I2138" s="187"/>
      <c r="J2138" s="187"/>
      <c r="K2138" s="187"/>
      <c r="L2138" s="88"/>
    </row>
    <row r="2139" spans="1:12" x14ac:dyDescent="0.2">
      <c r="A2139" s="588" t="s">
        <v>128</v>
      </c>
      <c r="B2139" s="598"/>
      <c r="C2139" s="598"/>
      <c r="D2139" s="598"/>
      <c r="E2139" s="598"/>
      <c r="F2139" s="598"/>
      <c r="G2139" s="19"/>
      <c r="H2139" s="19"/>
      <c r="I2139" s="19"/>
      <c r="J2139" s="19"/>
      <c r="K2139" s="19"/>
      <c r="L2139" s="63"/>
    </row>
    <row r="2140" spans="1:12" x14ac:dyDescent="0.2">
      <c r="A2140" s="590" t="s">
        <v>129</v>
      </c>
      <c r="B2140" s="554"/>
      <c r="C2140" s="554"/>
      <c r="D2140" s="554"/>
      <c r="E2140" s="554"/>
      <c r="F2140" s="554"/>
      <c r="L2140" s="64"/>
    </row>
    <row r="2141" spans="1:12" x14ac:dyDescent="0.2">
      <c r="A2141" s="590" t="s">
        <v>130</v>
      </c>
      <c r="B2141" s="554"/>
      <c r="C2141" s="554"/>
      <c r="D2141" s="554"/>
      <c r="E2141" s="554"/>
      <c r="F2141" s="554"/>
      <c r="L2141" s="64"/>
    </row>
    <row r="2142" spans="1:12" x14ac:dyDescent="0.2">
      <c r="A2142" s="590" t="s">
        <v>131</v>
      </c>
      <c r="B2142" s="554"/>
      <c r="C2142" s="554"/>
      <c r="D2142" s="554"/>
      <c r="E2142" s="554"/>
      <c r="F2142" s="554"/>
      <c r="L2142" s="64"/>
    </row>
    <row r="2143" spans="1:12" x14ac:dyDescent="0.2">
      <c r="A2143" s="590" t="s">
        <v>304</v>
      </c>
      <c r="B2143" s="554"/>
      <c r="C2143" s="554"/>
      <c r="D2143" s="554"/>
      <c r="E2143" s="554"/>
      <c r="F2143" s="554"/>
      <c r="L2143" s="64"/>
    </row>
    <row r="2144" spans="1:12" x14ac:dyDescent="0.2">
      <c r="A2144" s="590" t="s">
        <v>537</v>
      </c>
      <c r="B2144" s="554"/>
      <c r="C2144" s="554"/>
      <c r="D2144" s="554"/>
      <c r="E2144" s="554"/>
      <c r="F2144" s="554"/>
      <c r="L2144" s="64"/>
    </row>
    <row r="2145" spans="1:16384" s="3" customFormat="1" x14ac:dyDescent="0.2">
      <c r="A2145" s="590" t="s">
        <v>669</v>
      </c>
      <c r="B2145" s="554"/>
      <c r="C2145" s="554"/>
      <c r="D2145" s="554"/>
      <c r="E2145" s="554"/>
      <c r="F2145" s="554"/>
      <c r="L2145" s="64"/>
    </row>
    <row r="2146" spans="1:16384" s="3" customFormat="1" x14ac:dyDescent="0.2">
      <c r="A2146" s="590" t="s">
        <v>871</v>
      </c>
      <c r="B2146" s="554"/>
      <c r="C2146" s="554"/>
      <c r="D2146" s="554"/>
      <c r="E2146" s="554"/>
      <c r="F2146" s="554"/>
      <c r="L2146" s="64"/>
    </row>
    <row r="2147" spans="1:16384" s="50" customFormat="1" ht="12.75" customHeight="1" x14ac:dyDescent="0.25">
      <c r="A2147" s="39" t="s">
        <v>1027</v>
      </c>
      <c r="B2147" s="3"/>
      <c r="C2147" s="3"/>
      <c r="D2147" s="3"/>
      <c r="E2147" s="3"/>
      <c r="F2147" s="3"/>
      <c r="G2147" s="3"/>
      <c r="H2147" s="3"/>
      <c r="I2147" s="3"/>
      <c r="J2147" s="3"/>
      <c r="K2147" s="3"/>
      <c r="L2147" s="64"/>
      <c r="M2147" s="3"/>
      <c r="N2147" s="3"/>
      <c r="O2147" s="3"/>
      <c r="P2147" s="3"/>
      <c r="Q2147" s="3"/>
      <c r="R2147" s="3"/>
      <c r="S2147" s="3"/>
      <c r="T2147" s="3"/>
      <c r="U2147" s="3"/>
      <c r="V2147" s="3"/>
      <c r="W2147" s="3"/>
      <c r="X2147" s="3"/>
      <c r="Y2147" s="3"/>
      <c r="Z2147" s="3"/>
    </row>
    <row r="2148" spans="1:16384" s="626" customFormat="1" ht="12.75" customHeight="1" x14ac:dyDescent="0.25">
      <c r="A2148" s="151" t="s">
        <v>1236</v>
      </c>
      <c r="B2148" s="45" t="s">
        <v>1236</v>
      </c>
      <c r="C2148" s="45" t="s">
        <v>1236</v>
      </c>
      <c r="D2148" s="45" t="s">
        <v>1236</v>
      </c>
      <c r="E2148" s="45" t="s">
        <v>1236</v>
      </c>
      <c r="F2148" s="45" t="s">
        <v>1236</v>
      </c>
      <c r="G2148" s="45" t="s">
        <v>1236</v>
      </c>
      <c r="H2148" s="45" t="s">
        <v>1236</v>
      </c>
      <c r="I2148" s="45" t="s">
        <v>1236</v>
      </c>
      <c r="J2148" s="45" t="s">
        <v>1236</v>
      </c>
      <c r="K2148" s="45" t="s">
        <v>1236</v>
      </c>
      <c r="L2148" s="40" t="s">
        <v>1236</v>
      </c>
      <c r="M2148" s="45" t="s">
        <v>1236</v>
      </c>
      <c r="N2148" s="45" t="s">
        <v>1236</v>
      </c>
      <c r="O2148" s="45" t="s">
        <v>1236</v>
      </c>
      <c r="P2148" s="45" t="s">
        <v>1236</v>
      </c>
      <c r="Q2148" s="45" t="s">
        <v>1236</v>
      </c>
      <c r="R2148" s="45" t="s">
        <v>1236</v>
      </c>
      <c r="S2148" s="45" t="s">
        <v>1236</v>
      </c>
      <c r="T2148" s="45" t="s">
        <v>1236</v>
      </c>
      <c r="U2148" s="45" t="s">
        <v>1236</v>
      </c>
      <c r="V2148" s="45" t="s">
        <v>1236</v>
      </c>
      <c r="W2148" s="45" t="s">
        <v>1236</v>
      </c>
      <c r="X2148" s="45" t="s">
        <v>1236</v>
      </c>
      <c r="Y2148" s="45" t="s">
        <v>1236</v>
      </c>
      <c r="Z2148" s="45" t="s">
        <v>1236</v>
      </c>
      <c r="AA2148" s="626" t="s">
        <v>1236</v>
      </c>
      <c r="AB2148" s="626" t="s">
        <v>1236</v>
      </c>
      <c r="AC2148" s="626" t="s">
        <v>1236</v>
      </c>
      <c r="AD2148" s="626" t="s">
        <v>1236</v>
      </c>
      <c r="AE2148" s="626" t="s">
        <v>1236</v>
      </c>
      <c r="AF2148" s="626" t="s">
        <v>1236</v>
      </c>
      <c r="AG2148" s="626" t="s">
        <v>1236</v>
      </c>
      <c r="AH2148" s="626" t="s">
        <v>1236</v>
      </c>
      <c r="AI2148" s="626" t="s">
        <v>1236</v>
      </c>
      <c r="AJ2148" s="626" t="s">
        <v>1236</v>
      </c>
      <c r="AK2148" s="626" t="s">
        <v>1236</v>
      </c>
      <c r="AL2148" s="626" t="s">
        <v>1236</v>
      </c>
      <c r="AM2148" s="626" t="s">
        <v>1236</v>
      </c>
      <c r="AN2148" s="626" t="s">
        <v>1236</v>
      </c>
      <c r="AO2148" s="626" t="s">
        <v>1236</v>
      </c>
      <c r="AP2148" s="626" t="s">
        <v>1236</v>
      </c>
      <c r="AQ2148" s="626" t="s">
        <v>1236</v>
      </c>
      <c r="AR2148" s="626" t="s">
        <v>1236</v>
      </c>
      <c r="AS2148" s="626" t="s">
        <v>1236</v>
      </c>
      <c r="AT2148" s="626" t="s">
        <v>1236</v>
      </c>
      <c r="AU2148" s="626" t="s">
        <v>1236</v>
      </c>
      <c r="AV2148" s="626" t="s">
        <v>1236</v>
      </c>
      <c r="AW2148" s="626" t="s">
        <v>1236</v>
      </c>
      <c r="AX2148" s="626" t="s">
        <v>1236</v>
      </c>
      <c r="AY2148" s="626" t="s">
        <v>1236</v>
      </c>
      <c r="AZ2148" s="626" t="s">
        <v>1236</v>
      </c>
      <c r="BA2148" s="626" t="s">
        <v>1236</v>
      </c>
      <c r="BB2148" s="626" t="s">
        <v>1236</v>
      </c>
      <c r="BC2148" s="626" t="s">
        <v>1236</v>
      </c>
      <c r="BD2148" s="626" t="s">
        <v>1236</v>
      </c>
      <c r="BE2148" s="626" t="s">
        <v>1236</v>
      </c>
      <c r="BF2148" s="626" t="s">
        <v>1236</v>
      </c>
      <c r="BG2148" s="626" t="s">
        <v>1236</v>
      </c>
      <c r="BH2148" s="626" t="s">
        <v>1236</v>
      </c>
      <c r="BI2148" s="626" t="s">
        <v>1236</v>
      </c>
      <c r="BJ2148" s="626" t="s">
        <v>1236</v>
      </c>
      <c r="BK2148" s="626" t="s">
        <v>1236</v>
      </c>
      <c r="BL2148" s="626" t="s">
        <v>1236</v>
      </c>
      <c r="BM2148" s="626" t="s">
        <v>1236</v>
      </c>
      <c r="BN2148" s="626" t="s">
        <v>1236</v>
      </c>
      <c r="BO2148" s="626" t="s">
        <v>1236</v>
      </c>
      <c r="BP2148" s="626" t="s">
        <v>1236</v>
      </c>
      <c r="BQ2148" s="626" t="s">
        <v>1236</v>
      </c>
      <c r="BR2148" s="626" t="s">
        <v>1236</v>
      </c>
      <c r="BS2148" s="626" t="s">
        <v>1236</v>
      </c>
      <c r="BT2148" s="626" t="s">
        <v>1236</v>
      </c>
      <c r="BU2148" s="626" t="s">
        <v>1236</v>
      </c>
      <c r="BV2148" s="626" t="s">
        <v>1236</v>
      </c>
      <c r="BW2148" s="626" t="s">
        <v>1236</v>
      </c>
      <c r="BX2148" s="626" t="s">
        <v>1236</v>
      </c>
      <c r="BY2148" s="626" t="s">
        <v>1236</v>
      </c>
      <c r="BZ2148" s="626" t="s">
        <v>1236</v>
      </c>
      <c r="CA2148" s="626" t="s">
        <v>1236</v>
      </c>
      <c r="CB2148" s="626" t="s">
        <v>1236</v>
      </c>
      <c r="CC2148" s="626" t="s">
        <v>1236</v>
      </c>
      <c r="CD2148" s="626" t="s">
        <v>1236</v>
      </c>
      <c r="CE2148" s="626" t="s">
        <v>1236</v>
      </c>
      <c r="CF2148" s="626" t="s">
        <v>1236</v>
      </c>
      <c r="CG2148" s="626" t="s">
        <v>1236</v>
      </c>
      <c r="CH2148" s="626" t="s">
        <v>1236</v>
      </c>
      <c r="CI2148" s="626" t="s">
        <v>1236</v>
      </c>
      <c r="CJ2148" s="626" t="s">
        <v>1236</v>
      </c>
      <c r="CK2148" s="626" t="s">
        <v>1236</v>
      </c>
      <c r="CL2148" s="626" t="s">
        <v>1236</v>
      </c>
      <c r="CM2148" s="626" t="s">
        <v>1236</v>
      </c>
      <c r="CN2148" s="626" t="s">
        <v>1236</v>
      </c>
      <c r="CO2148" s="626" t="s">
        <v>1236</v>
      </c>
      <c r="CP2148" s="626" t="s">
        <v>1236</v>
      </c>
      <c r="CQ2148" s="626" t="s">
        <v>1236</v>
      </c>
      <c r="CR2148" s="626" t="s">
        <v>1236</v>
      </c>
      <c r="CS2148" s="626" t="s">
        <v>1236</v>
      </c>
      <c r="CT2148" s="626" t="s">
        <v>1236</v>
      </c>
      <c r="CU2148" s="626" t="s">
        <v>1236</v>
      </c>
      <c r="CV2148" s="626" t="s">
        <v>1236</v>
      </c>
      <c r="CW2148" s="626" t="s">
        <v>1236</v>
      </c>
      <c r="CX2148" s="626" t="s">
        <v>1236</v>
      </c>
      <c r="CY2148" s="626" t="s">
        <v>1236</v>
      </c>
      <c r="CZ2148" s="626" t="s">
        <v>1236</v>
      </c>
      <c r="DA2148" s="626" t="s">
        <v>1236</v>
      </c>
      <c r="DB2148" s="626" t="s">
        <v>1236</v>
      </c>
      <c r="DC2148" s="626" t="s">
        <v>1236</v>
      </c>
      <c r="DD2148" s="626" t="s">
        <v>1236</v>
      </c>
      <c r="DE2148" s="626" t="s">
        <v>1236</v>
      </c>
      <c r="DF2148" s="626" t="s">
        <v>1236</v>
      </c>
      <c r="DG2148" s="626" t="s">
        <v>1236</v>
      </c>
      <c r="DH2148" s="626" t="s">
        <v>1236</v>
      </c>
      <c r="DI2148" s="626" t="s">
        <v>1236</v>
      </c>
      <c r="DJ2148" s="626" t="s">
        <v>1236</v>
      </c>
      <c r="DK2148" s="626" t="s">
        <v>1236</v>
      </c>
      <c r="DL2148" s="626" t="s">
        <v>1236</v>
      </c>
      <c r="DM2148" s="626" t="s">
        <v>1236</v>
      </c>
      <c r="DN2148" s="626" t="s">
        <v>1236</v>
      </c>
      <c r="DO2148" s="626" t="s">
        <v>1236</v>
      </c>
      <c r="DP2148" s="626" t="s">
        <v>1236</v>
      </c>
      <c r="DQ2148" s="626" t="s">
        <v>1236</v>
      </c>
      <c r="DR2148" s="626" t="s">
        <v>1236</v>
      </c>
      <c r="DS2148" s="626" t="s">
        <v>1236</v>
      </c>
      <c r="DT2148" s="626" t="s">
        <v>1236</v>
      </c>
      <c r="DU2148" s="626" t="s">
        <v>1236</v>
      </c>
      <c r="DV2148" s="626" t="s">
        <v>1236</v>
      </c>
      <c r="DW2148" s="626" t="s">
        <v>1236</v>
      </c>
      <c r="DX2148" s="626" t="s">
        <v>1236</v>
      </c>
      <c r="DY2148" s="626" t="s">
        <v>1236</v>
      </c>
      <c r="DZ2148" s="626" t="s">
        <v>1236</v>
      </c>
      <c r="EA2148" s="626" t="s">
        <v>1236</v>
      </c>
      <c r="EB2148" s="626" t="s">
        <v>1236</v>
      </c>
      <c r="EC2148" s="626" t="s">
        <v>1236</v>
      </c>
      <c r="ED2148" s="626" t="s">
        <v>1236</v>
      </c>
      <c r="EE2148" s="626" t="s">
        <v>1236</v>
      </c>
      <c r="EF2148" s="626" t="s">
        <v>1236</v>
      </c>
      <c r="EG2148" s="626" t="s">
        <v>1236</v>
      </c>
      <c r="EH2148" s="626" t="s">
        <v>1236</v>
      </c>
      <c r="EI2148" s="626" t="s">
        <v>1236</v>
      </c>
      <c r="EJ2148" s="626" t="s">
        <v>1236</v>
      </c>
      <c r="EK2148" s="626" t="s">
        <v>1236</v>
      </c>
      <c r="EL2148" s="626" t="s">
        <v>1236</v>
      </c>
      <c r="EM2148" s="626" t="s">
        <v>1236</v>
      </c>
      <c r="EN2148" s="626" t="s">
        <v>1236</v>
      </c>
      <c r="EO2148" s="626" t="s">
        <v>1236</v>
      </c>
      <c r="EP2148" s="626" t="s">
        <v>1236</v>
      </c>
      <c r="EQ2148" s="626" t="s">
        <v>1236</v>
      </c>
      <c r="ER2148" s="626" t="s">
        <v>1236</v>
      </c>
      <c r="ES2148" s="626" t="s">
        <v>1236</v>
      </c>
      <c r="ET2148" s="626" t="s">
        <v>1236</v>
      </c>
      <c r="EU2148" s="626" t="s">
        <v>1236</v>
      </c>
      <c r="EV2148" s="626" t="s">
        <v>1236</v>
      </c>
      <c r="EW2148" s="626" t="s">
        <v>1236</v>
      </c>
      <c r="EX2148" s="626" t="s">
        <v>1236</v>
      </c>
      <c r="EY2148" s="626" t="s">
        <v>1236</v>
      </c>
      <c r="EZ2148" s="626" t="s">
        <v>1236</v>
      </c>
      <c r="FA2148" s="626" t="s">
        <v>1236</v>
      </c>
      <c r="FB2148" s="626" t="s">
        <v>1236</v>
      </c>
      <c r="FC2148" s="626" t="s">
        <v>1236</v>
      </c>
      <c r="FD2148" s="626" t="s">
        <v>1236</v>
      </c>
      <c r="FE2148" s="626" t="s">
        <v>1236</v>
      </c>
      <c r="FF2148" s="626" t="s">
        <v>1236</v>
      </c>
      <c r="FG2148" s="626" t="s">
        <v>1236</v>
      </c>
      <c r="FH2148" s="626" t="s">
        <v>1236</v>
      </c>
      <c r="FI2148" s="626" t="s">
        <v>1236</v>
      </c>
      <c r="FJ2148" s="626" t="s">
        <v>1236</v>
      </c>
      <c r="FK2148" s="626" t="s">
        <v>1236</v>
      </c>
      <c r="FL2148" s="626" t="s">
        <v>1236</v>
      </c>
      <c r="FM2148" s="626" t="s">
        <v>1236</v>
      </c>
      <c r="FN2148" s="626" t="s">
        <v>1236</v>
      </c>
      <c r="FO2148" s="626" t="s">
        <v>1236</v>
      </c>
      <c r="FP2148" s="626" t="s">
        <v>1236</v>
      </c>
      <c r="FQ2148" s="626" t="s">
        <v>1236</v>
      </c>
      <c r="FR2148" s="626" t="s">
        <v>1236</v>
      </c>
      <c r="FS2148" s="626" t="s">
        <v>1236</v>
      </c>
      <c r="FT2148" s="626" t="s">
        <v>1236</v>
      </c>
      <c r="FU2148" s="626" t="s">
        <v>1236</v>
      </c>
      <c r="FV2148" s="626" t="s">
        <v>1236</v>
      </c>
      <c r="FW2148" s="626" t="s">
        <v>1236</v>
      </c>
      <c r="FX2148" s="626" t="s">
        <v>1236</v>
      </c>
      <c r="FY2148" s="626" t="s">
        <v>1236</v>
      </c>
      <c r="FZ2148" s="626" t="s">
        <v>1236</v>
      </c>
      <c r="GA2148" s="626" t="s">
        <v>1236</v>
      </c>
      <c r="GB2148" s="626" t="s">
        <v>1236</v>
      </c>
      <c r="GC2148" s="626" t="s">
        <v>1236</v>
      </c>
      <c r="GD2148" s="626" t="s">
        <v>1236</v>
      </c>
      <c r="GE2148" s="626" t="s">
        <v>1236</v>
      </c>
      <c r="GF2148" s="626" t="s">
        <v>1236</v>
      </c>
      <c r="GG2148" s="626" t="s">
        <v>1236</v>
      </c>
      <c r="GH2148" s="626" t="s">
        <v>1236</v>
      </c>
      <c r="GI2148" s="626" t="s">
        <v>1236</v>
      </c>
      <c r="GJ2148" s="626" t="s">
        <v>1236</v>
      </c>
      <c r="GK2148" s="626" t="s">
        <v>1236</v>
      </c>
      <c r="GL2148" s="626" t="s">
        <v>1236</v>
      </c>
      <c r="GM2148" s="626" t="s">
        <v>1236</v>
      </c>
      <c r="GN2148" s="626" t="s">
        <v>1236</v>
      </c>
      <c r="GO2148" s="626" t="s">
        <v>1236</v>
      </c>
      <c r="GP2148" s="626" t="s">
        <v>1236</v>
      </c>
      <c r="GQ2148" s="626" t="s">
        <v>1236</v>
      </c>
      <c r="GR2148" s="626" t="s">
        <v>1236</v>
      </c>
      <c r="GS2148" s="626" t="s">
        <v>1236</v>
      </c>
      <c r="GT2148" s="626" t="s">
        <v>1236</v>
      </c>
      <c r="GU2148" s="626" t="s">
        <v>1236</v>
      </c>
      <c r="GV2148" s="626" t="s">
        <v>1236</v>
      </c>
      <c r="GW2148" s="626" t="s">
        <v>1236</v>
      </c>
      <c r="GX2148" s="626" t="s">
        <v>1236</v>
      </c>
      <c r="GY2148" s="626" t="s">
        <v>1236</v>
      </c>
      <c r="GZ2148" s="626" t="s">
        <v>1236</v>
      </c>
      <c r="HA2148" s="626" t="s">
        <v>1236</v>
      </c>
      <c r="HB2148" s="626" t="s">
        <v>1236</v>
      </c>
      <c r="HC2148" s="626" t="s">
        <v>1236</v>
      </c>
      <c r="HD2148" s="626" t="s">
        <v>1236</v>
      </c>
      <c r="HE2148" s="626" t="s">
        <v>1236</v>
      </c>
      <c r="HF2148" s="626" t="s">
        <v>1236</v>
      </c>
      <c r="HG2148" s="626" t="s">
        <v>1236</v>
      </c>
      <c r="HH2148" s="626" t="s">
        <v>1236</v>
      </c>
      <c r="HI2148" s="626" t="s">
        <v>1236</v>
      </c>
      <c r="HJ2148" s="626" t="s">
        <v>1236</v>
      </c>
      <c r="HK2148" s="626" t="s">
        <v>1236</v>
      </c>
      <c r="HL2148" s="626" t="s">
        <v>1236</v>
      </c>
      <c r="HM2148" s="626" t="s">
        <v>1236</v>
      </c>
      <c r="HN2148" s="626" t="s">
        <v>1236</v>
      </c>
      <c r="HO2148" s="626" t="s">
        <v>1236</v>
      </c>
      <c r="HP2148" s="626" t="s">
        <v>1236</v>
      </c>
      <c r="HQ2148" s="626" t="s">
        <v>1236</v>
      </c>
      <c r="HR2148" s="626" t="s">
        <v>1236</v>
      </c>
      <c r="HS2148" s="626" t="s">
        <v>1236</v>
      </c>
      <c r="HT2148" s="626" t="s">
        <v>1236</v>
      </c>
      <c r="HU2148" s="626" t="s">
        <v>1236</v>
      </c>
      <c r="HV2148" s="626" t="s">
        <v>1236</v>
      </c>
      <c r="HW2148" s="626" t="s">
        <v>1236</v>
      </c>
      <c r="HX2148" s="626" t="s">
        <v>1236</v>
      </c>
      <c r="HY2148" s="626" t="s">
        <v>1236</v>
      </c>
      <c r="HZ2148" s="626" t="s">
        <v>1236</v>
      </c>
      <c r="IA2148" s="626" t="s">
        <v>1236</v>
      </c>
      <c r="IB2148" s="626" t="s">
        <v>1236</v>
      </c>
      <c r="IC2148" s="626" t="s">
        <v>1236</v>
      </c>
      <c r="ID2148" s="626" t="s">
        <v>1236</v>
      </c>
      <c r="IE2148" s="626" t="s">
        <v>1236</v>
      </c>
      <c r="IF2148" s="626" t="s">
        <v>1236</v>
      </c>
      <c r="IG2148" s="626" t="s">
        <v>1236</v>
      </c>
      <c r="IH2148" s="626" t="s">
        <v>1236</v>
      </c>
      <c r="II2148" s="626" t="s">
        <v>1236</v>
      </c>
      <c r="IJ2148" s="626" t="s">
        <v>1236</v>
      </c>
      <c r="IK2148" s="626" t="s">
        <v>1236</v>
      </c>
      <c r="IL2148" s="626" t="s">
        <v>1236</v>
      </c>
      <c r="IM2148" s="626" t="s">
        <v>1236</v>
      </c>
      <c r="IN2148" s="626" t="s">
        <v>1236</v>
      </c>
      <c r="IO2148" s="626" t="s">
        <v>1236</v>
      </c>
      <c r="IP2148" s="626" t="s">
        <v>1236</v>
      </c>
      <c r="IQ2148" s="626" t="s">
        <v>1236</v>
      </c>
      <c r="IR2148" s="626" t="s">
        <v>1236</v>
      </c>
      <c r="IS2148" s="626" t="s">
        <v>1236</v>
      </c>
      <c r="IT2148" s="626" t="s">
        <v>1236</v>
      </c>
      <c r="IU2148" s="626" t="s">
        <v>1236</v>
      </c>
      <c r="IV2148" s="626" t="s">
        <v>1236</v>
      </c>
      <c r="IW2148" s="626" t="s">
        <v>1236</v>
      </c>
      <c r="IX2148" s="626" t="s">
        <v>1236</v>
      </c>
      <c r="IY2148" s="626" t="s">
        <v>1236</v>
      </c>
      <c r="IZ2148" s="626" t="s">
        <v>1236</v>
      </c>
      <c r="JA2148" s="626" t="s">
        <v>1236</v>
      </c>
      <c r="JB2148" s="626" t="s">
        <v>1236</v>
      </c>
      <c r="JC2148" s="626" t="s">
        <v>1236</v>
      </c>
      <c r="JD2148" s="626" t="s">
        <v>1236</v>
      </c>
      <c r="JE2148" s="626" t="s">
        <v>1236</v>
      </c>
      <c r="JF2148" s="626" t="s">
        <v>1236</v>
      </c>
      <c r="JG2148" s="626" t="s">
        <v>1236</v>
      </c>
      <c r="JH2148" s="626" t="s">
        <v>1236</v>
      </c>
      <c r="JI2148" s="626" t="s">
        <v>1236</v>
      </c>
      <c r="JJ2148" s="626" t="s">
        <v>1236</v>
      </c>
      <c r="JK2148" s="626" t="s">
        <v>1236</v>
      </c>
      <c r="JL2148" s="626" t="s">
        <v>1236</v>
      </c>
      <c r="JM2148" s="626" t="s">
        <v>1236</v>
      </c>
      <c r="JN2148" s="626" t="s">
        <v>1236</v>
      </c>
      <c r="JO2148" s="626" t="s">
        <v>1236</v>
      </c>
      <c r="JP2148" s="626" t="s">
        <v>1236</v>
      </c>
      <c r="JQ2148" s="626" t="s">
        <v>1236</v>
      </c>
      <c r="JR2148" s="626" t="s">
        <v>1236</v>
      </c>
      <c r="JS2148" s="626" t="s">
        <v>1236</v>
      </c>
      <c r="JT2148" s="626" t="s">
        <v>1236</v>
      </c>
      <c r="JU2148" s="626" t="s">
        <v>1236</v>
      </c>
      <c r="JV2148" s="626" t="s">
        <v>1236</v>
      </c>
      <c r="JW2148" s="626" t="s">
        <v>1236</v>
      </c>
      <c r="JX2148" s="626" t="s">
        <v>1236</v>
      </c>
      <c r="JY2148" s="626" t="s">
        <v>1236</v>
      </c>
      <c r="JZ2148" s="626" t="s">
        <v>1236</v>
      </c>
      <c r="KA2148" s="626" t="s">
        <v>1236</v>
      </c>
      <c r="KB2148" s="626" t="s">
        <v>1236</v>
      </c>
      <c r="KC2148" s="626" t="s">
        <v>1236</v>
      </c>
      <c r="KD2148" s="626" t="s">
        <v>1236</v>
      </c>
      <c r="KE2148" s="626" t="s">
        <v>1236</v>
      </c>
      <c r="KF2148" s="626" t="s">
        <v>1236</v>
      </c>
      <c r="KG2148" s="626" t="s">
        <v>1236</v>
      </c>
      <c r="KH2148" s="626" t="s">
        <v>1236</v>
      </c>
      <c r="KI2148" s="626" t="s">
        <v>1236</v>
      </c>
      <c r="KJ2148" s="626" t="s">
        <v>1236</v>
      </c>
      <c r="KK2148" s="626" t="s">
        <v>1236</v>
      </c>
      <c r="KL2148" s="626" t="s">
        <v>1236</v>
      </c>
      <c r="KM2148" s="626" t="s">
        <v>1236</v>
      </c>
      <c r="KN2148" s="626" t="s">
        <v>1236</v>
      </c>
      <c r="KO2148" s="626" t="s">
        <v>1236</v>
      </c>
      <c r="KP2148" s="626" t="s">
        <v>1236</v>
      </c>
      <c r="KQ2148" s="626" t="s">
        <v>1236</v>
      </c>
      <c r="KR2148" s="626" t="s">
        <v>1236</v>
      </c>
      <c r="KS2148" s="626" t="s">
        <v>1236</v>
      </c>
      <c r="KT2148" s="626" t="s">
        <v>1236</v>
      </c>
      <c r="KU2148" s="626" t="s">
        <v>1236</v>
      </c>
      <c r="KV2148" s="626" t="s">
        <v>1236</v>
      </c>
      <c r="KW2148" s="626" t="s">
        <v>1236</v>
      </c>
      <c r="KX2148" s="626" t="s">
        <v>1236</v>
      </c>
      <c r="KY2148" s="626" t="s">
        <v>1236</v>
      </c>
      <c r="KZ2148" s="626" t="s">
        <v>1236</v>
      </c>
      <c r="LA2148" s="626" t="s">
        <v>1236</v>
      </c>
      <c r="LB2148" s="626" t="s">
        <v>1236</v>
      </c>
      <c r="LC2148" s="626" t="s">
        <v>1236</v>
      </c>
      <c r="LD2148" s="626" t="s">
        <v>1236</v>
      </c>
      <c r="LE2148" s="626" t="s">
        <v>1236</v>
      </c>
      <c r="LF2148" s="626" t="s">
        <v>1236</v>
      </c>
      <c r="LG2148" s="626" t="s">
        <v>1236</v>
      </c>
      <c r="LH2148" s="626" t="s">
        <v>1236</v>
      </c>
      <c r="LI2148" s="626" t="s">
        <v>1236</v>
      </c>
      <c r="LJ2148" s="626" t="s">
        <v>1236</v>
      </c>
      <c r="LK2148" s="626" t="s">
        <v>1236</v>
      </c>
      <c r="LL2148" s="626" t="s">
        <v>1236</v>
      </c>
      <c r="LM2148" s="626" t="s">
        <v>1236</v>
      </c>
      <c r="LN2148" s="626" t="s">
        <v>1236</v>
      </c>
      <c r="LO2148" s="626" t="s">
        <v>1236</v>
      </c>
      <c r="LP2148" s="626" t="s">
        <v>1236</v>
      </c>
      <c r="LQ2148" s="626" t="s">
        <v>1236</v>
      </c>
      <c r="LR2148" s="626" t="s">
        <v>1236</v>
      </c>
      <c r="LS2148" s="626" t="s">
        <v>1236</v>
      </c>
      <c r="LT2148" s="626" t="s">
        <v>1236</v>
      </c>
      <c r="LU2148" s="626" t="s">
        <v>1236</v>
      </c>
      <c r="LV2148" s="626" t="s">
        <v>1236</v>
      </c>
      <c r="LW2148" s="626" t="s">
        <v>1236</v>
      </c>
      <c r="LX2148" s="626" t="s">
        <v>1236</v>
      </c>
      <c r="LY2148" s="626" t="s">
        <v>1236</v>
      </c>
      <c r="LZ2148" s="626" t="s">
        <v>1236</v>
      </c>
      <c r="MA2148" s="626" t="s">
        <v>1236</v>
      </c>
      <c r="MB2148" s="626" t="s">
        <v>1236</v>
      </c>
      <c r="MC2148" s="626" t="s">
        <v>1236</v>
      </c>
      <c r="MD2148" s="626" t="s">
        <v>1236</v>
      </c>
      <c r="ME2148" s="626" t="s">
        <v>1236</v>
      </c>
      <c r="MF2148" s="626" t="s">
        <v>1236</v>
      </c>
      <c r="MG2148" s="626" t="s">
        <v>1236</v>
      </c>
      <c r="MH2148" s="626" t="s">
        <v>1236</v>
      </c>
      <c r="MI2148" s="626" t="s">
        <v>1236</v>
      </c>
      <c r="MJ2148" s="626" t="s">
        <v>1236</v>
      </c>
      <c r="MK2148" s="626" t="s">
        <v>1236</v>
      </c>
      <c r="ML2148" s="626" t="s">
        <v>1236</v>
      </c>
      <c r="MM2148" s="626" t="s">
        <v>1236</v>
      </c>
      <c r="MN2148" s="626" t="s">
        <v>1236</v>
      </c>
      <c r="MO2148" s="626" t="s">
        <v>1236</v>
      </c>
      <c r="MP2148" s="626" t="s">
        <v>1236</v>
      </c>
      <c r="MQ2148" s="626" t="s">
        <v>1236</v>
      </c>
      <c r="MR2148" s="626" t="s">
        <v>1236</v>
      </c>
      <c r="MS2148" s="626" t="s">
        <v>1236</v>
      </c>
      <c r="MT2148" s="626" t="s">
        <v>1236</v>
      </c>
      <c r="MU2148" s="626" t="s">
        <v>1236</v>
      </c>
      <c r="MV2148" s="626" t="s">
        <v>1236</v>
      </c>
      <c r="MW2148" s="626" t="s">
        <v>1236</v>
      </c>
      <c r="MX2148" s="626" t="s">
        <v>1236</v>
      </c>
      <c r="MY2148" s="626" t="s">
        <v>1236</v>
      </c>
      <c r="MZ2148" s="626" t="s">
        <v>1236</v>
      </c>
      <c r="NA2148" s="626" t="s">
        <v>1236</v>
      </c>
      <c r="NB2148" s="626" t="s">
        <v>1236</v>
      </c>
      <c r="NC2148" s="626" t="s">
        <v>1236</v>
      </c>
      <c r="ND2148" s="626" t="s">
        <v>1236</v>
      </c>
      <c r="NE2148" s="626" t="s">
        <v>1236</v>
      </c>
      <c r="NF2148" s="626" t="s">
        <v>1236</v>
      </c>
      <c r="NG2148" s="626" t="s">
        <v>1236</v>
      </c>
      <c r="NH2148" s="626" t="s">
        <v>1236</v>
      </c>
      <c r="NI2148" s="626" t="s">
        <v>1236</v>
      </c>
      <c r="NJ2148" s="626" t="s">
        <v>1236</v>
      </c>
      <c r="NK2148" s="626" t="s">
        <v>1236</v>
      </c>
      <c r="NL2148" s="626" t="s">
        <v>1236</v>
      </c>
      <c r="NM2148" s="626" t="s">
        <v>1236</v>
      </c>
      <c r="NN2148" s="626" t="s">
        <v>1236</v>
      </c>
      <c r="NO2148" s="626" t="s">
        <v>1236</v>
      </c>
      <c r="NP2148" s="626" t="s">
        <v>1236</v>
      </c>
      <c r="NQ2148" s="626" t="s">
        <v>1236</v>
      </c>
      <c r="NR2148" s="626" t="s">
        <v>1236</v>
      </c>
      <c r="NS2148" s="626" t="s">
        <v>1236</v>
      </c>
      <c r="NT2148" s="626" t="s">
        <v>1236</v>
      </c>
      <c r="NU2148" s="626" t="s">
        <v>1236</v>
      </c>
      <c r="NV2148" s="626" t="s">
        <v>1236</v>
      </c>
      <c r="NW2148" s="626" t="s">
        <v>1236</v>
      </c>
      <c r="NX2148" s="626" t="s">
        <v>1236</v>
      </c>
      <c r="NY2148" s="626" t="s">
        <v>1236</v>
      </c>
      <c r="NZ2148" s="626" t="s">
        <v>1236</v>
      </c>
      <c r="OA2148" s="626" t="s">
        <v>1236</v>
      </c>
      <c r="OB2148" s="626" t="s">
        <v>1236</v>
      </c>
      <c r="OC2148" s="626" t="s">
        <v>1236</v>
      </c>
      <c r="OD2148" s="626" t="s">
        <v>1236</v>
      </c>
      <c r="OE2148" s="626" t="s">
        <v>1236</v>
      </c>
      <c r="OF2148" s="626" t="s">
        <v>1236</v>
      </c>
      <c r="OG2148" s="626" t="s">
        <v>1236</v>
      </c>
      <c r="OH2148" s="626" t="s">
        <v>1236</v>
      </c>
      <c r="OI2148" s="626" t="s">
        <v>1236</v>
      </c>
      <c r="OJ2148" s="626" t="s">
        <v>1236</v>
      </c>
      <c r="OK2148" s="626" t="s">
        <v>1236</v>
      </c>
      <c r="OL2148" s="626" t="s">
        <v>1236</v>
      </c>
      <c r="OM2148" s="626" t="s">
        <v>1236</v>
      </c>
      <c r="ON2148" s="626" t="s">
        <v>1236</v>
      </c>
      <c r="OO2148" s="626" t="s">
        <v>1236</v>
      </c>
      <c r="OP2148" s="626" t="s">
        <v>1236</v>
      </c>
      <c r="OQ2148" s="626" t="s">
        <v>1236</v>
      </c>
      <c r="OR2148" s="626" t="s">
        <v>1236</v>
      </c>
      <c r="OS2148" s="626" t="s">
        <v>1236</v>
      </c>
      <c r="OT2148" s="626" t="s">
        <v>1236</v>
      </c>
      <c r="OU2148" s="626" t="s">
        <v>1236</v>
      </c>
      <c r="OV2148" s="626" t="s">
        <v>1236</v>
      </c>
      <c r="OW2148" s="626" t="s">
        <v>1236</v>
      </c>
      <c r="OX2148" s="626" t="s">
        <v>1236</v>
      </c>
      <c r="OY2148" s="626" t="s">
        <v>1236</v>
      </c>
      <c r="OZ2148" s="626" t="s">
        <v>1236</v>
      </c>
      <c r="PA2148" s="626" t="s">
        <v>1236</v>
      </c>
      <c r="PB2148" s="626" t="s">
        <v>1236</v>
      </c>
      <c r="PC2148" s="626" t="s">
        <v>1236</v>
      </c>
      <c r="PD2148" s="626" t="s">
        <v>1236</v>
      </c>
      <c r="PE2148" s="626" t="s">
        <v>1236</v>
      </c>
      <c r="PF2148" s="626" t="s">
        <v>1236</v>
      </c>
      <c r="PG2148" s="626" t="s">
        <v>1236</v>
      </c>
      <c r="PH2148" s="626" t="s">
        <v>1236</v>
      </c>
      <c r="PI2148" s="626" t="s">
        <v>1236</v>
      </c>
      <c r="PJ2148" s="626" t="s">
        <v>1236</v>
      </c>
      <c r="PK2148" s="626" t="s">
        <v>1236</v>
      </c>
      <c r="PL2148" s="626" t="s">
        <v>1236</v>
      </c>
      <c r="PM2148" s="626" t="s">
        <v>1236</v>
      </c>
      <c r="PN2148" s="626" t="s">
        <v>1236</v>
      </c>
      <c r="PO2148" s="626" t="s">
        <v>1236</v>
      </c>
      <c r="PP2148" s="626" t="s">
        <v>1236</v>
      </c>
      <c r="PQ2148" s="626" t="s">
        <v>1236</v>
      </c>
      <c r="PR2148" s="626" t="s">
        <v>1236</v>
      </c>
      <c r="PS2148" s="626" t="s">
        <v>1236</v>
      </c>
      <c r="PT2148" s="626" t="s">
        <v>1236</v>
      </c>
      <c r="PU2148" s="626" t="s">
        <v>1236</v>
      </c>
      <c r="PV2148" s="626" t="s">
        <v>1236</v>
      </c>
      <c r="PW2148" s="626" t="s">
        <v>1236</v>
      </c>
      <c r="PX2148" s="626" t="s">
        <v>1236</v>
      </c>
      <c r="PY2148" s="626" t="s">
        <v>1236</v>
      </c>
      <c r="PZ2148" s="626" t="s">
        <v>1236</v>
      </c>
      <c r="QA2148" s="626" t="s">
        <v>1236</v>
      </c>
      <c r="QB2148" s="626" t="s">
        <v>1236</v>
      </c>
      <c r="QC2148" s="626" t="s">
        <v>1236</v>
      </c>
      <c r="QD2148" s="626" t="s">
        <v>1236</v>
      </c>
      <c r="QE2148" s="626" t="s">
        <v>1236</v>
      </c>
      <c r="QF2148" s="626" t="s">
        <v>1236</v>
      </c>
      <c r="QG2148" s="626" t="s">
        <v>1236</v>
      </c>
      <c r="QH2148" s="626" t="s">
        <v>1236</v>
      </c>
      <c r="QI2148" s="626" t="s">
        <v>1236</v>
      </c>
      <c r="QJ2148" s="626" t="s">
        <v>1236</v>
      </c>
      <c r="QK2148" s="626" t="s">
        <v>1236</v>
      </c>
      <c r="QL2148" s="626" t="s">
        <v>1236</v>
      </c>
      <c r="QM2148" s="626" t="s">
        <v>1236</v>
      </c>
      <c r="QN2148" s="626" t="s">
        <v>1236</v>
      </c>
      <c r="QO2148" s="626" t="s">
        <v>1236</v>
      </c>
      <c r="QP2148" s="626" t="s">
        <v>1236</v>
      </c>
      <c r="QQ2148" s="626" t="s">
        <v>1236</v>
      </c>
      <c r="QR2148" s="626" t="s">
        <v>1236</v>
      </c>
      <c r="QS2148" s="626" t="s">
        <v>1236</v>
      </c>
      <c r="QT2148" s="626" t="s">
        <v>1236</v>
      </c>
      <c r="QU2148" s="626" t="s">
        <v>1236</v>
      </c>
      <c r="QV2148" s="626" t="s">
        <v>1236</v>
      </c>
      <c r="QW2148" s="626" t="s">
        <v>1236</v>
      </c>
      <c r="QX2148" s="626" t="s">
        <v>1236</v>
      </c>
      <c r="QY2148" s="626" t="s">
        <v>1236</v>
      </c>
      <c r="QZ2148" s="626" t="s">
        <v>1236</v>
      </c>
      <c r="RA2148" s="626" t="s">
        <v>1236</v>
      </c>
      <c r="RB2148" s="626" t="s">
        <v>1236</v>
      </c>
      <c r="RC2148" s="626" t="s">
        <v>1236</v>
      </c>
      <c r="RD2148" s="626" t="s">
        <v>1236</v>
      </c>
      <c r="RE2148" s="626" t="s">
        <v>1236</v>
      </c>
      <c r="RF2148" s="626" t="s">
        <v>1236</v>
      </c>
      <c r="RG2148" s="626" t="s">
        <v>1236</v>
      </c>
      <c r="RH2148" s="626" t="s">
        <v>1236</v>
      </c>
      <c r="RI2148" s="626" t="s">
        <v>1236</v>
      </c>
      <c r="RJ2148" s="626" t="s">
        <v>1236</v>
      </c>
      <c r="RK2148" s="626" t="s">
        <v>1236</v>
      </c>
      <c r="RL2148" s="626" t="s">
        <v>1236</v>
      </c>
      <c r="RM2148" s="626" t="s">
        <v>1236</v>
      </c>
      <c r="RN2148" s="626" t="s">
        <v>1236</v>
      </c>
      <c r="RO2148" s="626" t="s">
        <v>1236</v>
      </c>
      <c r="RP2148" s="626" t="s">
        <v>1236</v>
      </c>
      <c r="RQ2148" s="626" t="s">
        <v>1236</v>
      </c>
      <c r="RR2148" s="626" t="s">
        <v>1236</v>
      </c>
      <c r="RS2148" s="626" t="s">
        <v>1236</v>
      </c>
      <c r="RT2148" s="626" t="s">
        <v>1236</v>
      </c>
      <c r="RU2148" s="626" t="s">
        <v>1236</v>
      </c>
      <c r="RV2148" s="626" t="s">
        <v>1236</v>
      </c>
      <c r="RW2148" s="626" t="s">
        <v>1236</v>
      </c>
      <c r="RX2148" s="626" t="s">
        <v>1236</v>
      </c>
      <c r="RY2148" s="626" t="s">
        <v>1236</v>
      </c>
      <c r="RZ2148" s="626" t="s">
        <v>1236</v>
      </c>
      <c r="SA2148" s="626" t="s">
        <v>1236</v>
      </c>
      <c r="SB2148" s="626" t="s">
        <v>1236</v>
      </c>
      <c r="SC2148" s="626" t="s">
        <v>1236</v>
      </c>
      <c r="SD2148" s="626" t="s">
        <v>1236</v>
      </c>
      <c r="SE2148" s="626" t="s">
        <v>1236</v>
      </c>
      <c r="SF2148" s="626" t="s">
        <v>1236</v>
      </c>
      <c r="SG2148" s="626" t="s">
        <v>1236</v>
      </c>
      <c r="SH2148" s="626" t="s">
        <v>1236</v>
      </c>
      <c r="SI2148" s="626" t="s">
        <v>1236</v>
      </c>
      <c r="SJ2148" s="626" t="s">
        <v>1236</v>
      </c>
      <c r="SK2148" s="626" t="s">
        <v>1236</v>
      </c>
      <c r="SL2148" s="626" t="s">
        <v>1236</v>
      </c>
      <c r="SM2148" s="626" t="s">
        <v>1236</v>
      </c>
      <c r="SN2148" s="626" t="s">
        <v>1236</v>
      </c>
      <c r="SO2148" s="626" t="s">
        <v>1236</v>
      </c>
      <c r="SP2148" s="626" t="s">
        <v>1236</v>
      </c>
      <c r="SQ2148" s="626" t="s">
        <v>1236</v>
      </c>
      <c r="SR2148" s="626" t="s">
        <v>1236</v>
      </c>
      <c r="SS2148" s="626" t="s">
        <v>1236</v>
      </c>
      <c r="ST2148" s="626" t="s">
        <v>1236</v>
      </c>
      <c r="SU2148" s="626" t="s">
        <v>1236</v>
      </c>
      <c r="SV2148" s="626" t="s">
        <v>1236</v>
      </c>
      <c r="SW2148" s="626" t="s">
        <v>1236</v>
      </c>
      <c r="SX2148" s="626" t="s">
        <v>1236</v>
      </c>
      <c r="SY2148" s="626" t="s">
        <v>1236</v>
      </c>
      <c r="SZ2148" s="626" t="s">
        <v>1236</v>
      </c>
      <c r="TA2148" s="626" t="s">
        <v>1236</v>
      </c>
      <c r="TB2148" s="626" t="s">
        <v>1236</v>
      </c>
      <c r="TC2148" s="626" t="s">
        <v>1236</v>
      </c>
      <c r="TD2148" s="626" t="s">
        <v>1236</v>
      </c>
      <c r="TE2148" s="626" t="s">
        <v>1236</v>
      </c>
      <c r="TF2148" s="626" t="s">
        <v>1236</v>
      </c>
      <c r="TG2148" s="626" t="s">
        <v>1236</v>
      </c>
      <c r="TH2148" s="626" t="s">
        <v>1236</v>
      </c>
      <c r="TI2148" s="626" t="s">
        <v>1236</v>
      </c>
      <c r="TJ2148" s="626" t="s">
        <v>1236</v>
      </c>
      <c r="TK2148" s="626" t="s">
        <v>1236</v>
      </c>
      <c r="TL2148" s="626" t="s">
        <v>1236</v>
      </c>
      <c r="TM2148" s="626" t="s">
        <v>1236</v>
      </c>
      <c r="TN2148" s="626" t="s">
        <v>1236</v>
      </c>
      <c r="TO2148" s="626" t="s">
        <v>1236</v>
      </c>
      <c r="TP2148" s="626" t="s">
        <v>1236</v>
      </c>
      <c r="TQ2148" s="626" t="s">
        <v>1236</v>
      </c>
      <c r="TR2148" s="626" t="s">
        <v>1236</v>
      </c>
      <c r="TS2148" s="626" t="s">
        <v>1236</v>
      </c>
      <c r="TT2148" s="626" t="s">
        <v>1236</v>
      </c>
      <c r="TU2148" s="626" t="s">
        <v>1236</v>
      </c>
      <c r="TV2148" s="626" t="s">
        <v>1236</v>
      </c>
      <c r="TW2148" s="626" t="s">
        <v>1236</v>
      </c>
      <c r="TX2148" s="626" t="s">
        <v>1236</v>
      </c>
      <c r="TY2148" s="626" t="s">
        <v>1236</v>
      </c>
      <c r="TZ2148" s="626" t="s">
        <v>1236</v>
      </c>
      <c r="UA2148" s="626" t="s">
        <v>1236</v>
      </c>
      <c r="UB2148" s="626" t="s">
        <v>1236</v>
      </c>
      <c r="UC2148" s="626" t="s">
        <v>1236</v>
      </c>
      <c r="UD2148" s="626" t="s">
        <v>1236</v>
      </c>
      <c r="UE2148" s="626" t="s">
        <v>1236</v>
      </c>
      <c r="UF2148" s="626" t="s">
        <v>1236</v>
      </c>
      <c r="UG2148" s="626" t="s">
        <v>1236</v>
      </c>
      <c r="UH2148" s="626" t="s">
        <v>1236</v>
      </c>
      <c r="UI2148" s="626" t="s">
        <v>1236</v>
      </c>
      <c r="UJ2148" s="626" t="s">
        <v>1236</v>
      </c>
      <c r="UK2148" s="626" t="s">
        <v>1236</v>
      </c>
      <c r="UL2148" s="626" t="s">
        <v>1236</v>
      </c>
      <c r="UM2148" s="626" t="s">
        <v>1236</v>
      </c>
      <c r="UN2148" s="626" t="s">
        <v>1236</v>
      </c>
      <c r="UO2148" s="626" t="s">
        <v>1236</v>
      </c>
      <c r="UP2148" s="626" t="s">
        <v>1236</v>
      </c>
      <c r="UQ2148" s="626" t="s">
        <v>1236</v>
      </c>
      <c r="UR2148" s="626" t="s">
        <v>1236</v>
      </c>
      <c r="US2148" s="626" t="s">
        <v>1236</v>
      </c>
      <c r="UT2148" s="626" t="s">
        <v>1236</v>
      </c>
      <c r="UU2148" s="626" t="s">
        <v>1236</v>
      </c>
      <c r="UV2148" s="626" t="s">
        <v>1236</v>
      </c>
      <c r="UW2148" s="626" t="s">
        <v>1236</v>
      </c>
      <c r="UX2148" s="626" t="s">
        <v>1236</v>
      </c>
      <c r="UY2148" s="626" t="s">
        <v>1236</v>
      </c>
      <c r="UZ2148" s="626" t="s">
        <v>1236</v>
      </c>
      <c r="VA2148" s="626" t="s">
        <v>1236</v>
      </c>
      <c r="VB2148" s="626" t="s">
        <v>1236</v>
      </c>
      <c r="VC2148" s="626" t="s">
        <v>1236</v>
      </c>
      <c r="VD2148" s="626" t="s">
        <v>1236</v>
      </c>
      <c r="VE2148" s="626" t="s">
        <v>1236</v>
      </c>
      <c r="VF2148" s="626" t="s">
        <v>1236</v>
      </c>
      <c r="VG2148" s="626" t="s">
        <v>1236</v>
      </c>
      <c r="VH2148" s="626" t="s">
        <v>1236</v>
      </c>
      <c r="VI2148" s="626" t="s">
        <v>1236</v>
      </c>
      <c r="VJ2148" s="626" t="s">
        <v>1236</v>
      </c>
      <c r="VK2148" s="626" t="s">
        <v>1236</v>
      </c>
      <c r="VL2148" s="626" t="s">
        <v>1236</v>
      </c>
      <c r="VM2148" s="626" t="s">
        <v>1236</v>
      </c>
      <c r="VN2148" s="626" t="s">
        <v>1236</v>
      </c>
      <c r="VO2148" s="626" t="s">
        <v>1236</v>
      </c>
      <c r="VP2148" s="626" t="s">
        <v>1236</v>
      </c>
      <c r="VQ2148" s="626" t="s">
        <v>1236</v>
      </c>
      <c r="VR2148" s="626" t="s">
        <v>1236</v>
      </c>
      <c r="VS2148" s="626" t="s">
        <v>1236</v>
      </c>
      <c r="VT2148" s="626" t="s">
        <v>1236</v>
      </c>
      <c r="VU2148" s="626" t="s">
        <v>1236</v>
      </c>
      <c r="VV2148" s="626" t="s">
        <v>1236</v>
      </c>
      <c r="VW2148" s="626" t="s">
        <v>1236</v>
      </c>
      <c r="VX2148" s="626" t="s">
        <v>1236</v>
      </c>
      <c r="VY2148" s="626" t="s">
        <v>1236</v>
      </c>
      <c r="VZ2148" s="626" t="s">
        <v>1236</v>
      </c>
      <c r="WA2148" s="626" t="s">
        <v>1236</v>
      </c>
      <c r="WB2148" s="626" t="s">
        <v>1236</v>
      </c>
      <c r="WC2148" s="626" t="s">
        <v>1236</v>
      </c>
      <c r="WD2148" s="626" t="s">
        <v>1236</v>
      </c>
      <c r="WE2148" s="626" t="s">
        <v>1236</v>
      </c>
      <c r="WF2148" s="626" t="s">
        <v>1236</v>
      </c>
      <c r="WG2148" s="626" t="s">
        <v>1236</v>
      </c>
      <c r="WH2148" s="626" t="s">
        <v>1236</v>
      </c>
      <c r="WI2148" s="626" t="s">
        <v>1236</v>
      </c>
      <c r="WJ2148" s="626" t="s">
        <v>1236</v>
      </c>
      <c r="WK2148" s="626" t="s">
        <v>1236</v>
      </c>
      <c r="WL2148" s="626" t="s">
        <v>1236</v>
      </c>
      <c r="WM2148" s="626" t="s">
        <v>1236</v>
      </c>
      <c r="WN2148" s="626" t="s">
        <v>1236</v>
      </c>
      <c r="WO2148" s="626" t="s">
        <v>1236</v>
      </c>
      <c r="WP2148" s="626" t="s">
        <v>1236</v>
      </c>
      <c r="WQ2148" s="626" t="s">
        <v>1236</v>
      </c>
      <c r="WR2148" s="626" t="s">
        <v>1236</v>
      </c>
      <c r="WS2148" s="626" t="s">
        <v>1236</v>
      </c>
      <c r="WT2148" s="626" t="s">
        <v>1236</v>
      </c>
      <c r="WU2148" s="626" t="s">
        <v>1236</v>
      </c>
      <c r="WV2148" s="626" t="s">
        <v>1236</v>
      </c>
      <c r="WW2148" s="626" t="s">
        <v>1236</v>
      </c>
      <c r="WX2148" s="626" t="s">
        <v>1236</v>
      </c>
      <c r="WY2148" s="626" t="s">
        <v>1236</v>
      </c>
      <c r="WZ2148" s="626" t="s">
        <v>1236</v>
      </c>
      <c r="XA2148" s="626" t="s">
        <v>1236</v>
      </c>
      <c r="XB2148" s="626" t="s">
        <v>1236</v>
      </c>
      <c r="XC2148" s="626" t="s">
        <v>1236</v>
      </c>
      <c r="XD2148" s="626" t="s">
        <v>1236</v>
      </c>
      <c r="XE2148" s="626" t="s">
        <v>1236</v>
      </c>
      <c r="XF2148" s="626" t="s">
        <v>1236</v>
      </c>
      <c r="XG2148" s="626" t="s">
        <v>1236</v>
      </c>
      <c r="XH2148" s="626" t="s">
        <v>1236</v>
      </c>
      <c r="XI2148" s="626" t="s">
        <v>1236</v>
      </c>
      <c r="XJ2148" s="626" t="s">
        <v>1236</v>
      </c>
      <c r="XK2148" s="626" t="s">
        <v>1236</v>
      </c>
      <c r="XL2148" s="626" t="s">
        <v>1236</v>
      </c>
      <c r="XM2148" s="626" t="s">
        <v>1236</v>
      </c>
      <c r="XN2148" s="626" t="s">
        <v>1236</v>
      </c>
      <c r="XO2148" s="626" t="s">
        <v>1236</v>
      </c>
      <c r="XP2148" s="626" t="s">
        <v>1236</v>
      </c>
      <c r="XQ2148" s="626" t="s">
        <v>1236</v>
      </c>
      <c r="XR2148" s="626" t="s">
        <v>1236</v>
      </c>
      <c r="XS2148" s="626" t="s">
        <v>1236</v>
      </c>
      <c r="XT2148" s="626" t="s">
        <v>1236</v>
      </c>
      <c r="XU2148" s="626" t="s">
        <v>1236</v>
      </c>
      <c r="XV2148" s="626" t="s">
        <v>1236</v>
      </c>
      <c r="XW2148" s="626" t="s">
        <v>1236</v>
      </c>
      <c r="XX2148" s="626" t="s">
        <v>1236</v>
      </c>
      <c r="XY2148" s="626" t="s">
        <v>1236</v>
      </c>
      <c r="XZ2148" s="626" t="s">
        <v>1236</v>
      </c>
      <c r="YA2148" s="626" t="s">
        <v>1236</v>
      </c>
      <c r="YB2148" s="626" t="s">
        <v>1236</v>
      </c>
      <c r="YC2148" s="626" t="s">
        <v>1236</v>
      </c>
      <c r="YD2148" s="626" t="s">
        <v>1236</v>
      </c>
      <c r="YE2148" s="626" t="s">
        <v>1236</v>
      </c>
      <c r="YF2148" s="626" t="s">
        <v>1236</v>
      </c>
      <c r="YG2148" s="626" t="s">
        <v>1236</v>
      </c>
      <c r="YH2148" s="626" t="s">
        <v>1236</v>
      </c>
      <c r="YI2148" s="626" t="s">
        <v>1236</v>
      </c>
      <c r="YJ2148" s="626" t="s">
        <v>1236</v>
      </c>
      <c r="YK2148" s="626" t="s">
        <v>1236</v>
      </c>
      <c r="YL2148" s="626" t="s">
        <v>1236</v>
      </c>
      <c r="YM2148" s="626" t="s">
        <v>1236</v>
      </c>
      <c r="YN2148" s="626" t="s">
        <v>1236</v>
      </c>
      <c r="YO2148" s="626" t="s">
        <v>1236</v>
      </c>
      <c r="YP2148" s="626" t="s">
        <v>1236</v>
      </c>
      <c r="YQ2148" s="626" t="s">
        <v>1236</v>
      </c>
      <c r="YR2148" s="626" t="s">
        <v>1236</v>
      </c>
      <c r="YS2148" s="626" t="s">
        <v>1236</v>
      </c>
      <c r="YT2148" s="626" t="s">
        <v>1236</v>
      </c>
      <c r="YU2148" s="626" t="s">
        <v>1236</v>
      </c>
      <c r="YV2148" s="626" t="s">
        <v>1236</v>
      </c>
      <c r="YW2148" s="626" t="s">
        <v>1236</v>
      </c>
      <c r="YX2148" s="626" t="s">
        <v>1236</v>
      </c>
      <c r="YY2148" s="626" t="s">
        <v>1236</v>
      </c>
      <c r="YZ2148" s="626" t="s">
        <v>1236</v>
      </c>
      <c r="ZA2148" s="626" t="s">
        <v>1236</v>
      </c>
      <c r="ZB2148" s="626" t="s">
        <v>1236</v>
      </c>
      <c r="ZC2148" s="626" t="s">
        <v>1236</v>
      </c>
      <c r="ZD2148" s="626" t="s">
        <v>1236</v>
      </c>
      <c r="ZE2148" s="626" t="s">
        <v>1236</v>
      </c>
      <c r="ZF2148" s="626" t="s">
        <v>1236</v>
      </c>
      <c r="ZG2148" s="626" t="s">
        <v>1236</v>
      </c>
      <c r="ZH2148" s="626" t="s">
        <v>1236</v>
      </c>
      <c r="ZI2148" s="626" t="s">
        <v>1236</v>
      </c>
      <c r="ZJ2148" s="626" t="s">
        <v>1236</v>
      </c>
      <c r="ZK2148" s="626" t="s">
        <v>1236</v>
      </c>
      <c r="ZL2148" s="626" t="s">
        <v>1236</v>
      </c>
      <c r="ZM2148" s="626" t="s">
        <v>1236</v>
      </c>
      <c r="ZN2148" s="626" t="s">
        <v>1236</v>
      </c>
      <c r="ZO2148" s="626" t="s">
        <v>1236</v>
      </c>
      <c r="ZP2148" s="626" t="s">
        <v>1236</v>
      </c>
      <c r="ZQ2148" s="626" t="s">
        <v>1236</v>
      </c>
      <c r="ZR2148" s="626" t="s">
        <v>1236</v>
      </c>
      <c r="ZS2148" s="626" t="s">
        <v>1236</v>
      </c>
      <c r="ZT2148" s="626" t="s">
        <v>1236</v>
      </c>
      <c r="ZU2148" s="626" t="s">
        <v>1236</v>
      </c>
      <c r="ZV2148" s="626" t="s">
        <v>1236</v>
      </c>
      <c r="ZW2148" s="626" t="s">
        <v>1236</v>
      </c>
      <c r="ZX2148" s="626" t="s">
        <v>1236</v>
      </c>
      <c r="ZY2148" s="626" t="s">
        <v>1236</v>
      </c>
      <c r="ZZ2148" s="626" t="s">
        <v>1236</v>
      </c>
      <c r="AAA2148" s="626" t="s">
        <v>1236</v>
      </c>
      <c r="AAB2148" s="626" t="s">
        <v>1236</v>
      </c>
      <c r="AAC2148" s="626" t="s">
        <v>1236</v>
      </c>
      <c r="AAD2148" s="626" t="s">
        <v>1236</v>
      </c>
      <c r="AAE2148" s="626" t="s">
        <v>1236</v>
      </c>
      <c r="AAF2148" s="626" t="s">
        <v>1236</v>
      </c>
      <c r="AAG2148" s="626" t="s">
        <v>1236</v>
      </c>
      <c r="AAH2148" s="626" t="s">
        <v>1236</v>
      </c>
      <c r="AAI2148" s="626" t="s">
        <v>1236</v>
      </c>
      <c r="AAJ2148" s="626" t="s">
        <v>1236</v>
      </c>
      <c r="AAK2148" s="626" t="s">
        <v>1236</v>
      </c>
      <c r="AAL2148" s="626" t="s">
        <v>1236</v>
      </c>
      <c r="AAM2148" s="626" t="s">
        <v>1236</v>
      </c>
      <c r="AAN2148" s="626" t="s">
        <v>1236</v>
      </c>
      <c r="AAO2148" s="626" t="s">
        <v>1236</v>
      </c>
      <c r="AAP2148" s="626" t="s">
        <v>1236</v>
      </c>
      <c r="AAQ2148" s="626" t="s">
        <v>1236</v>
      </c>
      <c r="AAR2148" s="626" t="s">
        <v>1236</v>
      </c>
      <c r="AAS2148" s="626" t="s">
        <v>1236</v>
      </c>
      <c r="AAT2148" s="626" t="s">
        <v>1236</v>
      </c>
      <c r="AAU2148" s="626" t="s">
        <v>1236</v>
      </c>
      <c r="AAV2148" s="626" t="s">
        <v>1236</v>
      </c>
      <c r="AAW2148" s="626" t="s">
        <v>1236</v>
      </c>
      <c r="AAX2148" s="626" t="s">
        <v>1236</v>
      </c>
      <c r="AAY2148" s="626" t="s">
        <v>1236</v>
      </c>
      <c r="AAZ2148" s="626" t="s">
        <v>1236</v>
      </c>
      <c r="ABA2148" s="626" t="s">
        <v>1236</v>
      </c>
      <c r="ABB2148" s="626" t="s">
        <v>1236</v>
      </c>
      <c r="ABC2148" s="626" t="s">
        <v>1236</v>
      </c>
      <c r="ABD2148" s="626" t="s">
        <v>1236</v>
      </c>
      <c r="ABE2148" s="626" t="s">
        <v>1236</v>
      </c>
      <c r="ABF2148" s="626" t="s">
        <v>1236</v>
      </c>
      <c r="ABG2148" s="626" t="s">
        <v>1236</v>
      </c>
      <c r="ABH2148" s="626" t="s">
        <v>1236</v>
      </c>
      <c r="ABI2148" s="626" t="s">
        <v>1236</v>
      </c>
      <c r="ABJ2148" s="626" t="s">
        <v>1236</v>
      </c>
      <c r="ABK2148" s="626" t="s">
        <v>1236</v>
      </c>
      <c r="ABL2148" s="626" t="s">
        <v>1236</v>
      </c>
      <c r="ABM2148" s="626" t="s">
        <v>1236</v>
      </c>
      <c r="ABN2148" s="626" t="s">
        <v>1236</v>
      </c>
      <c r="ABO2148" s="626" t="s">
        <v>1236</v>
      </c>
      <c r="ABP2148" s="626" t="s">
        <v>1236</v>
      </c>
      <c r="ABQ2148" s="626" t="s">
        <v>1236</v>
      </c>
      <c r="ABR2148" s="626" t="s">
        <v>1236</v>
      </c>
      <c r="ABS2148" s="626" t="s">
        <v>1236</v>
      </c>
      <c r="ABT2148" s="626" t="s">
        <v>1236</v>
      </c>
      <c r="ABU2148" s="626" t="s">
        <v>1236</v>
      </c>
      <c r="ABV2148" s="626" t="s">
        <v>1236</v>
      </c>
      <c r="ABW2148" s="626" t="s">
        <v>1236</v>
      </c>
      <c r="ABX2148" s="626" t="s">
        <v>1236</v>
      </c>
      <c r="ABY2148" s="626" t="s">
        <v>1236</v>
      </c>
      <c r="ABZ2148" s="626" t="s">
        <v>1236</v>
      </c>
      <c r="ACA2148" s="626" t="s">
        <v>1236</v>
      </c>
      <c r="ACB2148" s="626" t="s">
        <v>1236</v>
      </c>
      <c r="ACC2148" s="626" t="s">
        <v>1236</v>
      </c>
      <c r="ACD2148" s="626" t="s">
        <v>1236</v>
      </c>
      <c r="ACE2148" s="626" t="s">
        <v>1236</v>
      </c>
      <c r="ACF2148" s="626" t="s">
        <v>1236</v>
      </c>
      <c r="ACG2148" s="626" t="s">
        <v>1236</v>
      </c>
      <c r="ACH2148" s="626" t="s">
        <v>1236</v>
      </c>
      <c r="ACI2148" s="626" t="s">
        <v>1236</v>
      </c>
      <c r="ACJ2148" s="626" t="s">
        <v>1236</v>
      </c>
      <c r="ACK2148" s="626" t="s">
        <v>1236</v>
      </c>
      <c r="ACL2148" s="626" t="s">
        <v>1236</v>
      </c>
      <c r="ACM2148" s="626" t="s">
        <v>1236</v>
      </c>
      <c r="ACN2148" s="626" t="s">
        <v>1236</v>
      </c>
      <c r="ACO2148" s="626" t="s">
        <v>1236</v>
      </c>
      <c r="ACP2148" s="626" t="s">
        <v>1236</v>
      </c>
      <c r="ACQ2148" s="626" t="s">
        <v>1236</v>
      </c>
      <c r="ACR2148" s="626" t="s">
        <v>1236</v>
      </c>
      <c r="ACS2148" s="626" t="s">
        <v>1236</v>
      </c>
      <c r="ACT2148" s="626" t="s">
        <v>1236</v>
      </c>
      <c r="ACU2148" s="626" t="s">
        <v>1236</v>
      </c>
      <c r="ACV2148" s="626" t="s">
        <v>1236</v>
      </c>
      <c r="ACW2148" s="626" t="s">
        <v>1236</v>
      </c>
      <c r="ACX2148" s="626" t="s">
        <v>1236</v>
      </c>
      <c r="ACY2148" s="626" t="s">
        <v>1236</v>
      </c>
      <c r="ACZ2148" s="626" t="s">
        <v>1236</v>
      </c>
      <c r="ADA2148" s="626" t="s">
        <v>1236</v>
      </c>
      <c r="ADB2148" s="626" t="s">
        <v>1236</v>
      </c>
      <c r="ADC2148" s="626" t="s">
        <v>1236</v>
      </c>
      <c r="ADD2148" s="626" t="s">
        <v>1236</v>
      </c>
      <c r="ADE2148" s="626" t="s">
        <v>1236</v>
      </c>
      <c r="ADF2148" s="626" t="s">
        <v>1236</v>
      </c>
      <c r="ADG2148" s="626" t="s">
        <v>1236</v>
      </c>
      <c r="ADH2148" s="626" t="s">
        <v>1236</v>
      </c>
      <c r="ADI2148" s="626" t="s">
        <v>1236</v>
      </c>
      <c r="ADJ2148" s="626" t="s">
        <v>1236</v>
      </c>
      <c r="ADK2148" s="626" t="s">
        <v>1236</v>
      </c>
      <c r="ADL2148" s="626" t="s">
        <v>1236</v>
      </c>
      <c r="ADM2148" s="626" t="s">
        <v>1236</v>
      </c>
      <c r="ADN2148" s="626" t="s">
        <v>1236</v>
      </c>
      <c r="ADO2148" s="626" t="s">
        <v>1236</v>
      </c>
      <c r="ADP2148" s="626" t="s">
        <v>1236</v>
      </c>
      <c r="ADQ2148" s="626" t="s">
        <v>1236</v>
      </c>
      <c r="ADR2148" s="626" t="s">
        <v>1236</v>
      </c>
      <c r="ADS2148" s="626" t="s">
        <v>1236</v>
      </c>
      <c r="ADT2148" s="626" t="s">
        <v>1236</v>
      </c>
      <c r="ADU2148" s="626" t="s">
        <v>1236</v>
      </c>
      <c r="ADV2148" s="626" t="s">
        <v>1236</v>
      </c>
      <c r="ADW2148" s="626" t="s">
        <v>1236</v>
      </c>
      <c r="ADX2148" s="626" t="s">
        <v>1236</v>
      </c>
      <c r="ADY2148" s="626" t="s">
        <v>1236</v>
      </c>
      <c r="ADZ2148" s="626" t="s">
        <v>1236</v>
      </c>
      <c r="AEA2148" s="626" t="s">
        <v>1236</v>
      </c>
      <c r="AEB2148" s="626" t="s">
        <v>1236</v>
      </c>
      <c r="AEC2148" s="626" t="s">
        <v>1236</v>
      </c>
      <c r="AED2148" s="626" t="s">
        <v>1236</v>
      </c>
      <c r="AEE2148" s="626" t="s">
        <v>1236</v>
      </c>
      <c r="AEF2148" s="626" t="s">
        <v>1236</v>
      </c>
      <c r="AEG2148" s="626" t="s">
        <v>1236</v>
      </c>
      <c r="AEH2148" s="626" t="s">
        <v>1236</v>
      </c>
      <c r="AEI2148" s="626" t="s">
        <v>1236</v>
      </c>
      <c r="AEJ2148" s="626" t="s">
        <v>1236</v>
      </c>
      <c r="AEK2148" s="626" t="s">
        <v>1236</v>
      </c>
      <c r="AEL2148" s="626" t="s">
        <v>1236</v>
      </c>
      <c r="AEM2148" s="626" t="s">
        <v>1236</v>
      </c>
      <c r="AEN2148" s="626" t="s">
        <v>1236</v>
      </c>
      <c r="AEO2148" s="626" t="s">
        <v>1236</v>
      </c>
      <c r="AEP2148" s="626" t="s">
        <v>1236</v>
      </c>
      <c r="AEQ2148" s="626" t="s">
        <v>1236</v>
      </c>
      <c r="AER2148" s="626" t="s">
        <v>1236</v>
      </c>
      <c r="AES2148" s="626" t="s">
        <v>1236</v>
      </c>
      <c r="AET2148" s="626" t="s">
        <v>1236</v>
      </c>
      <c r="AEU2148" s="626" t="s">
        <v>1236</v>
      </c>
      <c r="AEV2148" s="626" t="s">
        <v>1236</v>
      </c>
      <c r="AEW2148" s="626" t="s">
        <v>1236</v>
      </c>
      <c r="AEX2148" s="626" t="s">
        <v>1236</v>
      </c>
      <c r="AEY2148" s="626" t="s">
        <v>1236</v>
      </c>
      <c r="AEZ2148" s="626" t="s">
        <v>1236</v>
      </c>
      <c r="AFA2148" s="626" t="s">
        <v>1236</v>
      </c>
      <c r="AFB2148" s="626" t="s">
        <v>1236</v>
      </c>
      <c r="AFC2148" s="626" t="s">
        <v>1236</v>
      </c>
      <c r="AFD2148" s="626" t="s">
        <v>1236</v>
      </c>
      <c r="AFE2148" s="626" t="s">
        <v>1236</v>
      </c>
      <c r="AFF2148" s="626" t="s">
        <v>1236</v>
      </c>
      <c r="AFG2148" s="626" t="s">
        <v>1236</v>
      </c>
      <c r="AFH2148" s="626" t="s">
        <v>1236</v>
      </c>
      <c r="AFI2148" s="626" t="s">
        <v>1236</v>
      </c>
      <c r="AFJ2148" s="626" t="s">
        <v>1236</v>
      </c>
      <c r="AFK2148" s="626" t="s">
        <v>1236</v>
      </c>
      <c r="AFL2148" s="626" t="s">
        <v>1236</v>
      </c>
      <c r="AFM2148" s="626" t="s">
        <v>1236</v>
      </c>
      <c r="AFN2148" s="626" t="s">
        <v>1236</v>
      </c>
      <c r="AFO2148" s="626" t="s">
        <v>1236</v>
      </c>
      <c r="AFP2148" s="626" t="s">
        <v>1236</v>
      </c>
      <c r="AFQ2148" s="626" t="s">
        <v>1236</v>
      </c>
      <c r="AFR2148" s="626" t="s">
        <v>1236</v>
      </c>
      <c r="AFS2148" s="626" t="s">
        <v>1236</v>
      </c>
      <c r="AFT2148" s="626" t="s">
        <v>1236</v>
      </c>
      <c r="AFU2148" s="626" t="s">
        <v>1236</v>
      </c>
      <c r="AFV2148" s="626" t="s">
        <v>1236</v>
      </c>
      <c r="AFW2148" s="626" t="s">
        <v>1236</v>
      </c>
      <c r="AFX2148" s="626" t="s">
        <v>1236</v>
      </c>
      <c r="AFY2148" s="626" t="s">
        <v>1236</v>
      </c>
      <c r="AFZ2148" s="626" t="s">
        <v>1236</v>
      </c>
      <c r="AGA2148" s="626" t="s">
        <v>1236</v>
      </c>
      <c r="AGB2148" s="626" t="s">
        <v>1236</v>
      </c>
      <c r="AGC2148" s="626" t="s">
        <v>1236</v>
      </c>
      <c r="AGD2148" s="626" t="s">
        <v>1236</v>
      </c>
      <c r="AGE2148" s="626" t="s">
        <v>1236</v>
      </c>
      <c r="AGF2148" s="626" t="s">
        <v>1236</v>
      </c>
      <c r="AGG2148" s="626" t="s">
        <v>1236</v>
      </c>
      <c r="AGH2148" s="626" t="s">
        <v>1236</v>
      </c>
      <c r="AGI2148" s="626" t="s">
        <v>1236</v>
      </c>
      <c r="AGJ2148" s="626" t="s">
        <v>1236</v>
      </c>
      <c r="AGK2148" s="626" t="s">
        <v>1236</v>
      </c>
      <c r="AGL2148" s="626" t="s">
        <v>1236</v>
      </c>
      <c r="AGM2148" s="626" t="s">
        <v>1236</v>
      </c>
      <c r="AGN2148" s="626" t="s">
        <v>1236</v>
      </c>
      <c r="AGO2148" s="626" t="s">
        <v>1236</v>
      </c>
      <c r="AGP2148" s="626" t="s">
        <v>1236</v>
      </c>
      <c r="AGQ2148" s="626" t="s">
        <v>1236</v>
      </c>
      <c r="AGR2148" s="626" t="s">
        <v>1236</v>
      </c>
      <c r="AGS2148" s="626" t="s">
        <v>1236</v>
      </c>
      <c r="AGT2148" s="626" t="s">
        <v>1236</v>
      </c>
      <c r="AGU2148" s="626" t="s">
        <v>1236</v>
      </c>
      <c r="AGV2148" s="626" t="s">
        <v>1236</v>
      </c>
      <c r="AGW2148" s="626" t="s">
        <v>1236</v>
      </c>
      <c r="AGX2148" s="626" t="s">
        <v>1236</v>
      </c>
      <c r="AGY2148" s="626" t="s">
        <v>1236</v>
      </c>
      <c r="AGZ2148" s="626" t="s">
        <v>1236</v>
      </c>
      <c r="AHA2148" s="626" t="s">
        <v>1236</v>
      </c>
      <c r="AHB2148" s="626" t="s">
        <v>1236</v>
      </c>
      <c r="AHC2148" s="626" t="s">
        <v>1236</v>
      </c>
      <c r="AHD2148" s="626" t="s">
        <v>1236</v>
      </c>
      <c r="AHE2148" s="626" t="s">
        <v>1236</v>
      </c>
      <c r="AHF2148" s="626" t="s">
        <v>1236</v>
      </c>
      <c r="AHG2148" s="626" t="s">
        <v>1236</v>
      </c>
      <c r="AHH2148" s="626" t="s">
        <v>1236</v>
      </c>
      <c r="AHI2148" s="626" t="s">
        <v>1236</v>
      </c>
      <c r="AHJ2148" s="626" t="s">
        <v>1236</v>
      </c>
      <c r="AHK2148" s="626" t="s">
        <v>1236</v>
      </c>
      <c r="AHL2148" s="626" t="s">
        <v>1236</v>
      </c>
      <c r="AHM2148" s="626" t="s">
        <v>1236</v>
      </c>
      <c r="AHN2148" s="626" t="s">
        <v>1236</v>
      </c>
      <c r="AHO2148" s="626" t="s">
        <v>1236</v>
      </c>
      <c r="AHP2148" s="626" t="s">
        <v>1236</v>
      </c>
      <c r="AHQ2148" s="626" t="s">
        <v>1236</v>
      </c>
      <c r="AHR2148" s="626" t="s">
        <v>1236</v>
      </c>
      <c r="AHS2148" s="626" t="s">
        <v>1236</v>
      </c>
      <c r="AHT2148" s="626" t="s">
        <v>1236</v>
      </c>
      <c r="AHU2148" s="626" t="s">
        <v>1236</v>
      </c>
      <c r="AHV2148" s="626" t="s">
        <v>1236</v>
      </c>
      <c r="AHW2148" s="626" t="s">
        <v>1236</v>
      </c>
      <c r="AHX2148" s="626" t="s">
        <v>1236</v>
      </c>
      <c r="AHY2148" s="626" t="s">
        <v>1236</v>
      </c>
      <c r="AHZ2148" s="626" t="s">
        <v>1236</v>
      </c>
      <c r="AIA2148" s="626" t="s">
        <v>1236</v>
      </c>
      <c r="AIB2148" s="626" t="s">
        <v>1236</v>
      </c>
      <c r="AIC2148" s="626" t="s">
        <v>1236</v>
      </c>
      <c r="AID2148" s="626" t="s">
        <v>1236</v>
      </c>
      <c r="AIE2148" s="626" t="s">
        <v>1236</v>
      </c>
      <c r="AIF2148" s="626" t="s">
        <v>1236</v>
      </c>
      <c r="AIG2148" s="626" t="s">
        <v>1236</v>
      </c>
      <c r="AIH2148" s="626" t="s">
        <v>1236</v>
      </c>
      <c r="AII2148" s="626" t="s">
        <v>1236</v>
      </c>
      <c r="AIJ2148" s="626" t="s">
        <v>1236</v>
      </c>
      <c r="AIK2148" s="626" t="s">
        <v>1236</v>
      </c>
      <c r="AIL2148" s="626" t="s">
        <v>1236</v>
      </c>
      <c r="AIM2148" s="626" t="s">
        <v>1236</v>
      </c>
      <c r="AIN2148" s="626" t="s">
        <v>1236</v>
      </c>
      <c r="AIO2148" s="626" t="s">
        <v>1236</v>
      </c>
      <c r="AIP2148" s="626" t="s">
        <v>1236</v>
      </c>
      <c r="AIQ2148" s="626" t="s">
        <v>1236</v>
      </c>
      <c r="AIR2148" s="626" t="s">
        <v>1236</v>
      </c>
      <c r="AIS2148" s="626" t="s">
        <v>1236</v>
      </c>
      <c r="AIT2148" s="626" t="s">
        <v>1236</v>
      </c>
      <c r="AIU2148" s="626" t="s">
        <v>1236</v>
      </c>
      <c r="AIV2148" s="626" t="s">
        <v>1236</v>
      </c>
      <c r="AIW2148" s="626" t="s">
        <v>1236</v>
      </c>
      <c r="AIX2148" s="626" t="s">
        <v>1236</v>
      </c>
      <c r="AIY2148" s="626" t="s">
        <v>1236</v>
      </c>
      <c r="AIZ2148" s="626" t="s">
        <v>1236</v>
      </c>
      <c r="AJA2148" s="626" t="s">
        <v>1236</v>
      </c>
      <c r="AJB2148" s="626" t="s">
        <v>1236</v>
      </c>
      <c r="AJC2148" s="626" t="s">
        <v>1236</v>
      </c>
      <c r="AJD2148" s="626" t="s">
        <v>1236</v>
      </c>
      <c r="AJE2148" s="626" t="s">
        <v>1236</v>
      </c>
      <c r="AJF2148" s="626" t="s">
        <v>1236</v>
      </c>
      <c r="AJG2148" s="626" t="s">
        <v>1236</v>
      </c>
      <c r="AJH2148" s="626" t="s">
        <v>1236</v>
      </c>
      <c r="AJI2148" s="626" t="s">
        <v>1236</v>
      </c>
      <c r="AJJ2148" s="626" t="s">
        <v>1236</v>
      </c>
      <c r="AJK2148" s="626" t="s">
        <v>1236</v>
      </c>
      <c r="AJL2148" s="626" t="s">
        <v>1236</v>
      </c>
      <c r="AJM2148" s="626" t="s">
        <v>1236</v>
      </c>
      <c r="AJN2148" s="626" t="s">
        <v>1236</v>
      </c>
      <c r="AJO2148" s="626" t="s">
        <v>1236</v>
      </c>
      <c r="AJP2148" s="626" t="s">
        <v>1236</v>
      </c>
      <c r="AJQ2148" s="626" t="s">
        <v>1236</v>
      </c>
      <c r="AJR2148" s="626" t="s">
        <v>1236</v>
      </c>
      <c r="AJS2148" s="626" t="s">
        <v>1236</v>
      </c>
      <c r="AJT2148" s="626" t="s">
        <v>1236</v>
      </c>
      <c r="AJU2148" s="626" t="s">
        <v>1236</v>
      </c>
      <c r="AJV2148" s="626" t="s">
        <v>1236</v>
      </c>
      <c r="AJW2148" s="626" t="s">
        <v>1236</v>
      </c>
      <c r="AJX2148" s="626" t="s">
        <v>1236</v>
      </c>
      <c r="AJY2148" s="626" t="s">
        <v>1236</v>
      </c>
      <c r="AJZ2148" s="626" t="s">
        <v>1236</v>
      </c>
      <c r="AKA2148" s="626" t="s">
        <v>1236</v>
      </c>
      <c r="AKB2148" s="626" t="s">
        <v>1236</v>
      </c>
      <c r="AKC2148" s="626" t="s">
        <v>1236</v>
      </c>
      <c r="AKD2148" s="626" t="s">
        <v>1236</v>
      </c>
      <c r="AKE2148" s="626" t="s">
        <v>1236</v>
      </c>
      <c r="AKF2148" s="626" t="s">
        <v>1236</v>
      </c>
      <c r="AKG2148" s="626" t="s">
        <v>1236</v>
      </c>
      <c r="AKH2148" s="626" t="s">
        <v>1236</v>
      </c>
      <c r="AKI2148" s="626" t="s">
        <v>1236</v>
      </c>
      <c r="AKJ2148" s="626" t="s">
        <v>1236</v>
      </c>
      <c r="AKK2148" s="626" t="s">
        <v>1236</v>
      </c>
      <c r="AKL2148" s="626" t="s">
        <v>1236</v>
      </c>
      <c r="AKM2148" s="626" t="s">
        <v>1236</v>
      </c>
      <c r="AKN2148" s="626" t="s">
        <v>1236</v>
      </c>
      <c r="AKO2148" s="626" t="s">
        <v>1236</v>
      </c>
      <c r="AKP2148" s="626" t="s">
        <v>1236</v>
      </c>
      <c r="AKQ2148" s="626" t="s">
        <v>1236</v>
      </c>
      <c r="AKR2148" s="626" t="s">
        <v>1236</v>
      </c>
      <c r="AKS2148" s="626" t="s">
        <v>1236</v>
      </c>
      <c r="AKT2148" s="626" t="s">
        <v>1236</v>
      </c>
      <c r="AKU2148" s="626" t="s">
        <v>1236</v>
      </c>
      <c r="AKV2148" s="626" t="s">
        <v>1236</v>
      </c>
      <c r="AKW2148" s="626" t="s">
        <v>1236</v>
      </c>
      <c r="AKX2148" s="626" t="s">
        <v>1236</v>
      </c>
      <c r="AKY2148" s="626" t="s">
        <v>1236</v>
      </c>
      <c r="AKZ2148" s="626" t="s">
        <v>1236</v>
      </c>
      <c r="ALA2148" s="626" t="s">
        <v>1236</v>
      </c>
      <c r="ALB2148" s="626" t="s">
        <v>1236</v>
      </c>
      <c r="ALC2148" s="626" t="s">
        <v>1236</v>
      </c>
      <c r="ALD2148" s="626" t="s">
        <v>1236</v>
      </c>
      <c r="ALE2148" s="626" t="s">
        <v>1236</v>
      </c>
      <c r="ALF2148" s="626" t="s">
        <v>1236</v>
      </c>
      <c r="ALG2148" s="626" t="s">
        <v>1236</v>
      </c>
      <c r="ALH2148" s="626" t="s">
        <v>1236</v>
      </c>
      <c r="ALI2148" s="626" t="s">
        <v>1236</v>
      </c>
      <c r="ALJ2148" s="626" t="s">
        <v>1236</v>
      </c>
      <c r="ALK2148" s="626" t="s">
        <v>1236</v>
      </c>
      <c r="ALL2148" s="626" t="s">
        <v>1236</v>
      </c>
      <c r="ALM2148" s="626" t="s">
        <v>1236</v>
      </c>
      <c r="ALN2148" s="626" t="s">
        <v>1236</v>
      </c>
      <c r="ALO2148" s="626" t="s">
        <v>1236</v>
      </c>
      <c r="ALP2148" s="626" t="s">
        <v>1236</v>
      </c>
      <c r="ALQ2148" s="626" t="s">
        <v>1236</v>
      </c>
      <c r="ALR2148" s="626" t="s">
        <v>1236</v>
      </c>
      <c r="ALS2148" s="626" t="s">
        <v>1236</v>
      </c>
      <c r="ALT2148" s="626" t="s">
        <v>1236</v>
      </c>
      <c r="ALU2148" s="626" t="s">
        <v>1236</v>
      </c>
      <c r="ALV2148" s="626" t="s">
        <v>1236</v>
      </c>
      <c r="ALW2148" s="626" t="s">
        <v>1236</v>
      </c>
      <c r="ALX2148" s="626" t="s">
        <v>1236</v>
      </c>
      <c r="ALY2148" s="626" t="s">
        <v>1236</v>
      </c>
      <c r="ALZ2148" s="626" t="s">
        <v>1236</v>
      </c>
      <c r="AMA2148" s="626" t="s">
        <v>1236</v>
      </c>
      <c r="AMB2148" s="626" t="s">
        <v>1236</v>
      </c>
      <c r="AMC2148" s="626" t="s">
        <v>1236</v>
      </c>
      <c r="AMD2148" s="626" t="s">
        <v>1236</v>
      </c>
      <c r="AME2148" s="626" t="s">
        <v>1236</v>
      </c>
      <c r="AMF2148" s="626" t="s">
        <v>1236</v>
      </c>
      <c r="AMG2148" s="626" t="s">
        <v>1236</v>
      </c>
      <c r="AMH2148" s="626" t="s">
        <v>1236</v>
      </c>
      <c r="AMI2148" s="626" t="s">
        <v>1236</v>
      </c>
      <c r="AMJ2148" s="626" t="s">
        <v>1236</v>
      </c>
      <c r="AMK2148" s="626" t="s">
        <v>1236</v>
      </c>
      <c r="AML2148" s="626" t="s">
        <v>1236</v>
      </c>
      <c r="AMM2148" s="626" t="s">
        <v>1236</v>
      </c>
      <c r="AMN2148" s="626" t="s">
        <v>1236</v>
      </c>
      <c r="AMO2148" s="626" t="s">
        <v>1236</v>
      </c>
      <c r="AMP2148" s="626" t="s">
        <v>1236</v>
      </c>
      <c r="AMQ2148" s="626" t="s">
        <v>1236</v>
      </c>
      <c r="AMR2148" s="626" t="s">
        <v>1236</v>
      </c>
      <c r="AMS2148" s="626" t="s">
        <v>1236</v>
      </c>
      <c r="AMT2148" s="626" t="s">
        <v>1236</v>
      </c>
      <c r="AMU2148" s="626" t="s">
        <v>1236</v>
      </c>
      <c r="AMV2148" s="626" t="s">
        <v>1236</v>
      </c>
      <c r="AMW2148" s="626" t="s">
        <v>1236</v>
      </c>
      <c r="AMX2148" s="626" t="s">
        <v>1236</v>
      </c>
      <c r="AMY2148" s="626" t="s">
        <v>1236</v>
      </c>
      <c r="AMZ2148" s="626" t="s">
        <v>1236</v>
      </c>
      <c r="ANA2148" s="626" t="s">
        <v>1236</v>
      </c>
      <c r="ANB2148" s="626" t="s">
        <v>1236</v>
      </c>
      <c r="ANC2148" s="626" t="s">
        <v>1236</v>
      </c>
      <c r="AND2148" s="626" t="s">
        <v>1236</v>
      </c>
      <c r="ANE2148" s="626" t="s">
        <v>1236</v>
      </c>
      <c r="ANF2148" s="626" t="s">
        <v>1236</v>
      </c>
      <c r="ANG2148" s="626" t="s">
        <v>1236</v>
      </c>
      <c r="ANH2148" s="626" t="s">
        <v>1236</v>
      </c>
      <c r="ANI2148" s="626" t="s">
        <v>1236</v>
      </c>
      <c r="ANJ2148" s="626" t="s">
        <v>1236</v>
      </c>
      <c r="ANK2148" s="626" t="s">
        <v>1236</v>
      </c>
      <c r="ANL2148" s="626" t="s">
        <v>1236</v>
      </c>
      <c r="ANM2148" s="626" t="s">
        <v>1236</v>
      </c>
      <c r="ANN2148" s="626" t="s">
        <v>1236</v>
      </c>
      <c r="ANO2148" s="626" t="s">
        <v>1236</v>
      </c>
      <c r="ANP2148" s="626" t="s">
        <v>1236</v>
      </c>
      <c r="ANQ2148" s="626" t="s">
        <v>1236</v>
      </c>
      <c r="ANR2148" s="626" t="s">
        <v>1236</v>
      </c>
      <c r="ANS2148" s="626" t="s">
        <v>1236</v>
      </c>
      <c r="ANT2148" s="626" t="s">
        <v>1236</v>
      </c>
      <c r="ANU2148" s="626" t="s">
        <v>1236</v>
      </c>
      <c r="ANV2148" s="626" t="s">
        <v>1236</v>
      </c>
      <c r="ANW2148" s="626" t="s">
        <v>1236</v>
      </c>
      <c r="ANX2148" s="626" t="s">
        <v>1236</v>
      </c>
      <c r="ANY2148" s="626" t="s">
        <v>1236</v>
      </c>
      <c r="ANZ2148" s="626" t="s">
        <v>1236</v>
      </c>
      <c r="AOA2148" s="626" t="s">
        <v>1236</v>
      </c>
      <c r="AOB2148" s="626" t="s">
        <v>1236</v>
      </c>
      <c r="AOC2148" s="626" t="s">
        <v>1236</v>
      </c>
      <c r="AOD2148" s="626" t="s">
        <v>1236</v>
      </c>
      <c r="AOE2148" s="626" t="s">
        <v>1236</v>
      </c>
      <c r="AOF2148" s="626" t="s">
        <v>1236</v>
      </c>
      <c r="AOG2148" s="626" t="s">
        <v>1236</v>
      </c>
      <c r="AOH2148" s="626" t="s">
        <v>1236</v>
      </c>
      <c r="AOI2148" s="626" t="s">
        <v>1236</v>
      </c>
      <c r="AOJ2148" s="626" t="s">
        <v>1236</v>
      </c>
      <c r="AOK2148" s="626" t="s">
        <v>1236</v>
      </c>
      <c r="AOL2148" s="626" t="s">
        <v>1236</v>
      </c>
      <c r="AOM2148" s="626" t="s">
        <v>1236</v>
      </c>
      <c r="AON2148" s="626" t="s">
        <v>1236</v>
      </c>
      <c r="AOO2148" s="626" t="s">
        <v>1236</v>
      </c>
      <c r="AOP2148" s="626" t="s">
        <v>1236</v>
      </c>
      <c r="AOQ2148" s="626" t="s">
        <v>1236</v>
      </c>
      <c r="AOR2148" s="626" t="s">
        <v>1236</v>
      </c>
      <c r="AOS2148" s="626" t="s">
        <v>1236</v>
      </c>
      <c r="AOT2148" s="626" t="s">
        <v>1236</v>
      </c>
      <c r="AOU2148" s="626" t="s">
        <v>1236</v>
      </c>
      <c r="AOV2148" s="626" t="s">
        <v>1236</v>
      </c>
      <c r="AOW2148" s="626" t="s">
        <v>1236</v>
      </c>
      <c r="AOX2148" s="626" t="s">
        <v>1236</v>
      </c>
      <c r="AOY2148" s="626" t="s">
        <v>1236</v>
      </c>
      <c r="AOZ2148" s="626" t="s">
        <v>1236</v>
      </c>
      <c r="APA2148" s="626" t="s">
        <v>1236</v>
      </c>
      <c r="APB2148" s="626" t="s">
        <v>1236</v>
      </c>
      <c r="APC2148" s="626" t="s">
        <v>1236</v>
      </c>
      <c r="APD2148" s="626" t="s">
        <v>1236</v>
      </c>
      <c r="APE2148" s="626" t="s">
        <v>1236</v>
      </c>
      <c r="APF2148" s="626" t="s">
        <v>1236</v>
      </c>
      <c r="APG2148" s="626" t="s">
        <v>1236</v>
      </c>
      <c r="APH2148" s="626" t="s">
        <v>1236</v>
      </c>
      <c r="API2148" s="626" t="s">
        <v>1236</v>
      </c>
      <c r="APJ2148" s="626" t="s">
        <v>1236</v>
      </c>
      <c r="APK2148" s="626" t="s">
        <v>1236</v>
      </c>
      <c r="APL2148" s="626" t="s">
        <v>1236</v>
      </c>
      <c r="APM2148" s="626" t="s">
        <v>1236</v>
      </c>
      <c r="APN2148" s="626" t="s">
        <v>1236</v>
      </c>
      <c r="APO2148" s="626" t="s">
        <v>1236</v>
      </c>
      <c r="APP2148" s="626" t="s">
        <v>1236</v>
      </c>
      <c r="APQ2148" s="626" t="s">
        <v>1236</v>
      </c>
      <c r="APR2148" s="626" t="s">
        <v>1236</v>
      </c>
      <c r="APS2148" s="626" t="s">
        <v>1236</v>
      </c>
      <c r="APT2148" s="626" t="s">
        <v>1236</v>
      </c>
      <c r="APU2148" s="626" t="s">
        <v>1236</v>
      </c>
      <c r="APV2148" s="626" t="s">
        <v>1236</v>
      </c>
      <c r="APW2148" s="626" t="s">
        <v>1236</v>
      </c>
      <c r="APX2148" s="626" t="s">
        <v>1236</v>
      </c>
      <c r="APY2148" s="626" t="s">
        <v>1236</v>
      </c>
      <c r="APZ2148" s="626" t="s">
        <v>1236</v>
      </c>
      <c r="AQA2148" s="626" t="s">
        <v>1236</v>
      </c>
      <c r="AQB2148" s="626" t="s">
        <v>1236</v>
      </c>
      <c r="AQC2148" s="626" t="s">
        <v>1236</v>
      </c>
      <c r="AQD2148" s="626" t="s">
        <v>1236</v>
      </c>
      <c r="AQE2148" s="626" t="s">
        <v>1236</v>
      </c>
      <c r="AQF2148" s="626" t="s">
        <v>1236</v>
      </c>
      <c r="AQG2148" s="626" t="s">
        <v>1236</v>
      </c>
      <c r="AQH2148" s="626" t="s">
        <v>1236</v>
      </c>
      <c r="AQI2148" s="626" t="s">
        <v>1236</v>
      </c>
      <c r="AQJ2148" s="626" t="s">
        <v>1236</v>
      </c>
      <c r="AQK2148" s="626" t="s">
        <v>1236</v>
      </c>
      <c r="AQL2148" s="626" t="s">
        <v>1236</v>
      </c>
      <c r="AQM2148" s="626" t="s">
        <v>1236</v>
      </c>
      <c r="AQN2148" s="626" t="s">
        <v>1236</v>
      </c>
      <c r="AQO2148" s="626" t="s">
        <v>1236</v>
      </c>
      <c r="AQP2148" s="626" t="s">
        <v>1236</v>
      </c>
      <c r="AQQ2148" s="626" t="s">
        <v>1236</v>
      </c>
      <c r="AQR2148" s="626" t="s">
        <v>1236</v>
      </c>
      <c r="AQS2148" s="626" t="s">
        <v>1236</v>
      </c>
      <c r="AQT2148" s="626" t="s">
        <v>1236</v>
      </c>
      <c r="AQU2148" s="626" t="s">
        <v>1236</v>
      </c>
      <c r="AQV2148" s="626" t="s">
        <v>1236</v>
      </c>
      <c r="AQW2148" s="626" t="s">
        <v>1236</v>
      </c>
      <c r="AQX2148" s="626" t="s">
        <v>1236</v>
      </c>
      <c r="AQY2148" s="626" t="s">
        <v>1236</v>
      </c>
      <c r="AQZ2148" s="626" t="s">
        <v>1236</v>
      </c>
      <c r="ARA2148" s="626" t="s">
        <v>1236</v>
      </c>
      <c r="ARB2148" s="626" t="s">
        <v>1236</v>
      </c>
      <c r="ARC2148" s="626" t="s">
        <v>1236</v>
      </c>
      <c r="ARD2148" s="626" t="s">
        <v>1236</v>
      </c>
      <c r="ARE2148" s="626" t="s">
        <v>1236</v>
      </c>
      <c r="ARF2148" s="626" t="s">
        <v>1236</v>
      </c>
      <c r="ARG2148" s="626" t="s">
        <v>1236</v>
      </c>
      <c r="ARH2148" s="626" t="s">
        <v>1236</v>
      </c>
      <c r="ARI2148" s="626" t="s">
        <v>1236</v>
      </c>
      <c r="ARJ2148" s="626" t="s">
        <v>1236</v>
      </c>
      <c r="ARK2148" s="626" t="s">
        <v>1236</v>
      </c>
      <c r="ARL2148" s="626" t="s">
        <v>1236</v>
      </c>
      <c r="ARM2148" s="626" t="s">
        <v>1236</v>
      </c>
      <c r="ARN2148" s="626" t="s">
        <v>1236</v>
      </c>
      <c r="ARO2148" s="626" t="s">
        <v>1236</v>
      </c>
      <c r="ARP2148" s="626" t="s">
        <v>1236</v>
      </c>
      <c r="ARQ2148" s="626" t="s">
        <v>1236</v>
      </c>
      <c r="ARR2148" s="626" t="s">
        <v>1236</v>
      </c>
      <c r="ARS2148" s="626" t="s">
        <v>1236</v>
      </c>
      <c r="ART2148" s="626" t="s">
        <v>1236</v>
      </c>
      <c r="ARU2148" s="626" t="s">
        <v>1236</v>
      </c>
      <c r="ARV2148" s="626" t="s">
        <v>1236</v>
      </c>
      <c r="ARW2148" s="626" t="s">
        <v>1236</v>
      </c>
      <c r="ARX2148" s="626" t="s">
        <v>1236</v>
      </c>
      <c r="ARY2148" s="626" t="s">
        <v>1236</v>
      </c>
      <c r="ARZ2148" s="626" t="s">
        <v>1236</v>
      </c>
      <c r="ASA2148" s="626" t="s">
        <v>1236</v>
      </c>
      <c r="ASB2148" s="626" t="s">
        <v>1236</v>
      </c>
      <c r="ASC2148" s="626" t="s">
        <v>1236</v>
      </c>
      <c r="ASD2148" s="626" t="s">
        <v>1236</v>
      </c>
      <c r="ASE2148" s="626" t="s">
        <v>1236</v>
      </c>
      <c r="ASF2148" s="626" t="s">
        <v>1236</v>
      </c>
      <c r="ASG2148" s="626" t="s">
        <v>1236</v>
      </c>
      <c r="ASH2148" s="626" t="s">
        <v>1236</v>
      </c>
      <c r="ASI2148" s="626" t="s">
        <v>1236</v>
      </c>
      <c r="ASJ2148" s="626" t="s">
        <v>1236</v>
      </c>
      <c r="ASK2148" s="626" t="s">
        <v>1236</v>
      </c>
      <c r="ASL2148" s="626" t="s">
        <v>1236</v>
      </c>
      <c r="ASM2148" s="626" t="s">
        <v>1236</v>
      </c>
      <c r="ASN2148" s="626" t="s">
        <v>1236</v>
      </c>
      <c r="ASO2148" s="626" t="s">
        <v>1236</v>
      </c>
      <c r="ASP2148" s="626" t="s">
        <v>1236</v>
      </c>
      <c r="ASQ2148" s="626" t="s">
        <v>1236</v>
      </c>
      <c r="ASR2148" s="626" t="s">
        <v>1236</v>
      </c>
      <c r="ASS2148" s="626" t="s">
        <v>1236</v>
      </c>
      <c r="AST2148" s="626" t="s">
        <v>1236</v>
      </c>
      <c r="ASU2148" s="626" t="s">
        <v>1236</v>
      </c>
      <c r="ASV2148" s="626" t="s">
        <v>1236</v>
      </c>
      <c r="ASW2148" s="626" t="s">
        <v>1236</v>
      </c>
      <c r="ASX2148" s="626" t="s">
        <v>1236</v>
      </c>
      <c r="ASY2148" s="626" t="s">
        <v>1236</v>
      </c>
      <c r="ASZ2148" s="626" t="s">
        <v>1236</v>
      </c>
      <c r="ATA2148" s="626" t="s">
        <v>1236</v>
      </c>
      <c r="ATB2148" s="626" t="s">
        <v>1236</v>
      </c>
      <c r="ATC2148" s="626" t="s">
        <v>1236</v>
      </c>
      <c r="ATD2148" s="626" t="s">
        <v>1236</v>
      </c>
      <c r="ATE2148" s="626" t="s">
        <v>1236</v>
      </c>
      <c r="ATF2148" s="626" t="s">
        <v>1236</v>
      </c>
      <c r="ATG2148" s="626" t="s">
        <v>1236</v>
      </c>
      <c r="ATH2148" s="626" t="s">
        <v>1236</v>
      </c>
      <c r="ATI2148" s="626" t="s">
        <v>1236</v>
      </c>
      <c r="ATJ2148" s="626" t="s">
        <v>1236</v>
      </c>
      <c r="ATK2148" s="626" t="s">
        <v>1236</v>
      </c>
      <c r="ATL2148" s="626" t="s">
        <v>1236</v>
      </c>
      <c r="ATM2148" s="626" t="s">
        <v>1236</v>
      </c>
      <c r="ATN2148" s="626" t="s">
        <v>1236</v>
      </c>
      <c r="ATO2148" s="626" t="s">
        <v>1236</v>
      </c>
      <c r="ATP2148" s="626" t="s">
        <v>1236</v>
      </c>
      <c r="ATQ2148" s="626" t="s">
        <v>1236</v>
      </c>
      <c r="ATR2148" s="626" t="s">
        <v>1236</v>
      </c>
      <c r="ATS2148" s="626" t="s">
        <v>1236</v>
      </c>
      <c r="ATT2148" s="626" t="s">
        <v>1236</v>
      </c>
      <c r="ATU2148" s="626" t="s">
        <v>1236</v>
      </c>
      <c r="ATV2148" s="626" t="s">
        <v>1236</v>
      </c>
      <c r="ATW2148" s="626" t="s">
        <v>1236</v>
      </c>
      <c r="ATX2148" s="626" t="s">
        <v>1236</v>
      </c>
      <c r="ATY2148" s="626" t="s">
        <v>1236</v>
      </c>
      <c r="ATZ2148" s="626" t="s">
        <v>1236</v>
      </c>
      <c r="AUA2148" s="626" t="s">
        <v>1236</v>
      </c>
      <c r="AUB2148" s="626" t="s">
        <v>1236</v>
      </c>
      <c r="AUC2148" s="626" t="s">
        <v>1236</v>
      </c>
      <c r="AUD2148" s="626" t="s">
        <v>1236</v>
      </c>
      <c r="AUE2148" s="626" t="s">
        <v>1236</v>
      </c>
      <c r="AUF2148" s="626" t="s">
        <v>1236</v>
      </c>
      <c r="AUG2148" s="626" t="s">
        <v>1236</v>
      </c>
      <c r="AUH2148" s="626" t="s">
        <v>1236</v>
      </c>
      <c r="AUI2148" s="626" t="s">
        <v>1236</v>
      </c>
      <c r="AUJ2148" s="626" t="s">
        <v>1236</v>
      </c>
      <c r="AUK2148" s="626" t="s">
        <v>1236</v>
      </c>
      <c r="AUL2148" s="626" t="s">
        <v>1236</v>
      </c>
      <c r="AUM2148" s="626" t="s">
        <v>1236</v>
      </c>
      <c r="AUN2148" s="626" t="s">
        <v>1236</v>
      </c>
      <c r="AUO2148" s="626" t="s">
        <v>1236</v>
      </c>
      <c r="AUP2148" s="626" t="s">
        <v>1236</v>
      </c>
      <c r="AUQ2148" s="626" t="s">
        <v>1236</v>
      </c>
      <c r="AUR2148" s="626" t="s">
        <v>1236</v>
      </c>
      <c r="AUS2148" s="626" t="s">
        <v>1236</v>
      </c>
      <c r="AUT2148" s="626" t="s">
        <v>1236</v>
      </c>
      <c r="AUU2148" s="626" t="s">
        <v>1236</v>
      </c>
      <c r="AUV2148" s="626" t="s">
        <v>1236</v>
      </c>
      <c r="AUW2148" s="626" t="s">
        <v>1236</v>
      </c>
      <c r="AUX2148" s="626" t="s">
        <v>1236</v>
      </c>
      <c r="AUY2148" s="626" t="s">
        <v>1236</v>
      </c>
      <c r="AUZ2148" s="626" t="s">
        <v>1236</v>
      </c>
      <c r="AVA2148" s="626" t="s">
        <v>1236</v>
      </c>
      <c r="AVB2148" s="626" t="s">
        <v>1236</v>
      </c>
      <c r="AVC2148" s="626" t="s">
        <v>1236</v>
      </c>
      <c r="AVD2148" s="626" t="s">
        <v>1236</v>
      </c>
      <c r="AVE2148" s="626" t="s">
        <v>1236</v>
      </c>
      <c r="AVF2148" s="626" t="s">
        <v>1236</v>
      </c>
      <c r="AVG2148" s="626" t="s">
        <v>1236</v>
      </c>
      <c r="AVH2148" s="626" t="s">
        <v>1236</v>
      </c>
      <c r="AVI2148" s="626" t="s">
        <v>1236</v>
      </c>
      <c r="AVJ2148" s="626" t="s">
        <v>1236</v>
      </c>
      <c r="AVK2148" s="626" t="s">
        <v>1236</v>
      </c>
      <c r="AVL2148" s="626" t="s">
        <v>1236</v>
      </c>
      <c r="AVM2148" s="626" t="s">
        <v>1236</v>
      </c>
      <c r="AVN2148" s="626" t="s">
        <v>1236</v>
      </c>
      <c r="AVO2148" s="626" t="s">
        <v>1236</v>
      </c>
      <c r="AVP2148" s="626" t="s">
        <v>1236</v>
      </c>
      <c r="AVQ2148" s="626" t="s">
        <v>1236</v>
      </c>
      <c r="AVR2148" s="626" t="s">
        <v>1236</v>
      </c>
      <c r="AVS2148" s="626" t="s">
        <v>1236</v>
      </c>
      <c r="AVT2148" s="626" t="s">
        <v>1236</v>
      </c>
      <c r="AVU2148" s="626" t="s">
        <v>1236</v>
      </c>
      <c r="AVV2148" s="626" t="s">
        <v>1236</v>
      </c>
      <c r="AVW2148" s="626" t="s">
        <v>1236</v>
      </c>
      <c r="AVX2148" s="626" t="s">
        <v>1236</v>
      </c>
      <c r="AVY2148" s="626" t="s">
        <v>1236</v>
      </c>
      <c r="AVZ2148" s="626" t="s">
        <v>1236</v>
      </c>
      <c r="AWA2148" s="626" t="s">
        <v>1236</v>
      </c>
      <c r="AWB2148" s="626" t="s">
        <v>1236</v>
      </c>
      <c r="AWC2148" s="626" t="s">
        <v>1236</v>
      </c>
      <c r="AWD2148" s="626" t="s">
        <v>1236</v>
      </c>
      <c r="AWE2148" s="626" t="s">
        <v>1236</v>
      </c>
      <c r="AWF2148" s="626" t="s">
        <v>1236</v>
      </c>
      <c r="AWG2148" s="626" t="s">
        <v>1236</v>
      </c>
      <c r="AWH2148" s="626" t="s">
        <v>1236</v>
      </c>
      <c r="AWI2148" s="626" t="s">
        <v>1236</v>
      </c>
      <c r="AWJ2148" s="626" t="s">
        <v>1236</v>
      </c>
      <c r="AWK2148" s="626" t="s">
        <v>1236</v>
      </c>
      <c r="AWL2148" s="626" t="s">
        <v>1236</v>
      </c>
      <c r="AWM2148" s="626" t="s">
        <v>1236</v>
      </c>
      <c r="AWN2148" s="626" t="s">
        <v>1236</v>
      </c>
      <c r="AWO2148" s="626" t="s">
        <v>1236</v>
      </c>
      <c r="AWP2148" s="626" t="s">
        <v>1236</v>
      </c>
      <c r="AWQ2148" s="626" t="s">
        <v>1236</v>
      </c>
      <c r="AWR2148" s="626" t="s">
        <v>1236</v>
      </c>
      <c r="AWS2148" s="626" t="s">
        <v>1236</v>
      </c>
      <c r="AWT2148" s="626" t="s">
        <v>1236</v>
      </c>
      <c r="AWU2148" s="626" t="s">
        <v>1236</v>
      </c>
      <c r="AWV2148" s="626" t="s">
        <v>1236</v>
      </c>
      <c r="AWW2148" s="626" t="s">
        <v>1236</v>
      </c>
      <c r="AWX2148" s="626" t="s">
        <v>1236</v>
      </c>
      <c r="AWY2148" s="626" t="s">
        <v>1236</v>
      </c>
      <c r="AWZ2148" s="626" t="s">
        <v>1236</v>
      </c>
      <c r="AXA2148" s="626" t="s">
        <v>1236</v>
      </c>
      <c r="AXB2148" s="626" t="s">
        <v>1236</v>
      </c>
      <c r="AXC2148" s="626" t="s">
        <v>1236</v>
      </c>
      <c r="AXD2148" s="626" t="s">
        <v>1236</v>
      </c>
      <c r="AXE2148" s="626" t="s">
        <v>1236</v>
      </c>
      <c r="AXF2148" s="626" t="s">
        <v>1236</v>
      </c>
      <c r="AXG2148" s="626" t="s">
        <v>1236</v>
      </c>
      <c r="AXH2148" s="626" t="s">
        <v>1236</v>
      </c>
      <c r="AXI2148" s="626" t="s">
        <v>1236</v>
      </c>
      <c r="AXJ2148" s="626" t="s">
        <v>1236</v>
      </c>
      <c r="AXK2148" s="626" t="s">
        <v>1236</v>
      </c>
      <c r="AXL2148" s="626" t="s">
        <v>1236</v>
      </c>
      <c r="AXM2148" s="626" t="s">
        <v>1236</v>
      </c>
      <c r="AXN2148" s="626" t="s">
        <v>1236</v>
      </c>
      <c r="AXO2148" s="626" t="s">
        <v>1236</v>
      </c>
      <c r="AXP2148" s="626" t="s">
        <v>1236</v>
      </c>
      <c r="AXQ2148" s="626" t="s">
        <v>1236</v>
      </c>
      <c r="AXR2148" s="626" t="s">
        <v>1236</v>
      </c>
      <c r="AXS2148" s="626" t="s">
        <v>1236</v>
      </c>
      <c r="AXT2148" s="626" t="s">
        <v>1236</v>
      </c>
      <c r="AXU2148" s="626" t="s">
        <v>1236</v>
      </c>
      <c r="AXV2148" s="626" t="s">
        <v>1236</v>
      </c>
      <c r="AXW2148" s="626" t="s">
        <v>1236</v>
      </c>
      <c r="AXX2148" s="626" t="s">
        <v>1236</v>
      </c>
      <c r="AXY2148" s="626" t="s">
        <v>1236</v>
      </c>
      <c r="AXZ2148" s="626" t="s">
        <v>1236</v>
      </c>
      <c r="AYA2148" s="626" t="s">
        <v>1236</v>
      </c>
      <c r="AYB2148" s="626" t="s">
        <v>1236</v>
      </c>
      <c r="AYC2148" s="626" t="s">
        <v>1236</v>
      </c>
      <c r="AYD2148" s="626" t="s">
        <v>1236</v>
      </c>
      <c r="AYE2148" s="626" t="s">
        <v>1236</v>
      </c>
      <c r="AYF2148" s="626" t="s">
        <v>1236</v>
      </c>
      <c r="AYG2148" s="626" t="s">
        <v>1236</v>
      </c>
      <c r="AYH2148" s="626" t="s">
        <v>1236</v>
      </c>
      <c r="AYI2148" s="626" t="s">
        <v>1236</v>
      </c>
      <c r="AYJ2148" s="626" t="s">
        <v>1236</v>
      </c>
      <c r="AYK2148" s="626" t="s">
        <v>1236</v>
      </c>
      <c r="AYL2148" s="626" t="s">
        <v>1236</v>
      </c>
      <c r="AYM2148" s="626" t="s">
        <v>1236</v>
      </c>
      <c r="AYN2148" s="626" t="s">
        <v>1236</v>
      </c>
      <c r="AYO2148" s="626" t="s">
        <v>1236</v>
      </c>
      <c r="AYP2148" s="626" t="s">
        <v>1236</v>
      </c>
      <c r="AYQ2148" s="626" t="s">
        <v>1236</v>
      </c>
      <c r="AYR2148" s="626" t="s">
        <v>1236</v>
      </c>
      <c r="AYS2148" s="626" t="s">
        <v>1236</v>
      </c>
      <c r="AYT2148" s="626" t="s">
        <v>1236</v>
      </c>
      <c r="AYU2148" s="626" t="s">
        <v>1236</v>
      </c>
      <c r="AYV2148" s="626" t="s">
        <v>1236</v>
      </c>
      <c r="AYW2148" s="626" t="s">
        <v>1236</v>
      </c>
      <c r="AYX2148" s="626" t="s">
        <v>1236</v>
      </c>
      <c r="AYY2148" s="626" t="s">
        <v>1236</v>
      </c>
      <c r="AYZ2148" s="626" t="s">
        <v>1236</v>
      </c>
      <c r="AZA2148" s="626" t="s">
        <v>1236</v>
      </c>
      <c r="AZB2148" s="626" t="s">
        <v>1236</v>
      </c>
      <c r="AZC2148" s="626" t="s">
        <v>1236</v>
      </c>
      <c r="AZD2148" s="626" t="s">
        <v>1236</v>
      </c>
      <c r="AZE2148" s="626" t="s">
        <v>1236</v>
      </c>
      <c r="AZF2148" s="626" t="s">
        <v>1236</v>
      </c>
      <c r="AZG2148" s="626" t="s">
        <v>1236</v>
      </c>
      <c r="AZH2148" s="626" t="s">
        <v>1236</v>
      </c>
      <c r="AZI2148" s="626" t="s">
        <v>1236</v>
      </c>
      <c r="AZJ2148" s="626" t="s">
        <v>1236</v>
      </c>
      <c r="AZK2148" s="626" t="s">
        <v>1236</v>
      </c>
      <c r="AZL2148" s="626" t="s">
        <v>1236</v>
      </c>
      <c r="AZM2148" s="626" t="s">
        <v>1236</v>
      </c>
      <c r="AZN2148" s="626" t="s">
        <v>1236</v>
      </c>
      <c r="AZO2148" s="626" t="s">
        <v>1236</v>
      </c>
      <c r="AZP2148" s="626" t="s">
        <v>1236</v>
      </c>
      <c r="AZQ2148" s="626" t="s">
        <v>1236</v>
      </c>
      <c r="AZR2148" s="626" t="s">
        <v>1236</v>
      </c>
      <c r="AZS2148" s="626" t="s">
        <v>1236</v>
      </c>
      <c r="AZT2148" s="626" t="s">
        <v>1236</v>
      </c>
      <c r="AZU2148" s="626" t="s">
        <v>1236</v>
      </c>
      <c r="AZV2148" s="626" t="s">
        <v>1236</v>
      </c>
      <c r="AZW2148" s="626" t="s">
        <v>1236</v>
      </c>
      <c r="AZX2148" s="626" t="s">
        <v>1236</v>
      </c>
      <c r="AZY2148" s="626" t="s">
        <v>1236</v>
      </c>
      <c r="AZZ2148" s="626" t="s">
        <v>1236</v>
      </c>
      <c r="BAA2148" s="626" t="s">
        <v>1236</v>
      </c>
      <c r="BAB2148" s="626" t="s">
        <v>1236</v>
      </c>
      <c r="BAC2148" s="626" t="s">
        <v>1236</v>
      </c>
      <c r="BAD2148" s="626" t="s">
        <v>1236</v>
      </c>
      <c r="BAE2148" s="626" t="s">
        <v>1236</v>
      </c>
      <c r="BAF2148" s="626" t="s">
        <v>1236</v>
      </c>
      <c r="BAG2148" s="626" t="s">
        <v>1236</v>
      </c>
      <c r="BAH2148" s="626" t="s">
        <v>1236</v>
      </c>
      <c r="BAI2148" s="626" t="s">
        <v>1236</v>
      </c>
      <c r="BAJ2148" s="626" t="s">
        <v>1236</v>
      </c>
      <c r="BAK2148" s="626" t="s">
        <v>1236</v>
      </c>
      <c r="BAL2148" s="626" t="s">
        <v>1236</v>
      </c>
      <c r="BAM2148" s="626" t="s">
        <v>1236</v>
      </c>
      <c r="BAN2148" s="626" t="s">
        <v>1236</v>
      </c>
      <c r="BAO2148" s="626" t="s">
        <v>1236</v>
      </c>
      <c r="BAP2148" s="626" t="s">
        <v>1236</v>
      </c>
      <c r="BAQ2148" s="626" t="s">
        <v>1236</v>
      </c>
      <c r="BAR2148" s="626" t="s">
        <v>1236</v>
      </c>
      <c r="BAS2148" s="626" t="s">
        <v>1236</v>
      </c>
      <c r="BAT2148" s="626" t="s">
        <v>1236</v>
      </c>
      <c r="BAU2148" s="626" t="s">
        <v>1236</v>
      </c>
      <c r="BAV2148" s="626" t="s">
        <v>1236</v>
      </c>
      <c r="BAW2148" s="626" t="s">
        <v>1236</v>
      </c>
      <c r="BAX2148" s="626" t="s">
        <v>1236</v>
      </c>
      <c r="BAY2148" s="626" t="s">
        <v>1236</v>
      </c>
      <c r="BAZ2148" s="626" t="s">
        <v>1236</v>
      </c>
      <c r="BBA2148" s="626" t="s">
        <v>1236</v>
      </c>
      <c r="BBB2148" s="626" t="s">
        <v>1236</v>
      </c>
      <c r="BBC2148" s="626" t="s">
        <v>1236</v>
      </c>
      <c r="BBD2148" s="626" t="s">
        <v>1236</v>
      </c>
      <c r="BBE2148" s="626" t="s">
        <v>1236</v>
      </c>
      <c r="BBF2148" s="626" t="s">
        <v>1236</v>
      </c>
      <c r="BBG2148" s="626" t="s">
        <v>1236</v>
      </c>
      <c r="BBH2148" s="626" t="s">
        <v>1236</v>
      </c>
      <c r="BBI2148" s="626" t="s">
        <v>1236</v>
      </c>
      <c r="BBJ2148" s="626" t="s">
        <v>1236</v>
      </c>
      <c r="BBK2148" s="626" t="s">
        <v>1236</v>
      </c>
      <c r="BBL2148" s="626" t="s">
        <v>1236</v>
      </c>
      <c r="BBM2148" s="626" t="s">
        <v>1236</v>
      </c>
      <c r="BBN2148" s="626" t="s">
        <v>1236</v>
      </c>
      <c r="BBO2148" s="626" t="s">
        <v>1236</v>
      </c>
      <c r="BBP2148" s="626" t="s">
        <v>1236</v>
      </c>
      <c r="BBQ2148" s="626" t="s">
        <v>1236</v>
      </c>
      <c r="BBR2148" s="626" t="s">
        <v>1236</v>
      </c>
      <c r="BBS2148" s="626" t="s">
        <v>1236</v>
      </c>
      <c r="BBT2148" s="626" t="s">
        <v>1236</v>
      </c>
      <c r="BBU2148" s="626" t="s">
        <v>1236</v>
      </c>
      <c r="BBV2148" s="626" t="s">
        <v>1236</v>
      </c>
      <c r="BBW2148" s="626" t="s">
        <v>1236</v>
      </c>
      <c r="BBX2148" s="626" t="s">
        <v>1236</v>
      </c>
      <c r="BBY2148" s="626" t="s">
        <v>1236</v>
      </c>
      <c r="BBZ2148" s="626" t="s">
        <v>1236</v>
      </c>
      <c r="BCA2148" s="626" t="s">
        <v>1236</v>
      </c>
      <c r="BCB2148" s="626" t="s">
        <v>1236</v>
      </c>
      <c r="BCC2148" s="626" t="s">
        <v>1236</v>
      </c>
      <c r="BCD2148" s="626" t="s">
        <v>1236</v>
      </c>
      <c r="BCE2148" s="626" t="s">
        <v>1236</v>
      </c>
      <c r="BCF2148" s="626" t="s">
        <v>1236</v>
      </c>
      <c r="BCG2148" s="626" t="s">
        <v>1236</v>
      </c>
      <c r="BCH2148" s="626" t="s">
        <v>1236</v>
      </c>
      <c r="BCI2148" s="626" t="s">
        <v>1236</v>
      </c>
      <c r="BCJ2148" s="626" t="s">
        <v>1236</v>
      </c>
      <c r="BCK2148" s="626" t="s">
        <v>1236</v>
      </c>
      <c r="BCL2148" s="626" t="s">
        <v>1236</v>
      </c>
      <c r="BCM2148" s="626" t="s">
        <v>1236</v>
      </c>
      <c r="BCN2148" s="626" t="s">
        <v>1236</v>
      </c>
      <c r="BCO2148" s="626" t="s">
        <v>1236</v>
      </c>
      <c r="BCP2148" s="626" t="s">
        <v>1236</v>
      </c>
      <c r="BCQ2148" s="626" t="s">
        <v>1236</v>
      </c>
      <c r="BCR2148" s="626" t="s">
        <v>1236</v>
      </c>
      <c r="BCS2148" s="626" t="s">
        <v>1236</v>
      </c>
      <c r="BCT2148" s="626" t="s">
        <v>1236</v>
      </c>
      <c r="BCU2148" s="626" t="s">
        <v>1236</v>
      </c>
      <c r="BCV2148" s="626" t="s">
        <v>1236</v>
      </c>
      <c r="BCW2148" s="626" t="s">
        <v>1236</v>
      </c>
      <c r="BCX2148" s="626" t="s">
        <v>1236</v>
      </c>
      <c r="BCY2148" s="626" t="s">
        <v>1236</v>
      </c>
      <c r="BCZ2148" s="626" t="s">
        <v>1236</v>
      </c>
      <c r="BDA2148" s="626" t="s">
        <v>1236</v>
      </c>
      <c r="BDB2148" s="626" t="s">
        <v>1236</v>
      </c>
      <c r="BDC2148" s="626" t="s">
        <v>1236</v>
      </c>
      <c r="BDD2148" s="626" t="s">
        <v>1236</v>
      </c>
      <c r="BDE2148" s="626" t="s">
        <v>1236</v>
      </c>
      <c r="BDF2148" s="626" t="s">
        <v>1236</v>
      </c>
      <c r="BDG2148" s="626" t="s">
        <v>1236</v>
      </c>
      <c r="BDH2148" s="626" t="s">
        <v>1236</v>
      </c>
      <c r="BDI2148" s="626" t="s">
        <v>1236</v>
      </c>
      <c r="BDJ2148" s="626" t="s">
        <v>1236</v>
      </c>
      <c r="BDK2148" s="626" t="s">
        <v>1236</v>
      </c>
      <c r="BDL2148" s="626" t="s">
        <v>1236</v>
      </c>
      <c r="BDM2148" s="626" t="s">
        <v>1236</v>
      </c>
      <c r="BDN2148" s="626" t="s">
        <v>1236</v>
      </c>
      <c r="BDO2148" s="626" t="s">
        <v>1236</v>
      </c>
      <c r="BDP2148" s="626" t="s">
        <v>1236</v>
      </c>
      <c r="BDQ2148" s="626" t="s">
        <v>1236</v>
      </c>
      <c r="BDR2148" s="626" t="s">
        <v>1236</v>
      </c>
      <c r="BDS2148" s="626" t="s">
        <v>1236</v>
      </c>
      <c r="BDT2148" s="626" t="s">
        <v>1236</v>
      </c>
      <c r="BDU2148" s="626" t="s">
        <v>1236</v>
      </c>
      <c r="BDV2148" s="626" t="s">
        <v>1236</v>
      </c>
      <c r="BDW2148" s="626" t="s">
        <v>1236</v>
      </c>
      <c r="BDX2148" s="626" t="s">
        <v>1236</v>
      </c>
      <c r="BDY2148" s="626" t="s">
        <v>1236</v>
      </c>
      <c r="BDZ2148" s="626" t="s">
        <v>1236</v>
      </c>
      <c r="BEA2148" s="626" t="s">
        <v>1236</v>
      </c>
      <c r="BEB2148" s="626" t="s">
        <v>1236</v>
      </c>
      <c r="BEC2148" s="626" t="s">
        <v>1236</v>
      </c>
      <c r="BED2148" s="626" t="s">
        <v>1236</v>
      </c>
      <c r="BEE2148" s="626" t="s">
        <v>1236</v>
      </c>
      <c r="BEF2148" s="626" t="s">
        <v>1236</v>
      </c>
      <c r="BEG2148" s="626" t="s">
        <v>1236</v>
      </c>
      <c r="BEH2148" s="626" t="s">
        <v>1236</v>
      </c>
      <c r="BEI2148" s="626" t="s">
        <v>1236</v>
      </c>
      <c r="BEJ2148" s="626" t="s">
        <v>1236</v>
      </c>
      <c r="BEK2148" s="626" t="s">
        <v>1236</v>
      </c>
      <c r="BEL2148" s="626" t="s">
        <v>1236</v>
      </c>
      <c r="BEM2148" s="626" t="s">
        <v>1236</v>
      </c>
      <c r="BEN2148" s="626" t="s">
        <v>1236</v>
      </c>
      <c r="BEO2148" s="626" t="s">
        <v>1236</v>
      </c>
      <c r="BEP2148" s="626" t="s">
        <v>1236</v>
      </c>
      <c r="BEQ2148" s="626" t="s">
        <v>1236</v>
      </c>
      <c r="BER2148" s="626" t="s">
        <v>1236</v>
      </c>
      <c r="BES2148" s="626" t="s">
        <v>1236</v>
      </c>
      <c r="BET2148" s="626" t="s">
        <v>1236</v>
      </c>
      <c r="BEU2148" s="626" t="s">
        <v>1236</v>
      </c>
      <c r="BEV2148" s="626" t="s">
        <v>1236</v>
      </c>
      <c r="BEW2148" s="626" t="s">
        <v>1236</v>
      </c>
      <c r="BEX2148" s="626" t="s">
        <v>1236</v>
      </c>
      <c r="BEY2148" s="626" t="s">
        <v>1236</v>
      </c>
      <c r="BEZ2148" s="626" t="s">
        <v>1236</v>
      </c>
      <c r="BFA2148" s="626" t="s">
        <v>1236</v>
      </c>
      <c r="BFB2148" s="626" t="s">
        <v>1236</v>
      </c>
      <c r="BFC2148" s="626" t="s">
        <v>1236</v>
      </c>
      <c r="BFD2148" s="626" t="s">
        <v>1236</v>
      </c>
      <c r="BFE2148" s="626" t="s">
        <v>1236</v>
      </c>
      <c r="BFF2148" s="626" t="s">
        <v>1236</v>
      </c>
      <c r="BFG2148" s="626" t="s">
        <v>1236</v>
      </c>
      <c r="BFH2148" s="626" t="s">
        <v>1236</v>
      </c>
      <c r="BFI2148" s="626" t="s">
        <v>1236</v>
      </c>
      <c r="BFJ2148" s="626" t="s">
        <v>1236</v>
      </c>
      <c r="BFK2148" s="626" t="s">
        <v>1236</v>
      </c>
      <c r="BFL2148" s="626" t="s">
        <v>1236</v>
      </c>
      <c r="BFM2148" s="626" t="s">
        <v>1236</v>
      </c>
      <c r="BFN2148" s="626" t="s">
        <v>1236</v>
      </c>
      <c r="BFO2148" s="626" t="s">
        <v>1236</v>
      </c>
      <c r="BFP2148" s="626" t="s">
        <v>1236</v>
      </c>
      <c r="BFQ2148" s="626" t="s">
        <v>1236</v>
      </c>
      <c r="BFR2148" s="626" t="s">
        <v>1236</v>
      </c>
      <c r="BFS2148" s="626" t="s">
        <v>1236</v>
      </c>
      <c r="BFT2148" s="626" t="s">
        <v>1236</v>
      </c>
      <c r="BFU2148" s="626" t="s">
        <v>1236</v>
      </c>
      <c r="BFV2148" s="626" t="s">
        <v>1236</v>
      </c>
      <c r="BFW2148" s="626" t="s">
        <v>1236</v>
      </c>
      <c r="BFX2148" s="626" t="s">
        <v>1236</v>
      </c>
      <c r="BFY2148" s="626" t="s">
        <v>1236</v>
      </c>
      <c r="BFZ2148" s="626" t="s">
        <v>1236</v>
      </c>
      <c r="BGA2148" s="626" t="s">
        <v>1236</v>
      </c>
      <c r="BGB2148" s="626" t="s">
        <v>1236</v>
      </c>
      <c r="BGC2148" s="626" t="s">
        <v>1236</v>
      </c>
      <c r="BGD2148" s="626" t="s">
        <v>1236</v>
      </c>
      <c r="BGE2148" s="626" t="s">
        <v>1236</v>
      </c>
      <c r="BGF2148" s="626" t="s">
        <v>1236</v>
      </c>
      <c r="BGG2148" s="626" t="s">
        <v>1236</v>
      </c>
      <c r="BGH2148" s="626" t="s">
        <v>1236</v>
      </c>
      <c r="BGI2148" s="626" t="s">
        <v>1236</v>
      </c>
      <c r="BGJ2148" s="626" t="s">
        <v>1236</v>
      </c>
      <c r="BGK2148" s="626" t="s">
        <v>1236</v>
      </c>
      <c r="BGL2148" s="626" t="s">
        <v>1236</v>
      </c>
      <c r="BGM2148" s="626" t="s">
        <v>1236</v>
      </c>
      <c r="BGN2148" s="626" t="s">
        <v>1236</v>
      </c>
      <c r="BGO2148" s="626" t="s">
        <v>1236</v>
      </c>
      <c r="BGP2148" s="626" t="s">
        <v>1236</v>
      </c>
      <c r="BGQ2148" s="626" t="s">
        <v>1236</v>
      </c>
      <c r="BGR2148" s="626" t="s">
        <v>1236</v>
      </c>
      <c r="BGS2148" s="626" t="s">
        <v>1236</v>
      </c>
      <c r="BGT2148" s="626" t="s">
        <v>1236</v>
      </c>
      <c r="BGU2148" s="626" t="s">
        <v>1236</v>
      </c>
      <c r="BGV2148" s="626" t="s">
        <v>1236</v>
      </c>
      <c r="BGW2148" s="626" t="s">
        <v>1236</v>
      </c>
      <c r="BGX2148" s="626" t="s">
        <v>1236</v>
      </c>
      <c r="BGY2148" s="626" t="s">
        <v>1236</v>
      </c>
      <c r="BGZ2148" s="626" t="s">
        <v>1236</v>
      </c>
      <c r="BHA2148" s="626" t="s">
        <v>1236</v>
      </c>
      <c r="BHB2148" s="626" t="s">
        <v>1236</v>
      </c>
      <c r="BHC2148" s="626" t="s">
        <v>1236</v>
      </c>
      <c r="BHD2148" s="626" t="s">
        <v>1236</v>
      </c>
      <c r="BHE2148" s="626" t="s">
        <v>1236</v>
      </c>
      <c r="BHF2148" s="626" t="s">
        <v>1236</v>
      </c>
      <c r="BHG2148" s="626" t="s">
        <v>1236</v>
      </c>
      <c r="BHH2148" s="626" t="s">
        <v>1236</v>
      </c>
      <c r="BHI2148" s="626" t="s">
        <v>1236</v>
      </c>
      <c r="BHJ2148" s="626" t="s">
        <v>1236</v>
      </c>
      <c r="BHK2148" s="626" t="s">
        <v>1236</v>
      </c>
      <c r="BHL2148" s="626" t="s">
        <v>1236</v>
      </c>
      <c r="BHM2148" s="626" t="s">
        <v>1236</v>
      </c>
      <c r="BHN2148" s="626" t="s">
        <v>1236</v>
      </c>
      <c r="BHO2148" s="626" t="s">
        <v>1236</v>
      </c>
      <c r="BHP2148" s="626" t="s">
        <v>1236</v>
      </c>
      <c r="BHQ2148" s="626" t="s">
        <v>1236</v>
      </c>
      <c r="BHR2148" s="626" t="s">
        <v>1236</v>
      </c>
      <c r="BHS2148" s="626" t="s">
        <v>1236</v>
      </c>
      <c r="BHT2148" s="626" t="s">
        <v>1236</v>
      </c>
      <c r="BHU2148" s="626" t="s">
        <v>1236</v>
      </c>
      <c r="BHV2148" s="626" t="s">
        <v>1236</v>
      </c>
      <c r="BHW2148" s="626" t="s">
        <v>1236</v>
      </c>
      <c r="BHX2148" s="626" t="s">
        <v>1236</v>
      </c>
      <c r="BHY2148" s="626" t="s">
        <v>1236</v>
      </c>
      <c r="BHZ2148" s="626" t="s">
        <v>1236</v>
      </c>
      <c r="BIA2148" s="626" t="s">
        <v>1236</v>
      </c>
      <c r="BIB2148" s="626" t="s">
        <v>1236</v>
      </c>
      <c r="BIC2148" s="626" t="s">
        <v>1236</v>
      </c>
      <c r="BID2148" s="626" t="s">
        <v>1236</v>
      </c>
      <c r="BIE2148" s="626" t="s">
        <v>1236</v>
      </c>
      <c r="BIF2148" s="626" t="s">
        <v>1236</v>
      </c>
      <c r="BIG2148" s="626" t="s">
        <v>1236</v>
      </c>
      <c r="BIH2148" s="626" t="s">
        <v>1236</v>
      </c>
      <c r="BII2148" s="626" t="s">
        <v>1236</v>
      </c>
      <c r="BIJ2148" s="626" t="s">
        <v>1236</v>
      </c>
      <c r="BIK2148" s="626" t="s">
        <v>1236</v>
      </c>
      <c r="BIL2148" s="626" t="s">
        <v>1236</v>
      </c>
      <c r="BIM2148" s="626" t="s">
        <v>1236</v>
      </c>
      <c r="BIN2148" s="626" t="s">
        <v>1236</v>
      </c>
      <c r="BIO2148" s="626" t="s">
        <v>1236</v>
      </c>
      <c r="BIP2148" s="626" t="s">
        <v>1236</v>
      </c>
      <c r="BIQ2148" s="626" t="s">
        <v>1236</v>
      </c>
      <c r="BIR2148" s="626" t="s">
        <v>1236</v>
      </c>
      <c r="BIS2148" s="626" t="s">
        <v>1236</v>
      </c>
      <c r="BIT2148" s="626" t="s">
        <v>1236</v>
      </c>
      <c r="BIU2148" s="626" t="s">
        <v>1236</v>
      </c>
      <c r="BIV2148" s="626" t="s">
        <v>1236</v>
      </c>
      <c r="BIW2148" s="626" t="s">
        <v>1236</v>
      </c>
      <c r="BIX2148" s="626" t="s">
        <v>1236</v>
      </c>
      <c r="BIY2148" s="626" t="s">
        <v>1236</v>
      </c>
      <c r="BIZ2148" s="626" t="s">
        <v>1236</v>
      </c>
      <c r="BJA2148" s="626" t="s">
        <v>1236</v>
      </c>
      <c r="BJB2148" s="626" t="s">
        <v>1236</v>
      </c>
      <c r="BJC2148" s="626" t="s">
        <v>1236</v>
      </c>
      <c r="BJD2148" s="626" t="s">
        <v>1236</v>
      </c>
      <c r="BJE2148" s="626" t="s">
        <v>1236</v>
      </c>
      <c r="BJF2148" s="626" t="s">
        <v>1236</v>
      </c>
      <c r="BJG2148" s="626" t="s">
        <v>1236</v>
      </c>
      <c r="BJH2148" s="626" t="s">
        <v>1236</v>
      </c>
      <c r="BJI2148" s="626" t="s">
        <v>1236</v>
      </c>
      <c r="BJJ2148" s="626" t="s">
        <v>1236</v>
      </c>
      <c r="BJK2148" s="626" t="s">
        <v>1236</v>
      </c>
      <c r="BJL2148" s="626" t="s">
        <v>1236</v>
      </c>
      <c r="BJM2148" s="626" t="s">
        <v>1236</v>
      </c>
      <c r="BJN2148" s="626" t="s">
        <v>1236</v>
      </c>
      <c r="BJO2148" s="626" t="s">
        <v>1236</v>
      </c>
      <c r="BJP2148" s="626" t="s">
        <v>1236</v>
      </c>
      <c r="BJQ2148" s="626" t="s">
        <v>1236</v>
      </c>
      <c r="BJR2148" s="626" t="s">
        <v>1236</v>
      </c>
      <c r="BJS2148" s="626" t="s">
        <v>1236</v>
      </c>
      <c r="BJT2148" s="626" t="s">
        <v>1236</v>
      </c>
      <c r="BJU2148" s="626" t="s">
        <v>1236</v>
      </c>
      <c r="BJV2148" s="626" t="s">
        <v>1236</v>
      </c>
      <c r="BJW2148" s="626" t="s">
        <v>1236</v>
      </c>
      <c r="BJX2148" s="626" t="s">
        <v>1236</v>
      </c>
      <c r="BJY2148" s="626" t="s">
        <v>1236</v>
      </c>
      <c r="BJZ2148" s="626" t="s">
        <v>1236</v>
      </c>
      <c r="BKA2148" s="626" t="s">
        <v>1236</v>
      </c>
      <c r="BKB2148" s="626" t="s">
        <v>1236</v>
      </c>
      <c r="BKC2148" s="626" t="s">
        <v>1236</v>
      </c>
      <c r="BKD2148" s="626" t="s">
        <v>1236</v>
      </c>
      <c r="BKE2148" s="626" t="s">
        <v>1236</v>
      </c>
      <c r="BKF2148" s="626" t="s">
        <v>1236</v>
      </c>
      <c r="BKG2148" s="626" t="s">
        <v>1236</v>
      </c>
      <c r="BKH2148" s="626" t="s">
        <v>1236</v>
      </c>
      <c r="BKI2148" s="626" t="s">
        <v>1236</v>
      </c>
      <c r="BKJ2148" s="626" t="s">
        <v>1236</v>
      </c>
      <c r="BKK2148" s="626" t="s">
        <v>1236</v>
      </c>
      <c r="BKL2148" s="626" t="s">
        <v>1236</v>
      </c>
      <c r="BKM2148" s="626" t="s">
        <v>1236</v>
      </c>
      <c r="BKN2148" s="626" t="s">
        <v>1236</v>
      </c>
      <c r="BKO2148" s="626" t="s">
        <v>1236</v>
      </c>
      <c r="BKP2148" s="626" t="s">
        <v>1236</v>
      </c>
      <c r="BKQ2148" s="626" t="s">
        <v>1236</v>
      </c>
      <c r="BKR2148" s="626" t="s">
        <v>1236</v>
      </c>
      <c r="BKS2148" s="626" t="s">
        <v>1236</v>
      </c>
      <c r="BKT2148" s="626" t="s">
        <v>1236</v>
      </c>
      <c r="BKU2148" s="626" t="s">
        <v>1236</v>
      </c>
      <c r="BKV2148" s="626" t="s">
        <v>1236</v>
      </c>
      <c r="BKW2148" s="626" t="s">
        <v>1236</v>
      </c>
      <c r="BKX2148" s="626" t="s">
        <v>1236</v>
      </c>
      <c r="BKY2148" s="626" t="s">
        <v>1236</v>
      </c>
      <c r="BKZ2148" s="626" t="s">
        <v>1236</v>
      </c>
      <c r="BLA2148" s="626" t="s">
        <v>1236</v>
      </c>
      <c r="BLB2148" s="626" t="s">
        <v>1236</v>
      </c>
      <c r="BLC2148" s="626" t="s">
        <v>1236</v>
      </c>
      <c r="BLD2148" s="626" t="s">
        <v>1236</v>
      </c>
      <c r="BLE2148" s="626" t="s">
        <v>1236</v>
      </c>
      <c r="BLF2148" s="626" t="s">
        <v>1236</v>
      </c>
      <c r="BLG2148" s="626" t="s">
        <v>1236</v>
      </c>
      <c r="BLH2148" s="626" t="s">
        <v>1236</v>
      </c>
      <c r="BLI2148" s="626" t="s">
        <v>1236</v>
      </c>
      <c r="BLJ2148" s="626" t="s">
        <v>1236</v>
      </c>
      <c r="BLK2148" s="626" t="s">
        <v>1236</v>
      </c>
      <c r="BLL2148" s="626" t="s">
        <v>1236</v>
      </c>
      <c r="BLM2148" s="626" t="s">
        <v>1236</v>
      </c>
      <c r="BLN2148" s="626" t="s">
        <v>1236</v>
      </c>
      <c r="BLO2148" s="626" t="s">
        <v>1236</v>
      </c>
      <c r="BLP2148" s="626" t="s">
        <v>1236</v>
      </c>
      <c r="BLQ2148" s="626" t="s">
        <v>1236</v>
      </c>
      <c r="BLR2148" s="626" t="s">
        <v>1236</v>
      </c>
      <c r="BLS2148" s="626" t="s">
        <v>1236</v>
      </c>
      <c r="BLT2148" s="626" t="s">
        <v>1236</v>
      </c>
      <c r="BLU2148" s="626" t="s">
        <v>1236</v>
      </c>
      <c r="BLV2148" s="626" t="s">
        <v>1236</v>
      </c>
      <c r="BLW2148" s="626" t="s">
        <v>1236</v>
      </c>
      <c r="BLX2148" s="626" t="s">
        <v>1236</v>
      </c>
      <c r="BLY2148" s="626" t="s">
        <v>1236</v>
      </c>
      <c r="BLZ2148" s="626" t="s">
        <v>1236</v>
      </c>
      <c r="BMA2148" s="626" t="s">
        <v>1236</v>
      </c>
      <c r="BMB2148" s="626" t="s">
        <v>1236</v>
      </c>
      <c r="BMC2148" s="626" t="s">
        <v>1236</v>
      </c>
      <c r="BMD2148" s="626" t="s">
        <v>1236</v>
      </c>
      <c r="BME2148" s="626" t="s">
        <v>1236</v>
      </c>
      <c r="BMF2148" s="626" t="s">
        <v>1236</v>
      </c>
      <c r="BMG2148" s="626" t="s">
        <v>1236</v>
      </c>
      <c r="BMH2148" s="626" t="s">
        <v>1236</v>
      </c>
      <c r="BMI2148" s="626" t="s">
        <v>1236</v>
      </c>
      <c r="BMJ2148" s="626" t="s">
        <v>1236</v>
      </c>
      <c r="BMK2148" s="626" t="s">
        <v>1236</v>
      </c>
      <c r="BML2148" s="626" t="s">
        <v>1236</v>
      </c>
      <c r="BMM2148" s="626" t="s">
        <v>1236</v>
      </c>
      <c r="BMN2148" s="626" t="s">
        <v>1236</v>
      </c>
      <c r="BMO2148" s="626" t="s">
        <v>1236</v>
      </c>
      <c r="BMP2148" s="626" t="s">
        <v>1236</v>
      </c>
      <c r="BMQ2148" s="626" t="s">
        <v>1236</v>
      </c>
      <c r="BMR2148" s="626" t="s">
        <v>1236</v>
      </c>
      <c r="BMS2148" s="626" t="s">
        <v>1236</v>
      </c>
      <c r="BMT2148" s="626" t="s">
        <v>1236</v>
      </c>
      <c r="BMU2148" s="626" t="s">
        <v>1236</v>
      </c>
      <c r="BMV2148" s="626" t="s">
        <v>1236</v>
      </c>
      <c r="BMW2148" s="626" t="s">
        <v>1236</v>
      </c>
      <c r="BMX2148" s="626" t="s">
        <v>1236</v>
      </c>
      <c r="BMY2148" s="626" t="s">
        <v>1236</v>
      </c>
      <c r="BMZ2148" s="626" t="s">
        <v>1236</v>
      </c>
      <c r="BNA2148" s="626" t="s">
        <v>1236</v>
      </c>
      <c r="BNB2148" s="626" t="s">
        <v>1236</v>
      </c>
      <c r="BNC2148" s="626" t="s">
        <v>1236</v>
      </c>
      <c r="BND2148" s="626" t="s">
        <v>1236</v>
      </c>
      <c r="BNE2148" s="626" t="s">
        <v>1236</v>
      </c>
      <c r="BNF2148" s="626" t="s">
        <v>1236</v>
      </c>
      <c r="BNG2148" s="626" t="s">
        <v>1236</v>
      </c>
      <c r="BNH2148" s="626" t="s">
        <v>1236</v>
      </c>
      <c r="BNI2148" s="626" t="s">
        <v>1236</v>
      </c>
      <c r="BNJ2148" s="626" t="s">
        <v>1236</v>
      </c>
      <c r="BNK2148" s="626" t="s">
        <v>1236</v>
      </c>
      <c r="BNL2148" s="626" t="s">
        <v>1236</v>
      </c>
      <c r="BNM2148" s="626" t="s">
        <v>1236</v>
      </c>
      <c r="BNN2148" s="626" t="s">
        <v>1236</v>
      </c>
      <c r="BNO2148" s="626" t="s">
        <v>1236</v>
      </c>
      <c r="BNP2148" s="626" t="s">
        <v>1236</v>
      </c>
      <c r="BNQ2148" s="626" t="s">
        <v>1236</v>
      </c>
      <c r="BNR2148" s="626" t="s">
        <v>1236</v>
      </c>
      <c r="BNS2148" s="626" t="s">
        <v>1236</v>
      </c>
      <c r="BNT2148" s="626" t="s">
        <v>1236</v>
      </c>
      <c r="BNU2148" s="626" t="s">
        <v>1236</v>
      </c>
      <c r="BNV2148" s="626" t="s">
        <v>1236</v>
      </c>
      <c r="BNW2148" s="626" t="s">
        <v>1236</v>
      </c>
      <c r="BNX2148" s="626" t="s">
        <v>1236</v>
      </c>
      <c r="BNY2148" s="626" t="s">
        <v>1236</v>
      </c>
      <c r="BNZ2148" s="626" t="s">
        <v>1236</v>
      </c>
      <c r="BOA2148" s="626" t="s">
        <v>1236</v>
      </c>
      <c r="BOB2148" s="626" t="s">
        <v>1236</v>
      </c>
      <c r="BOC2148" s="626" t="s">
        <v>1236</v>
      </c>
      <c r="BOD2148" s="626" t="s">
        <v>1236</v>
      </c>
      <c r="BOE2148" s="626" t="s">
        <v>1236</v>
      </c>
      <c r="BOF2148" s="626" t="s">
        <v>1236</v>
      </c>
      <c r="BOG2148" s="626" t="s">
        <v>1236</v>
      </c>
      <c r="BOH2148" s="626" t="s">
        <v>1236</v>
      </c>
      <c r="BOI2148" s="626" t="s">
        <v>1236</v>
      </c>
      <c r="BOJ2148" s="626" t="s">
        <v>1236</v>
      </c>
      <c r="BOK2148" s="626" t="s">
        <v>1236</v>
      </c>
      <c r="BOL2148" s="626" t="s">
        <v>1236</v>
      </c>
      <c r="BOM2148" s="626" t="s">
        <v>1236</v>
      </c>
      <c r="BON2148" s="626" t="s">
        <v>1236</v>
      </c>
      <c r="BOO2148" s="626" t="s">
        <v>1236</v>
      </c>
      <c r="BOP2148" s="626" t="s">
        <v>1236</v>
      </c>
      <c r="BOQ2148" s="626" t="s">
        <v>1236</v>
      </c>
      <c r="BOR2148" s="626" t="s">
        <v>1236</v>
      </c>
      <c r="BOS2148" s="626" t="s">
        <v>1236</v>
      </c>
      <c r="BOT2148" s="626" t="s">
        <v>1236</v>
      </c>
      <c r="BOU2148" s="626" t="s">
        <v>1236</v>
      </c>
      <c r="BOV2148" s="626" t="s">
        <v>1236</v>
      </c>
      <c r="BOW2148" s="626" t="s">
        <v>1236</v>
      </c>
      <c r="BOX2148" s="626" t="s">
        <v>1236</v>
      </c>
      <c r="BOY2148" s="626" t="s">
        <v>1236</v>
      </c>
      <c r="BOZ2148" s="626" t="s">
        <v>1236</v>
      </c>
      <c r="BPA2148" s="626" t="s">
        <v>1236</v>
      </c>
      <c r="BPB2148" s="626" t="s">
        <v>1236</v>
      </c>
      <c r="BPC2148" s="626" t="s">
        <v>1236</v>
      </c>
      <c r="BPD2148" s="626" t="s">
        <v>1236</v>
      </c>
      <c r="BPE2148" s="626" t="s">
        <v>1236</v>
      </c>
      <c r="BPF2148" s="626" t="s">
        <v>1236</v>
      </c>
      <c r="BPG2148" s="626" t="s">
        <v>1236</v>
      </c>
      <c r="BPH2148" s="626" t="s">
        <v>1236</v>
      </c>
      <c r="BPI2148" s="626" t="s">
        <v>1236</v>
      </c>
      <c r="BPJ2148" s="626" t="s">
        <v>1236</v>
      </c>
      <c r="BPK2148" s="626" t="s">
        <v>1236</v>
      </c>
      <c r="BPL2148" s="626" t="s">
        <v>1236</v>
      </c>
      <c r="BPM2148" s="626" t="s">
        <v>1236</v>
      </c>
      <c r="BPN2148" s="626" t="s">
        <v>1236</v>
      </c>
      <c r="BPO2148" s="626" t="s">
        <v>1236</v>
      </c>
      <c r="BPP2148" s="626" t="s">
        <v>1236</v>
      </c>
      <c r="BPQ2148" s="626" t="s">
        <v>1236</v>
      </c>
      <c r="BPR2148" s="626" t="s">
        <v>1236</v>
      </c>
      <c r="BPS2148" s="626" t="s">
        <v>1236</v>
      </c>
      <c r="BPT2148" s="626" t="s">
        <v>1236</v>
      </c>
      <c r="BPU2148" s="626" t="s">
        <v>1236</v>
      </c>
      <c r="BPV2148" s="626" t="s">
        <v>1236</v>
      </c>
      <c r="BPW2148" s="626" t="s">
        <v>1236</v>
      </c>
      <c r="BPX2148" s="626" t="s">
        <v>1236</v>
      </c>
      <c r="BPY2148" s="626" t="s">
        <v>1236</v>
      </c>
      <c r="BPZ2148" s="626" t="s">
        <v>1236</v>
      </c>
      <c r="BQA2148" s="626" t="s">
        <v>1236</v>
      </c>
      <c r="BQB2148" s="626" t="s">
        <v>1236</v>
      </c>
      <c r="BQC2148" s="626" t="s">
        <v>1236</v>
      </c>
      <c r="BQD2148" s="626" t="s">
        <v>1236</v>
      </c>
      <c r="BQE2148" s="626" t="s">
        <v>1236</v>
      </c>
      <c r="BQF2148" s="626" t="s">
        <v>1236</v>
      </c>
      <c r="BQG2148" s="626" t="s">
        <v>1236</v>
      </c>
      <c r="BQH2148" s="626" t="s">
        <v>1236</v>
      </c>
      <c r="BQI2148" s="626" t="s">
        <v>1236</v>
      </c>
      <c r="BQJ2148" s="626" t="s">
        <v>1236</v>
      </c>
      <c r="BQK2148" s="626" t="s">
        <v>1236</v>
      </c>
      <c r="BQL2148" s="626" t="s">
        <v>1236</v>
      </c>
      <c r="BQM2148" s="626" t="s">
        <v>1236</v>
      </c>
      <c r="BQN2148" s="626" t="s">
        <v>1236</v>
      </c>
      <c r="BQO2148" s="626" t="s">
        <v>1236</v>
      </c>
      <c r="BQP2148" s="626" t="s">
        <v>1236</v>
      </c>
      <c r="BQQ2148" s="626" t="s">
        <v>1236</v>
      </c>
      <c r="BQR2148" s="626" t="s">
        <v>1236</v>
      </c>
      <c r="BQS2148" s="626" t="s">
        <v>1236</v>
      </c>
      <c r="BQT2148" s="626" t="s">
        <v>1236</v>
      </c>
      <c r="BQU2148" s="626" t="s">
        <v>1236</v>
      </c>
      <c r="BQV2148" s="626" t="s">
        <v>1236</v>
      </c>
      <c r="BQW2148" s="626" t="s">
        <v>1236</v>
      </c>
      <c r="BQX2148" s="626" t="s">
        <v>1236</v>
      </c>
      <c r="BQY2148" s="626" t="s">
        <v>1236</v>
      </c>
      <c r="BQZ2148" s="626" t="s">
        <v>1236</v>
      </c>
      <c r="BRA2148" s="626" t="s">
        <v>1236</v>
      </c>
      <c r="BRB2148" s="626" t="s">
        <v>1236</v>
      </c>
      <c r="BRC2148" s="626" t="s">
        <v>1236</v>
      </c>
      <c r="BRD2148" s="626" t="s">
        <v>1236</v>
      </c>
      <c r="BRE2148" s="626" t="s">
        <v>1236</v>
      </c>
      <c r="BRF2148" s="626" t="s">
        <v>1236</v>
      </c>
      <c r="BRG2148" s="626" t="s">
        <v>1236</v>
      </c>
      <c r="BRH2148" s="626" t="s">
        <v>1236</v>
      </c>
      <c r="BRI2148" s="626" t="s">
        <v>1236</v>
      </c>
      <c r="BRJ2148" s="626" t="s">
        <v>1236</v>
      </c>
      <c r="BRK2148" s="626" t="s">
        <v>1236</v>
      </c>
      <c r="BRL2148" s="626" t="s">
        <v>1236</v>
      </c>
      <c r="BRM2148" s="626" t="s">
        <v>1236</v>
      </c>
      <c r="BRN2148" s="626" t="s">
        <v>1236</v>
      </c>
      <c r="BRO2148" s="626" t="s">
        <v>1236</v>
      </c>
      <c r="BRP2148" s="626" t="s">
        <v>1236</v>
      </c>
      <c r="BRQ2148" s="626" t="s">
        <v>1236</v>
      </c>
      <c r="BRR2148" s="626" t="s">
        <v>1236</v>
      </c>
      <c r="BRS2148" s="626" t="s">
        <v>1236</v>
      </c>
      <c r="BRT2148" s="626" t="s">
        <v>1236</v>
      </c>
      <c r="BRU2148" s="626" t="s">
        <v>1236</v>
      </c>
      <c r="BRV2148" s="626" t="s">
        <v>1236</v>
      </c>
      <c r="BRW2148" s="626" t="s">
        <v>1236</v>
      </c>
      <c r="BRX2148" s="626" t="s">
        <v>1236</v>
      </c>
      <c r="BRY2148" s="626" t="s">
        <v>1236</v>
      </c>
      <c r="BRZ2148" s="626" t="s">
        <v>1236</v>
      </c>
      <c r="BSA2148" s="626" t="s">
        <v>1236</v>
      </c>
      <c r="BSB2148" s="626" t="s">
        <v>1236</v>
      </c>
      <c r="BSC2148" s="626" t="s">
        <v>1236</v>
      </c>
      <c r="BSD2148" s="626" t="s">
        <v>1236</v>
      </c>
      <c r="BSE2148" s="626" t="s">
        <v>1236</v>
      </c>
      <c r="BSF2148" s="626" t="s">
        <v>1236</v>
      </c>
      <c r="BSG2148" s="626" t="s">
        <v>1236</v>
      </c>
      <c r="BSH2148" s="626" t="s">
        <v>1236</v>
      </c>
      <c r="BSI2148" s="626" t="s">
        <v>1236</v>
      </c>
      <c r="BSJ2148" s="626" t="s">
        <v>1236</v>
      </c>
      <c r="BSK2148" s="626" t="s">
        <v>1236</v>
      </c>
      <c r="BSL2148" s="626" t="s">
        <v>1236</v>
      </c>
      <c r="BSM2148" s="626" t="s">
        <v>1236</v>
      </c>
      <c r="BSN2148" s="626" t="s">
        <v>1236</v>
      </c>
      <c r="BSO2148" s="626" t="s">
        <v>1236</v>
      </c>
      <c r="BSP2148" s="626" t="s">
        <v>1236</v>
      </c>
      <c r="BSQ2148" s="626" t="s">
        <v>1236</v>
      </c>
      <c r="BSR2148" s="626" t="s">
        <v>1236</v>
      </c>
      <c r="BSS2148" s="626" t="s">
        <v>1236</v>
      </c>
      <c r="BST2148" s="626" t="s">
        <v>1236</v>
      </c>
      <c r="BSU2148" s="626" t="s">
        <v>1236</v>
      </c>
      <c r="BSV2148" s="626" t="s">
        <v>1236</v>
      </c>
      <c r="BSW2148" s="626" t="s">
        <v>1236</v>
      </c>
      <c r="BSX2148" s="626" t="s">
        <v>1236</v>
      </c>
      <c r="BSY2148" s="626" t="s">
        <v>1236</v>
      </c>
      <c r="BSZ2148" s="626" t="s">
        <v>1236</v>
      </c>
      <c r="BTA2148" s="626" t="s">
        <v>1236</v>
      </c>
      <c r="BTB2148" s="626" t="s">
        <v>1236</v>
      </c>
      <c r="BTC2148" s="626" t="s">
        <v>1236</v>
      </c>
      <c r="BTD2148" s="626" t="s">
        <v>1236</v>
      </c>
      <c r="BTE2148" s="626" t="s">
        <v>1236</v>
      </c>
      <c r="BTF2148" s="626" t="s">
        <v>1236</v>
      </c>
      <c r="BTG2148" s="626" t="s">
        <v>1236</v>
      </c>
      <c r="BTH2148" s="626" t="s">
        <v>1236</v>
      </c>
      <c r="BTI2148" s="626" t="s">
        <v>1236</v>
      </c>
      <c r="BTJ2148" s="626" t="s">
        <v>1236</v>
      </c>
      <c r="BTK2148" s="626" t="s">
        <v>1236</v>
      </c>
      <c r="BTL2148" s="626" t="s">
        <v>1236</v>
      </c>
      <c r="BTM2148" s="626" t="s">
        <v>1236</v>
      </c>
      <c r="BTN2148" s="626" t="s">
        <v>1236</v>
      </c>
      <c r="BTO2148" s="626" t="s">
        <v>1236</v>
      </c>
      <c r="BTP2148" s="626" t="s">
        <v>1236</v>
      </c>
      <c r="BTQ2148" s="626" t="s">
        <v>1236</v>
      </c>
      <c r="BTR2148" s="626" t="s">
        <v>1236</v>
      </c>
      <c r="BTS2148" s="626" t="s">
        <v>1236</v>
      </c>
      <c r="BTT2148" s="626" t="s">
        <v>1236</v>
      </c>
      <c r="BTU2148" s="626" t="s">
        <v>1236</v>
      </c>
      <c r="BTV2148" s="626" t="s">
        <v>1236</v>
      </c>
      <c r="BTW2148" s="626" t="s">
        <v>1236</v>
      </c>
      <c r="BTX2148" s="626" t="s">
        <v>1236</v>
      </c>
      <c r="BTY2148" s="626" t="s">
        <v>1236</v>
      </c>
      <c r="BTZ2148" s="626" t="s">
        <v>1236</v>
      </c>
      <c r="BUA2148" s="626" t="s">
        <v>1236</v>
      </c>
      <c r="BUB2148" s="626" t="s">
        <v>1236</v>
      </c>
      <c r="BUC2148" s="626" t="s">
        <v>1236</v>
      </c>
      <c r="BUD2148" s="626" t="s">
        <v>1236</v>
      </c>
      <c r="BUE2148" s="626" t="s">
        <v>1236</v>
      </c>
      <c r="BUF2148" s="626" t="s">
        <v>1236</v>
      </c>
      <c r="BUG2148" s="626" t="s">
        <v>1236</v>
      </c>
      <c r="BUH2148" s="626" t="s">
        <v>1236</v>
      </c>
      <c r="BUI2148" s="626" t="s">
        <v>1236</v>
      </c>
      <c r="BUJ2148" s="626" t="s">
        <v>1236</v>
      </c>
      <c r="BUK2148" s="626" t="s">
        <v>1236</v>
      </c>
      <c r="BUL2148" s="626" t="s">
        <v>1236</v>
      </c>
      <c r="BUM2148" s="626" t="s">
        <v>1236</v>
      </c>
      <c r="BUN2148" s="626" t="s">
        <v>1236</v>
      </c>
      <c r="BUO2148" s="626" t="s">
        <v>1236</v>
      </c>
      <c r="BUP2148" s="626" t="s">
        <v>1236</v>
      </c>
      <c r="BUQ2148" s="626" t="s">
        <v>1236</v>
      </c>
      <c r="BUR2148" s="626" t="s">
        <v>1236</v>
      </c>
      <c r="BUS2148" s="626" t="s">
        <v>1236</v>
      </c>
      <c r="BUT2148" s="626" t="s">
        <v>1236</v>
      </c>
      <c r="BUU2148" s="626" t="s">
        <v>1236</v>
      </c>
      <c r="BUV2148" s="626" t="s">
        <v>1236</v>
      </c>
      <c r="BUW2148" s="626" t="s">
        <v>1236</v>
      </c>
      <c r="BUX2148" s="626" t="s">
        <v>1236</v>
      </c>
      <c r="BUY2148" s="626" t="s">
        <v>1236</v>
      </c>
      <c r="BUZ2148" s="626" t="s">
        <v>1236</v>
      </c>
      <c r="BVA2148" s="626" t="s">
        <v>1236</v>
      </c>
      <c r="BVB2148" s="626" t="s">
        <v>1236</v>
      </c>
      <c r="BVC2148" s="626" t="s">
        <v>1236</v>
      </c>
      <c r="BVD2148" s="626" t="s">
        <v>1236</v>
      </c>
      <c r="BVE2148" s="626" t="s">
        <v>1236</v>
      </c>
      <c r="BVF2148" s="626" t="s">
        <v>1236</v>
      </c>
      <c r="BVG2148" s="626" t="s">
        <v>1236</v>
      </c>
      <c r="BVH2148" s="626" t="s">
        <v>1236</v>
      </c>
      <c r="BVI2148" s="626" t="s">
        <v>1236</v>
      </c>
      <c r="BVJ2148" s="626" t="s">
        <v>1236</v>
      </c>
      <c r="BVK2148" s="626" t="s">
        <v>1236</v>
      </c>
      <c r="BVL2148" s="626" t="s">
        <v>1236</v>
      </c>
      <c r="BVM2148" s="626" t="s">
        <v>1236</v>
      </c>
      <c r="BVN2148" s="626" t="s">
        <v>1236</v>
      </c>
      <c r="BVO2148" s="626" t="s">
        <v>1236</v>
      </c>
      <c r="BVP2148" s="626" t="s">
        <v>1236</v>
      </c>
      <c r="BVQ2148" s="626" t="s">
        <v>1236</v>
      </c>
      <c r="BVR2148" s="626" t="s">
        <v>1236</v>
      </c>
      <c r="BVS2148" s="626" t="s">
        <v>1236</v>
      </c>
      <c r="BVT2148" s="626" t="s">
        <v>1236</v>
      </c>
      <c r="BVU2148" s="626" t="s">
        <v>1236</v>
      </c>
      <c r="BVV2148" s="626" t="s">
        <v>1236</v>
      </c>
      <c r="BVW2148" s="626" t="s">
        <v>1236</v>
      </c>
      <c r="BVX2148" s="626" t="s">
        <v>1236</v>
      </c>
      <c r="BVY2148" s="626" t="s">
        <v>1236</v>
      </c>
      <c r="BVZ2148" s="626" t="s">
        <v>1236</v>
      </c>
      <c r="BWA2148" s="626" t="s">
        <v>1236</v>
      </c>
      <c r="BWB2148" s="626" t="s">
        <v>1236</v>
      </c>
      <c r="BWC2148" s="626" t="s">
        <v>1236</v>
      </c>
      <c r="BWD2148" s="626" t="s">
        <v>1236</v>
      </c>
      <c r="BWE2148" s="626" t="s">
        <v>1236</v>
      </c>
      <c r="BWF2148" s="626" t="s">
        <v>1236</v>
      </c>
      <c r="BWG2148" s="626" t="s">
        <v>1236</v>
      </c>
      <c r="BWH2148" s="626" t="s">
        <v>1236</v>
      </c>
      <c r="BWI2148" s="626" t="s">
        <v>1236</v>
      </c>
      <c r="BWJ2148" s="626" t="s">
        <v>1236</v>
      </c>
      <c r="BWK2148" s="626" t="s">
        <v>1236</v>
      </c>
      <c r="BWL2148" s="626" t="s">
        <v>1236</v>
      </c>
      <c r="BWM2148" s="626" t="s">
        <v>1236</v>
      </c>
      <c r="BWN2148" s="626" t="s">
        <v>1236</v>
      </c>
      <c r="BWO2148" s="626" t="s">
        <v>1236</v>
      </c>
      <c r="BWP2148" s="626" t="s">
        <v>1236</v>
      </c>
      <c r="BWQ2148" s="626" t="s">
        <v>1236</v>
      </c>
      <c r="BWR2148" s="626" t="s">
        <v>1236</v>
      </c>
      <c r="BWS2148" s="626" t="s">
        <v>1236</v>
      </c>
      <c r="BWT2148" s="626" t="s">
        <v>1236</v>
      </c>
      <c r="BWU2148" s="626" t="s">
        <v>1236</v>
      </c>
      <c r="BWV2148" s="626" t="s">
        <v>1236</v>
      </c>
      <c r="BWW2148" s="626" t="s">
        <v>1236</v>
      </c>
      <c r="BWX2148" s="626" t="s">
        <v>1236</v>
      </c>
      <c r="BWY2148" s="626" t="s">
        <v>1236</v>
      </c>
      <c r="BWZ2148" s="626" t="s">
        <v>1236</v>
      </c>
      <c r="BXA2148" s="626" t="s">
        <v>1236</v>
      </c>
      <c r="BXB2148" s="626" t="s">
        <v>1236</v>
      </c>
      <c r="BXC2148" s="626" t="s">
        <v>1236</v>
      </c>
      <c r="BXD2148" s="626" t="s">
        <v>1236</v>
      </c>
      <c r="BXE2148" s="626" t="s">
        <v>1236</v>
      </c>
      <c r="BXF2148" s="626" t="s">
        <v>1236</v>
      </c>
      <c r="BXG2148" s="626" t="s">
        <v>1236</v>
      </c>
      <c r="BXH2148" s="626" t="s">
        <v>1236</v>
      </c>
      <c r="BXI2148" s="626" t="s">
        <v>1236</v>
      </c>
      <c r="BXJ2148" s="626" t="s">
        <v>1236</v>
      </c>
      <c r="BXK2148" s="626" t="s">
        <v>1236</v>
      </c>
      <c r="BXL2148" s="626" t="s">
        <v>1236</v>
      </c>
      <c r="BXM2148" s="626" t="s">
        <v>1236</v>
      </c>
      <c r="BXN2148" s="626" t="s">
        <v>1236</v>
      </c>
      <c r="BXO2148" s="626" t="s">
        <v>1236</v>
      </c>
      <c r="BXP2148" s="626" t="s">
        <v>1236</v>
      </c>
      <c r="BXQ2148" s="626" t="s">
        <v>1236</v>
      </c>
      <c r="BXR2148" s="626" t="s">
        <v>1236</v>
      </c>
      <c r="BXS2148" s="626" t="s">
        <v>1236</v>
      </c>
      <c r="BXT2148" s="626" t="s">
        <v>1236</v>
      </c>
      <c r="BXU2148" s="626" t="s">
        <v>1236</v>
      </c>
      <c r="BXV2148" s="626" t="s">
        <v>1236</v>
      </c>
      <c r="BXW2148" s="626" t="s">
        <v>1236</v>
      </c>
      <c r="BXX2148" s="626" t="s">
        <v>1236</v>
      </c>
      <c r="BXY2148" s="626" t="s">
        <v>1236</v>
      </c>
      <c r="BXZ2148" s="626" t="s">
        <v>1236</v>
      </c>
      <c r="BYA2148" s="626" t="s">
        <v>1236</v>
      </c>
      <c r="BYB2148" s="626" t="s">
        <v>1236</v>
      </c>
      <c r="BYC2148" s="626" t="s">
        <v>1236</v>
      </c>
      <c r="BYD2148" s="626" t="s">
        <v>1236</v>
      </c>
      <c r="BYE2148" s="626" t="s">
        <v>1236</v>
      </c>
      <c r="BYF2148" s="626" t="s">
        <v>1236</v>
      </c>
      <c r="BYG2148" s="626" t="s">
        <v>1236</v>
      </c>
      <c r="BYH2148" s="626" t="s">
        <v>1236</v>
      </c>
      <c r="BYI2148" s="626" t="s">
        <v>1236</v>
      </c>
      <c r="BYJ2148" s="626" t="s">
        <v>1236</v>
      </c>
      <c r="BYK2148" s="626" t="s">
        <v>1236</v>
      </c>
      <c r="BYL2148" s="626" t="s">
        <v>1236</v>
      </c>
      <c r="BYM2148" s="626" t="s">
        <v>1236</v>
      </c>
      <c r="BYN2148" s="626" t="s">
        <v>1236</v>
      </c>
      <c r="BYO2148" s="626" t="s">
        <v>1236</v>
      </c>
      <c r="BYP2148" s="626" t="s">
        <v>1236</v>
      </c>
      <c r="BYQ2148" s="626" t="s">
        <v>1236</v>
      </c>
      <c r="BYR2148" s="626" t="s">
        <v>1236</v>
      </c>
      <c r="BYS2148" s="626" t="s">
        <v>1236</v>
      </c>
      <c r="BYT2148" s="626" t="s">
        <v>1236</v>
      </c>
      <c r="BYU2148" s="626" t="s">
        <v>1236</v>
      </c>
      <c r="BYV2148" s="626" t="s">
        <v>1236</v>
      </c>
      <c r="BYW2148" s="626" t="s">
        <v>1236</v>
      </c>
      <c r="BYX2148" s="626" t="s">
        <v>1236</v>
      </c>
      <c r="BYY2148" s="626" t="s">
        <v>1236</v>
      </c>
      <c r="BYZ2148" s="626" t="s">
        <v>1236</v>
      </c>
      <c r="BZA2148" s="626" t="s">
        <v>1236</v>
      </c>
      <c r="BZB2148" s="626" t="s">
        <v>1236</v>
      </c>
      <c r="BZC2148" s="626" t="s">
        <v>1236</v>
      </c>
      <c r="BZD2148" s="626" t="s">
        <v>1236</v>
      </c>
      <c r="BZE2148" s="626" t="s">
        <v>1236</v>
      </c>
      <c r="BZF2148" s="626" t="s">
        <v>1236</v>
      </c>
      <c r="BZG2148" s="626" t="s">
        <v>1236</v>
      </c>
      <c r="BZH2148" s="626" t="s">
        <v>1236</v>
      </c>
      <c r="BZI2148" s="626" t="s">
        <v>1236</v>
      </c>
      <c r="BZJ2148" s="626" t="s">
        <v>1236</v>
      </c>
      <c r="BZK2148" s="626" t="s">
        <v>1236</v>
      </c>
      <c r="BZL2148" s="626" t="s">
        <v>1236</v>
      </c>
      <c r="BZM2148" s="626" t="s">
        <v>1236</v>
      </c>
      <c r="BZN2148" s="626" t="s">
        <v>1236</v>
      </c>
      <c r="BZO2148" s="626" t="s">
        <v>1236</v>
      </c>
      <c r="BZP2148" s="626" t="s">
        <v>1236</v>
      </c>
      <c r="BZQ2148" s="626" t="s">
        <v>1236</v>
      </c>
      <c r="BZR2148" s="626" t="s">
        <v>1236</v>
      </c>
      <c r="BZS2148" s="626" t="s">
        <v>1236</v>
      </c>
      <c r="BZT2148" s="626" t="s">
        <v>1236</v>
      </c>
      <c r="BZU2148" s="626" t="s">
        <v>1236</v>
      </c>
      <c r="BZV2148" s="626" t="s">
        <v>1236</v>
      </c>
      <c r="BZW2148" s="626" t="s">
        <v>1236</v>
      </c>
      <c r="BZX2148" s="626" t="s">
        <v>1236</v>
      </c>
      <c r="BZY2148" s="626" t="s">
        <v>1236</v>
      </c>
      <c r="BZZ2148" s="626" t="s">
        <v>1236</v>
      </c>
      <c r="CAA2148" s="626" t="s">
        <v>1236</v>
      </c>
      <c r="CAB2148" s="626" t="s">
        <v>1236</v>
      </c>
      <c r="CAC2148" s="626" t="s">
        <v>1236</v>
      </c>
      <c r="CAD2148" s="626" t="s">
        <v>1236</v>
      </c>
      <c r="CAE2148" s="626" t="s">
        <v>1236</v>
      </c>
      <c r="CAF2148" s="626" t="s">
        <v>1236</v>
      </c>
      <c r="CAG2148" s="626" t="s">
        <v>1236</v>
      </c>
      <c r="CAH2148" s="626" t="s">
        <v>1236</v>
      </c>
      <c r="CAI2148" s="626" t="s">
        <v>1236</v>
      </c>
      <c r="CAJ2148" s="626" t="s">
        <v>1236</v>
      </c>
      <c r="CAK2148" s="626" t="s">
        <v>1236</v>
      </c>
      <c r="CAL2148" s="626" t="s">
        <v>1236</v>
      </c>
      <c r="CAM2148" s="626" t="s">
        <v>1236</v>
      </c>
      <c r="CAN2148" s="626" t="s">
        <v>1236</v>
      </c>
      <c r="CAO2148" s="626" t="s">
        <v>1236</v>
      </c>
      <c r="CAP2148" s="626" t="s">
        <v>1236</v>
      </c>
      <c r="CAQ2148" s="626" t="s">
        <v>1236</v>
      </c>
      <c r="CAR2148" s="626" t="s">
        <v>1236</v>
      </c>
      <c r="CAS2148" s="626" t="s">
        <v>1236</v>
      </c>
      <c r="CAT2148" s="626" t="s">
        <v>1236</v>
      </c>
      <c r="CAU2148" s="626" t="s">
        <v>1236</v>
      </c>
      <c r="CAV2148" s="626" t="s">
        <v>1236</v>
      </c>
      <c r="CAW2148" s="626" t="s">
        <v>1236</v>
      </c>
      <c r="CAX2148" s="626" t="s">
        <v>1236</v>
      </c>
      <c r="CAY2148" s="626" t="s">
        <v>1236</v>
      </c>
      <c r="CAZ2148" s="626" t="s">
        <v>1236</v>
      </c>
      <c r="CBA2148" s="626" t="s">
        <v>1236</v>
      </c>
      <c r="CBB2148" s="626" t="s">
        <v>1236</v>
      </c>
      <c r="CBC2148" s="626" t="s">
        <v>1236</v>
      </c>
      <c r="CBD2148" s="626" t="s">
        <v>1236</v>
      </c>
      <c r="CBE2148" s="626" t="s">
        <v>1236</v>
      </c>
      <c r="CBF2148" s="626" t="s">
        <v>1236</v>
      </c>
      <c r="CBG2148" s="626" t="s">
        <v>1236</v>
      </c>
      <c r="CBH2148" s="626" t="s">
        <v>1236</v>
      </c>
      <c r="CBI2148" s="626" t="s">
        <v>1236</v>
      </c>
      <c r="CBJ2148" s="626" t="s">
        <v>1236</v>
      </c>
      <c r="CBK2148" s="626" t="s">
        <v>1236</v>
      </c>
      <c r="CBL2148" s="626" t="s">
        <v>1236</v>
      </c>
      <c r="CBM2148" s="626" t="s">
        <v>1236</v>
      </c>
      <c r="CBN2148" s="626" t="s">
        <v>1236</v>
      </c>
      <c r="CBO2148" s="626" t="s">
        <v>1236</v>
      </c>
      <c r="CBP2148" s="626" t="s">
        <v>1236</v>
      </c>
      <c r="CBQ2148" s="626" t="s">
        <v>1236</v>
      </c>
      <c r="CBR2148" s="626" t="s">
        <v>1236</v>
      </c>
      <c r="CBS2148" s="626" t="s">
        <v>1236</v>
      </c>
      <c r="CBT2148" s="626" t="s">
        <v>1236</v>
      </c>
      <c r="CBU2148" s="626" t="s">
        <v>1236</v>
      </c>
      <c r="CBV2148" s="626" t="s">
        <v>1236</v>
      </c>
      <c r="CBW2148" s="626" t="s">
        <v>1236</v>
      </c>
      <c r="CBX2148" s="626" t="s">
        <v>1236</v>
      </c>
      <c r="CBY2148" s="626" t="s">
        <v>1236</v>
      </c>
      <c r="CBZ2148" s="626" t="s">
        <v>1236</v>
      </c>
      <c r="CCA2148" s="626" t="s">
        <v>1236</v>
      </c>
      <c r="CCB2148" s="626" t="s">
        <v>1236</v>
      </c>
      <c r="CCC2148" s="626" t="s">
        <v>1236</v>
      </c>
      <c r="CCD2148" s="626" t="s">
        <v>1236</v>
      </c>
      <c r="CCE2148" s="626" t="s">
        <v>1236</v>
      </c>
      <c r="CCF2148" s="626" t="s">
        <v>1236</v>
      </c>
      <c r="CCG2148" s="626" t="s">
        <v>1236</v>
      </c>
      <c r="CCH2148" s="626" t="s">
        <v>1236</v>
      </c>
      <c r="CCI2148" s="626" t="s">
        <v>1236</v>
      </c>
      <c r="CCJ2148" s="626" t="s">
        <v>1236</v>
      </c>
      <c r="CCK2148" s="626" t="s">
        <v>1236</v>
      </c>
      <c r="CCL2148" s="626" t="s">
        <v>1236</v>
      </c>
      <c r="CCM2148" s="626" t="s">
        <v>1236</v>
      </c>
      <c r="CCN2148" s="626" t="s">
        <v>1236</v>
      </c>
      <c r="CCO2148" s="626" t="s">
        <v>1236</v>
      </c>
      <c r="CCP2148" s="626" t="s">
        <v>1236</v>
      </c>
      <c r="CCQ2148" s="626" t="s">
        <v>1236</v>
      </c>
      <c r="CCR2148" s="626" t="s">
        <v>1236</v>
      </c>
      <c r="CCS2148" s="626" t="s">
        <v>1236</v>
      </c>
      <c r="CCT2148" s="626" t="s">
        <v>1236</v>
      </c>
      <c r="CCU2148" s="626" t="s">
        <v>1236</v>
      </c>
      <c r="CCV2148" s="626" t="s">
        <v>1236</v>
      </c>
      <c r="CCW2148" s="626" t="s">
        <v>1236</v>
      </c>
      <c r="CCX2148" s="626" t="s">
        <v>1236</v>
      </c>
      <c r="CCY2148" s="626" t="s">
        <v>1236</v>
      </c>
      <c r="CCZ2148" s="626" t="s">
        <v>1236</v>
      </c>
      <c r="CDA2148" s="626" t="s">
        <v>1236</v>
      </c>
      <c r="CDB2148" s="626" t="s">
        <v>1236</v>
      </c>
      <c r="CDC2148" s="626" t="s">
        <v>1236</v>
      </c>
      <c r="CDD2148" s="626" t="s">
        <v>1236</v>
      </c>
      <c r="CDE2148" s="626" t="s">
        <v>1236</v>
      </c>
      <c r="CDF2148" s="626" t="s">
        <v>1236</v>
      </c>
      <c r="CDG2148" s="626" t="s">
        <v>1236</v>
      </c>
      <c r="CDH2148" s="626" t="s">
        <v>1236</v>
      </c>
      <c r="CDI2148" s="626" t="s">
        <v>1236</v>
      </c>
      <c r="CDJ2148" s="626" t="s">
        <v>1236</v>
      </c>
      <c r="CDK2148" s="626" t="s">
        <v>1236</v>
      </c>
      <c r="CDL2148" s="626" t="s">
        <v>1236</v>
      </c>
      <c r="CDM2148" s="626" t="s">
        <v>1236</v>
      </c>
      <c r="CDN2148" s="626" t="s">
        <v>1236</v>
      </c>
      <c r="CDO2148" s="626" t="s">
        <v>1236</v>
      </c>
      <c r="CDP2148" s="626" t="s">
        <v>1236</v>
      </c>
      <c r="CDQ2148" s="626" t="s">
        <v>1236</v>
      </c>
      <c r="CDR2148" s="626" t="s">
        <v>1236</v>
      </c>
      <c r="CDS2148" s="626" t="s">
        <v>1236</v>
      </c>
      <c r="CDT2148" s="626" t="s">
        <v>1236</v>
      </c>
      <c r="CDU2148" s="626" t="s">
        <v>1236</v>
      </c>
      <c r="CDV2148" s="626" t="s">
        <v>1236</v>
      </c>
      <c r="CDW2148" s="626" t="s">
        <v>1236</v>
      </c>
      <c r="CDX2148" s="626" t="s">
        <v>1236</v>
      </c>
      <c r="CDY2148" s="626" t="s">
        <v>1236</v>
      </c>
      <c r="CDZ2148" s="626" t="s">
        <v>1236</v>
      </c>
      <c r="CEA2148" s="626" t="s">
        <v>1236</v>
      </c>
      <c r="CEB2148" s="626" t="s">
        <v>1236</v>
      </c>
      <c r="CEC2148" s="626" t="s">
        <v>1236</v>
      </c>
      <c r="CED2148" s="626" t="s">
        <v>1236</v>
      </c>
      <c r="CEE2148" s="626" t="s">
        <v>1236</v>
      </c>
      <c r="CEF2148" s="626" t="s">
        <v>1236</v>
      </c>
      <c r="CEG2148" s="626" t="s">
        <v>1236</v>
      </c>
      <c r="CEH2148" s="626" t="s">
        <v>1236</v>
      </c>
      <c r="CEI2148" s="626" t="s">
        <v>1236</v>
      </c>
      <c r="CEJ2148" s="626" t="s">
        <v>1236</v>
      </c>
      <c r="CEK2148" s="626" t="s">
        <v>1236</v>
      </c>
      <c r="CEL2148" s="626" t="s">
        <v>1236</v>
      </c>
      <c r="CEM2148" s="626" t="s">
        <v>1236</v>
      </c>
      <c r="CEN2148" s="626" t="s">
        <v>1236</v>
      </c>
      <c r="CEO2148" s="626" t="s">
        <v>1236</v>
      </c>
      <c r="CEP2148" s="626" t="s">
        <v>1236</v>
      </c>
      <c r="CEQ2148" s="626" t="s">
        <v>1236</v>
      </c>
      <c r="CER2148" s="626" t="s">
        <v>1236</v>
      </c>
      <c r="CES2148" s="626" t="s">
        <v>1236</v>
      </c>
      <c r="CET2148" s="626" t="s">
        <v>1236</v>
      </c>
      <c r="CEU2148" s="626" t="s">
        <v>1236</v>
      </c>
      <c r="CEV2148" s="626" t="s">
        <v>1236</v>
      </c>
      <c r="CEW2148" s="626" t="s">
        <v>1236</v>
      </c>
      <c r="CEX2148" s="626" t="s">
        <v>1236</v>
      </c>
      <c r="CEY2148" s="626" t="s">
        <v>1236</v>
      </c>
      <c r="CEZ2148" s="626" t="s">
        <v>1236</v>
      </c>
      <c r="CFA2148" s="626" t="s">
        <v>1236</v>
      </c>
      <c r="CFB2148" s="626" t="s">
        <v>1236</v>
      </c>
      <c r="CFC2148" s="626" t="s">
        <v>1236</v>
      </c>
      <c r="CFD2148" s="626" t="s">
        <v>1236</v>
      </c>
      <c r="CFE2148" s="626" t="s">
        <v>1236</v>
      </c>
      <c r="CFF2148" s="626" t="s">
        <v>1236</v>
      </c>
      <c r="CFG2148" s="626" t="s">
        <v>1236</v>
      </c>
      <c r="CFH2148" s="626" t="s">
        <v>1236</v>
      </c>
      <c r="CFI2148" s="626" t="s">
        <v>1236</v>
      </c>
      <c r="CFJ2148" s="626" t="s">
        <v>1236</v>
      </c>
      <c r="CFK2148" s="626" t="s">
        <v>1236</v>
      </c>
      <c r="CFL2148" s="626" t="s">
        <v>1236</v>
      </c>
      <c r="CFM2148" s="626" t="s">
        <v>1236</v>
      </c>
      <c r="CFN2148" s="626" t="s">
        <v>1236</v>
      </c>
      <c r="CFO2148" s="626" t="s">
        <v>1236</v>
      </c>
      <c r="CFP2148" s="626" t="s">
        <v>1236</v>
      </c>
      <c r="CFQ2148" s="626" t="s">
        <v>1236</v>
      </c>
      <c r="CFR2148" s="626" t="s">
        <v>1236</v>
      </c>
      <c r="CFS2148" s="626" t="s">
        <v>1236</v>
      </c>
      <c r="CFT2148" s="626" t="s">
        <v>1236</v>
      </c>
      <c r="CFU2148" s="626" t="s">
        <v>1236</v>
      </c>
      <c r="CFV2148" s="626" t="s">
        <v>1236</v>
      </c>
      <c r="CFW2148" s="626" t="s">
        <v>1236</v>
      </c>
      <c r="CFX2148" s="626" t="s">
        <v>1236</v>
      </c>
      <c r="CFY2148" s="626" t="s">
        <v>1236</v>
      </c>
      <c r="CFZ2148" s="626" t="s">
        <v>1236</v>
      </c>
      <c r="CGA2148" s="626" t="s">
        <v>1236</v>
      </c>
      <c r="CGB2148" s="626" t="s">
        <v>1236</v>
      </c>
      <c r="CGC2148" s="626" t="s">
        <v>1236</v>
      </c>
      <c r="CGD2148" s="626" t="s">
        <v>1236</v>
      </c>
      <c r="CGE2148" s="626" t="s">
        <v>1236</v>
      </c>
      <c r="CGF2148" s="626" t="s">
        <v>1236</v>
      </c>
      <c r="CGG2148" s="626" t="s">
        <v>1236</v>
      </c>
      <c r="CGH2148" s="626" t="s">
        <v>1236</v>
      </c>
      <c r="CGI2148" s="626" t="s">
        <v>1236</v>
      </c>
      <c r="CGJ2148" s="626" t="s">
        <v>1236</v>
      </c>
      <c r="CGK2148" s="626" t="s">
        <v>1236</v>
      </c>
      <c r="CGL2148" s="626" t="s">
        <v>1236</v>
      </c>
      <c r="CGM2148" s="626" t="s">
        <v>1236</v>
      </c>
      <c r="CGN2148" s="626" t="s">
        <v>1236</v>
      </c>
      <c r="CGO2148" s="626" t="s">
        <v>1236</v>
      </c>
      <c r="CGP2148" s="626" t="s">
        <v>1236</v>
      </c>
      <c r="CGQ2148" s="626" t="s">
        <v>1236</v>
      </c>
      <c r="CGR2148" s="626" t="s">
        <v>1236</v>
      </c>
      <c r="CGS2148" s="626" t="s">
        <v>1236</v>
      </c>
      <c r="CGT2148" s="626" t="s">
        <v>1236</v>
      </c>
      <c r="CGU2148" s="626" t="s">
        <v>1236</v>
      </c>
      <c r="CGV2148" s="626" t="s">
        <v>1236</v>
      </c>
      <c r="CGW2148" s="626" t="s">
        <v>1236</v>
      </c>
      <c r="CGX2148" s="626" t="s">
        <v>1236</v>
      </c>
      <c r="CGY2148" s="626" t="s">
        <v>1236</v>
      </c>
      <c r="CGZ2148" s="626" t="s">
        <v>1236</v>
      </c>
      <c r="CHA2148" s="626" t="s">
        <v>1236</v>
      </c>
      <c r="CHB2148" s="626" t="s">
        <v>1236</v>
      </c>
      <c r="CHC2148" s="626" t="s">
        <v>1236</v>
      </c>
      <c r="CHD2148" s="626" t="s">
        <v>1236</v>
      </c>
      <c r="CHE2148" s="626" t="s">
        <v>1236</v>
      </c>
      <c r="CHF2148" s="626" t="s">
        <v>1236</v>
      </c>
      <c r="CHG2148" s="626" t="s">
        <v>1236</v>
      </c>
      <c r="CHH2148" s="626" t="s">
        <v>1236</v>
      </c>
      <c r="CHI2148" s="626" t="s">
        <v>1236</v>
      </c>
      <c r="CHJ2148" s="626" t="s">
        <v>1236</v>
      </c>
      <c r="CHK2148" s="626" t="s">
        <v>1236</v>
      </c>
      <c r="CHL2148" s="626" t="s">
        <v>1236</v>
      </c>
      <c r="CHM2148" s="626" t="s">
        <v>1236</v>
      </c>
      <c r="CHN2148" s="626" t="s">
        <v>1236</v>
      </c>
      <c r="CHO2148" s="626" t="s">
        <v>1236</v>
      </c>
      <c r="CHP2148" s="626" t="s">
        <v>1236</v>
      </c>
      <c r="CHQ2148" s="626" t="s">
        <v>1236</v>
      </c>
      <c r="CHR2148" s="626" t="s">
        <v>1236</v>
      </c>
      <c r="CHS2148" s="626" t="s">
        <v>1236</v>
      </c>
      <c r="CHT2148" s="626" t="s">
        <v>1236</v>
      </c>
      <c r="CHU2148" s="626" t="s">
        <v>1236</v>
      </c>
      <c r="CHV2148" s="626" t="s">
        <v>1236</v>
      </c>
      <c r="CHW2148" s="626" t="s">
        <v>1236</v>
      </c>
      <c r="CHX2148" s="626" t="s">
        <v>1236</v>
      </c>
      <c r="CHY2148" s="626" t="s">
        <v>1236</v>
      </c>
      <c r="CHZ2148" s="626" t="s">
        <v>1236</v>
      </c>
      <c r="CIA2148" s="626" t="s">
        <v>1236</v>
      </c>
      <c r="CIB2148" s="626" t="s">
        <v>1236</v>
      </c>
      <c r="CIC2148" s="626" t="s">
        <v>1236</v>
      </c>
      <c r="CID2148" s="626" t="s">
        <v>1236</v>
      </c>
      <c r="CIE2148" s="626" t="s">
        <v>1236</v>
      </c>
      <c r="CIF2148" s="626" t="s">
        <v>1236</v>
      </c>
      <c r="CIG2148" s="626" t="s">
        <v>1236</v>
      </c>
      <c r="CIH2148" s="626" t="s">
        <v>1236</v>
      </c>
      <c r="CII2148" s="626" t="s">
        <v>1236</v>
      </c>
      <c r="CIJ2148" s="626" t="s">
        <v>1236</v>
      </c>
      <c r="CIK2148" s="626" t="s">
        <v>1236</v>
      </c>
      <c r="CIL2148" s="626" t="s">
        <v>1236</v>
      </c>
      <c r="CIM2148" s="626" t="s">
        <v>1236</v>
      </c>
      <c r="CIN2148" s="626" t="s">
        <v>1236</v>
      </c>
      <c r="CIO2148" s="626" t="s">
        <v>1236</v>
      </c>
      <c r="CIP2148" s="626" t="s">
        <v>1236</v>
      </c>
      <c r="CIQ2148" s="626" t="s">
        <v>1236</v>
      </c>
      <c r="CIR2148" s="626" t="s">
        <v>1236</v>
      </c>
      <c r="CIS2148" s="626" t="s">
        <v>1236</v>
      </c>
      <c r="CIT2148" s="626" t="s">
        <v>1236</v>
      </c>
      <c r="CIU2148" s="626" t="s">
        <v>1236</v>
      </c>
      <c r="CIV2148" s="626" t="s">
        <v>1236</v>
      </c>
      <c r="CIW2148" s="626" t="s">
        <v>1236</v>
      </c>
      <c r="CIX2148" s="626" t="s">
        <v>1236</v>
      </c>
      <c r="CIY2148" s="626" t="s">
        <v>1236</v>
      </c>
      <c r="CIZ2148" s="626" t="s">
        <v>1236</v>
      </c>
      <c r="CJA2148" s="626" t="s">
        <v>1236</v>
      </c>
      <c r="CJB2148" s="626" t="s">
        <v>1236</v>
      </c>
      <c r="CJC2148" s="626" t="s">
        <v>1236</v>
      </c>
      <c r="CJD2148" s="626" t="s">
        <v>1236</v>
      </c>
      <c r="CJE2148" s="626" t="s">
        <v>1236</v>
      </c>
      <c r="CJF2148" s="626" t="s">
        <v>1236</v>
      </c>
      <c r="CJG2148" s="626" t="s">
        <v>1236</v>
      </c>
      <c r="CJH2148" s="626" t="s">
        <v>1236</v>
      </c>
      <c r="CJI2148" s="626" t="s">
        <v>1236</v>
      </c>
      <c r="CJJ2148" s="626" t="s">
        <v>1236</v>
      </c>
      <c r="CJK2148" s="626" t="s">
        <v>1236</v>
      </c>
      <c r="CJL2148" s="626" t="s">
        <v>1236</v>
      </c>
      <c r="CJM2148" s="626" t="s">
        <v>1236</v>
      </c>
      <c r="CJN2148" s="626" t="s">
        <v>1236</v>
      </c>
      <c r="CJO2148" s="626" t="s">
        <v>1236</v>
      </c>
      <c r="CJP2148" s="626" t="s">
        <v>1236</v>
      </c>
      <c r="CJQ2148" s="626" t="s">
        <v>1236</v>
      </c>
      <c r="CJR2148" s="626" t="s">
        <v>1236</v>
      </c>
      <c r="CJS2148" s="626" t="s">
        <v>1236</v>
      </c>
      <c r="CJT2148" s="626" t="s">
        <v>1236</v>
      </c>
      <c r="CJU2148" s="626" t="s">
        <v>1236</v>
      </c>
      <c r="CJV2148" s="626" t="s">
        <v>1236</v>
      </c>
      <c r="CJW2148" s="626" t="s">
        <v>1236</v>
      </c>
      <c r="CJX2148" s="626" t="s">
        <v>1236</v>
      </c>
      <c r="CJY2148" s="626" t="s">
        <v>1236</v>
      </c>
      <c r="CJZ2148" s="626" t="s">
        <v>1236</v>
      </c>
      <c r="CKA2148" s="626" t="s">
        <v>1236</v>
      </c>
      <c r="CKB2148" s="626" t="s">
        <v>1236</v>
      </c>
      <c r="CKC2148" s="626" t="s">
        <v>1236</v>
      </c>
      <c r="CKD2148" s="626" t="s">
        <v>1236</v>
      </c>
      <c r="CKE2148" s="626" t="s">
        <v>1236</v>
      </c>
      <c r="CKF2148" s="626" t="s">
        <v>1236</v>
      </c>
      <c r="CKG2148" s="626" t="s">
        <v>1236</v>
      </c>
      <c r="CKH2148" s="626" t="s">
        <v>1236</v>
      </c>
      <c r="CKI2148" s="626" t="s">
        <v>1236</v>
      </c>
      <c r="CKJ2148" s="626" t="s">
        <v>1236</v>
      </c>
      <c r="CKK2148" s="626" t="s">
        <v>1236</v>
      </c>
      <c r="CKL2148" s="626" t="s">
        <v>1236</v>
      </c>
      <c r="CKM2148" s="626" t="s">
        <v>1236</v>
      </c>
      <c r="CKN2148" s="626" t="s">
        <v>1236</v>
      </c>
      <c r="CKO2148" s="626" t="s">
        <v>1236</v>
      </c>
      <c r="CKP2148" s="626" t="s">
        <v>1236</v>
      </c>
      <c r="CKQ2148" s="626" t="s">
        <v>1236</v>
      </c>
      <c r="CKR2148" s="626" t="s">
        <v>1236</v>
      </c>
      <c r="CKS2148" s="626" t="s">
        <v>1236</v>
      </c>
      <c r="CKT2148" s="626" t="s">
        <v>1236</v>
      </c>
      <c r="CKU2148" s="626" t="s">
        <v>1236</v>
      </c>
      <c r="CKV2148" s="626" t="s">
        <v>1236</v>
      </c>
      <c r="CKW2148" s="626" t="s">
        <v>1236</v>
      </c>
      <c r="CKX2148" s="626" t="s">
        <v>1236</v>
      </c>
      <c r="CKY2148" s="626" t="s">
        <v>1236</v>
      </c>
      <c r="CKZ2148" s="626" t="s">
        <v>1236</v>
      </c>
      <c r="CLA2148" s="626" t="s">
        <v>1236</v>
      </c>
      <c r="CLB2148" s="626" t="s">
        <v>1236</v>
      </c>
      <c r="CLC2148" s="626" t="s">
        <v>1236</v>
      </c>
      <c r="CLD2148" s="626" t="s">
        <v>1236</v>
      </c>
      <c r="CLE2148" s="626" t="s">
        <v>1236</v>
      </c>
      <c r="CLF2148" s="626" t="s">
        <v>1236</v>
      </c>
      <c r="CLG2148" s="626" t="s">
        <v>1236</v>
      </c>
      <c r="CLH2148" s="626" t="s">
        <v>1236</v>
      </c>
      <c r="CLI2148" s="626" t="s">
        <v>1236</v>
      </c>
      <c r="CLJ2148" s="626" t="s">
        <v>1236</v>
      </c>
      <c r="CLK2148" s="626" t="s">
        <v>1236</v>
      </c>
      <c r="CLL2148" s="626" t="s">
        <v>1236</v>
      </c>
      <c r="CLM2148" s="626" t="s">
        <v>1236</v>
      </c>
      <c r="CLN2148" s="626" t="s">
        <v>1236</v>
      </c>
      <c r="CLO2148" s="626" t="s">
        <v>1236</v>
      </c>
      <c r="CLP2148" s="626" t="s">
        <v>1236</v>
      </c>
      <c r="CLQ2148" s="626" t="s">
        <v>1236</v>
      </c>
      <c r="CLR2148" s="626" t="s">
        <v>1236</v>
      </c>
      <c r="CLS2148" s="626" t="s">
        <v>1236</v>
      </c>
      <c r="CLT2148" s="626" t="s">
        <v>1236</v>
      </c>
      <c r="CLU2148" s="626" t="s">
        <v>1236</v>
      </c>
      <c r="CLV2148" s="626" t="s">
        <v>1236</v>
      </c>
      <c r="CLW2148" s="626" t="s">
        <v>1236</v>
      </c>
      <c r="CLX2148" s="626" t="s">
        <v>1236</v>
      </c>
      <c r="CLY2148" s="626" t="s">
        <v>1236</v>
      </c>
      <c r="CLZ2148" s="626" t="s">
        <v>1236</v>
      </c>
      <c r="CMA2148" s="626" t="s">
        <v>1236</v>
      </c>
      <c r="CMB2148" s="626" t="s">
        <v>1236</v>
      </c>
      <c r="CMC2148" s="626" t="s">
        <v>1236</v>
      </c>
      <c r="CMD2148" s="626" t="s">
        <v>1236</v>
      </c>
      <c r="CME2148" s="626" t="s">
        <v>1236</v>
      </c>
      <c r="CMF2148" s="626" t="s">
        <v>1236</v>
      </c>
      <c r="CMG2148" s="626" t="s">
        <v>1236</v>
      </c>
      <c r="CMH2148" s="626" t="s">
        <v>1236</v>
      </c>
      <c r="CMI2148" s="626" t="s">
        <v>1236</v>
      </c>
      <c r="CMJ2148" s="626" t="s">
        <v>1236</v>
      </c>
      <c r="CMK2148" s="626" t="s">
        <v>1236</v>
      </c>
      <c r="CML2148" s="626" t="s">
        <v>1236</v>
      </c>
      <c r="CMM2148" s="626" t="s">
        <v>1236</v>
      </c>
      <c r="CMN2148" s="626" t="s">
        <v>1236</v>
      </c>
      <c r="CMO2148" s="626" t="s">
        <v>1236</v>
      </c>
      <c r="CMP2148" s="626" t="s">
        <v>1236</v>
      </c>
      <c r="CMQ2148" s="626" t="s">
        <v>1236</v>
      </c>
      <c r="CMR2148" s="626" t="s">
        <v>1236</v>
      </c>
      <c r="CMS2148" s="626" t="s">
        <v>1236</v>
      </c>
      <c r="CMT2148" s="626" t="s">
        <v>1236</v>
      </c>
      <c r="CMU2148" s="626" t="s">
        <v>1236</v>
      </c>
      <c r="CMV2148" s="626" t="s">
        <v>1236</v>
      </c>
      <c r="CMW2148" s="626" t="s">
        <v>1236</v>
      </c>
      <c r="CMX2148" s="626" t="s">
        <v>1236</v>
      </c>
      <c r="CMY2148" s="626" t="s">
        <v>1236</v>
      </c>
      <c r="CMZ2148" s="626" t="s">
        <v>1236</v>
      </c>
      <c r="CNA2148" s="626" t="s">
        <v>1236</v>
      </c>
      <c r="CNB2148" s="626" t="s">
        <v>1236</v>
      </c>
      <c r="CNC2148" s="626" t="s">
        <v>1236</v>
      </c>
      <c r="CND2148" s="626" t="s">
        <v>1236</v>
      </c>
      <c r="CNE2148" s="626" t="s">
        <v>1236</v>
      </c>
      <c r="CNF2148" s="626" t="s">
        <v>1236</v>
      </c>
      <c r="CNG2148" s="626" t="s">
        <v>1236</v>
      </c>
      <c r="CNH2148" s="626" t="s">
        <v>1236</v>
      </c>
      <c r="CNI2148" s="626" t="s">
        <v>1236</v>
      </c>
      <c r="CNJ2148" s="626" t="s">
        <v>1236</v>
      </c>
      <c r="CNK2148" s="626" t="s">
        <v>1236</v>
      </c>
      <c r="CNL2148" s="626" t="s">
        <v>1236</v>
      </c>
      <c r="CNM2148" s="626" t="s">
        <v>1236</v>
      </c>
      <c r="CNN2148" s="626" t="s">
        <v>1236</v>
      </c>
      <c r="CNO2148" s="626" t="s">
        <v>1236</v>
      </c>
      <c r="CNP2148" s="626" t="s">
        <v>1236</v>
      </c>
      <c r="CNQ2148" s="626" t="s">
        <v>1236</v>
      </c>
      <c r="CNR2148" s="626" t="s">
        <v>1236</v>
      </c>
      <c r="CNS2148" s="626" t="s">
        <v>1236</v>
      </c>
      <c r="CNT2148" s="626" t="s">
        <v>1236</v>
      </c>
      <c r="CNU2148" s="626" t="s">
        <v>1236</v>
      </c>
      <c r="CNV2148" s="626" t="s">
        <v>1236</v>
      </c>
      <c r="CNW2148" s="626" t="s">
        <v>1236</v>
      </c>
      <c r="CNX2148" s="626" t="s">
        <v>1236</v>
      </c>
      <c r="CNY2148" s="626" t="s">
        <v>1236</v>
      </c>
      <c r="CNZ2148" s="626" t="s">
        <v>1236</v>
      </c>
      <c r="COA2148" s="626" t="s">
        <v>1236</v>
      </c>
      <c r="COB2148" s="626" t="s">
        <v>1236</v>
      </c>
      <c r="COC2148" s="626" t="s">
        <v>1236</v>
      </c>
      <c r="COD2148" s="626" t="s">
        <v>1236</v>
      </c>
      <c r="COE2148" s="626" t="s">
        <v>1236</v>
      </c>
      <c r="COF2148" s="626" t="s">
        <v>1236</v>
      </c>
      <c r="COG2148" s="626" t="s">
        <v>1236</v>
      </c>
      <c r="COH2148" s="626" t="s">
        <v>1236</v>
      </c>
      <c r="COI2148" s="626" t="s">
        <v>1236</v>
      </c>
      <c r="COJ2148" s="626" t="s">
        <v>1236</v>
      </c>
      <c r="COK2148" s="626" t="s">
        <v>1236</v>
      </c>
      <c r="COL2148" s="626" t="s">
        <v>1236</v>
      </c>
      <c r="COM2148" s="626" t="s">
        <v>1236</v>
      </c>
      <c r="CON2148" s="626" t="s">
        <v>1236</v>
      </c>
      <c r="COO2148" s="626" t="s">
        <v>1236</v>
      </c>
      <c r="COP2148" s="626" t="s">
        <v>1236</v>
      </c>
      <c r="COQ2148" s="626" t="s">
        <v>1236</v>
      </c>
      <c r="COR2148" s="626" t="s">
        <v>1236</v>
      </c>
      <c r="COS2148" s="626" t="s">
        <v>1236</v>
      </c>
      <c r="COT2148" s="626" t="s">
        <v>1236</v>
      </c>
      <c r="COU2148" s="626" t="s">
        <v>1236</v>
      </c>
      <c r="COV2148" s="626" t="s">
        <v>1236</v>
      </c>
      <c r="COW2148" s="626" t="s">
        <v>1236</v>
      </c>
      <c r="COX2148" s="626" t="s">
        <v>1236</v>
      </c>
      <c r="COY2148" s="626" t="s">
        <v>1236</v>
      </c>
      <c r="COZ2148" s="626" t="s">
        <v>1236</v>
      </c>
      <c r="CPA2148" s="626" t="s">
        <v>1236</v>
      </c>
      <c r="CPB2148" s="626" t="s">
        <v>1236</v>
      </c>
      <c r="CPC2148" s="626" t="s">
        <v>1236</v>
      </c>
      <c r="CPD2148" s="626" t="s">
        <v>1236</v>
      </c>
      <c r="CPE2148" s="626" t="s">
        <v>1236</v>
      </c>
      <c r="CPF2148" s="626" t="s">
        <v>1236</v>
      </c>
      <c r="CPG2148" s="626" t="s">
        <v>1236</v>
      </c>
      <c r="CPH2148" s="626" t="s">
        <v>1236</v>
      </c>
      <c r="CPI2148" s="626" t="s">
        <v>1236</v>
      </c>
      <c r="CPJ2148" s="626" t="s">
        <v>1236</v>
      </c>
      <c r="CPK2148" s="626" t="s">
        <v>1236</v>
      </c>
      <c r="CPL2148" s="626" t="s">
        <v>1236</v>
      </c>
      <c r="CPM2148" s="626" t="s">
        <v>1236</v>
      </c>
      <c r="CPN2148" s="626" t="s">
        <v>1236</v>
      </c>
      <c r="CPO2148" s="626" t="s">
        <v>1236</v>
      </c>
      <c r="CPP2148" s="626" t="s">
        <v>1236</v>
      </c>
      <c r="CPQ2148" s="626" t="s">
        <v>1236</v>
      </c>
      <c r="CPR2148" s="626" t="s">
        <v>1236</v>
      </c>
      <c r="CPS2148" s="626" t="s">
        <v>1236</v>
      </c>
      <c r="CPT2148" s="626" t="s">
        <v>1236</v>
      </c>
      <c r="CPU2148" s="626" t="s">
        <v>1236</v>
      </c>
      <c r="CPV2148" s="626" t="s">
        <v>1236</v>
      </c>
      <c r="CPW2148" s="626" t="s">
        <v>1236</v>
      </c>
      <c r="CPX2148" s="626" t="s">
        <v>1236</v>
      </c>
      <c r="CPY2148" s="626" t="s">
        <v>1236</v>
      </c>
      <c r="CPZ2148" s="626" t="s">
        <v>1236</v>
      </c>
      <c r="CQA2148" s="626" t="s">
        <v>1236</v>
      </c>
      <c r="CQB2148" s="626" t="s">
        <v>1236</v>
      </c>
      <c r="CQC2148" s="626" t="s">
        <v>1236</v>
      </c>
      <c r="CQD2148" s="626" t="s">
        <v>1236</v>
      </c>
      <c r="CQE2148" s="626" t="s">
        <v>1236</v>
      </c>
      <c r="CQF2148" s="626" t="s">
        <v>1236</v>
      </c>
      <c r="CQG2148" s="626" t="s">
        <v>1236</v>
      </c>
      <c r="CQH2148" s="626" t="s">
        <v>1236</v>
      </c>
      <c r="CQI2148" s="626" t="s">
        <v>1236</v>
      </c>
      <c r="CQJ2148" s="626" t="s">
        <v>1236</v>
      </c>
      <c r="CQK2148" s="626" t="s">
        <v>1236</v>
      </c>
      <c r="CQL2148" s="626" t="s">
        <v>1236</v>
      </c>
      <c r="CQM2148" s="626" t="s">
        <v>1236</v>
      </c>
      <c r="CQN2148" s="626" t="s">
        <v>1236</v>
      </c>
      <c r="CQO2148" s="626" t="s">
        <v>1236</v>
      </c>
      <c r="CQP2148" s="626" t="s">
        <v>1236</v>
      </c>
      <c r="CQQ2148" s="626" t="s">
        <v>1236</v>
      </c>
      <c r="CQR2148" s="626" t="s">
        <v>1236</v>
      </c>
      <c r="CQS2148" s="626" t="s">
        <v>1236</v>
      </c>
      <c r="CQT2148" s="626" t="s">
        <v>1236</v>
      </c>
      <c r="CQU2148" s="626" t="s">
        <v>1236</v>
      </c>
      <c r="CQV2148" s="626" t="s">
        <v>1236</v>
      </c>
      <c r="CQW2148" s="626" t="s">
        <v>1236</v>
      </c>
      <c r="CQX2148" s="626" t="s">
        <v>1236</v>
      </c>
      <c r="CQY2148" s="626" t="s">
        <v>1236</v>
      </c>
      <c r="CQZ2148" s="626" t="s">
        <v>1236</v>
      </c>
      <c r="CRA2148" s="626" t="s">
        <v>1236</v>
      </c>
      <c r="CRB2148" s="626" t="s">
        <v>1236</v>
      </c>
      <c r="CRC2148" s="626" t="s">
        <v>1236</v>
      </c>
      <c r="CRD2148" s="626" t="s">
        <v>1236</v>
      </c>
      <c r="CRE2148" s="626" t="s">
        <v>1236</v>
      </c>
      <c r="CRF2148" s="626" t="s">
        <v>1236</v>
      </c>
      <c r="CRG2148" s="626" t="s">
        <v>1236</v>
      </c>
      <c r="CRH2148" s="626" t="s">
        <v>1236</v>
      </c>
      <c r="CRI2148" s="626" t="s">
        <v>1236</v>
      </c>
      <c r="CRJ2148" s="626" t="s">
        <v>1236</v>
      </c>
      <c r="CRK2148" s="626" t="s">
        <v>1236</v>
      </c>
      <c r="CRL2148" s="626" t="s">
        <v>1236</v>
      </c>
      <c r="CRM2148" s="626" t="s">
        <v>1236</v>
      </c>
      <c r="CRN2148" s="626" t="s">
        <v>1236</v>
      </c>
      <c r="CRO2148" s="626" t="s">
        <v>1236</v>
      </c>
      <c r="CRP2148" s="626" t="s">
        <v>1236</v>
      </c>
      <c r="CRQ2148" s="626" t="s">
        <v>1236</v>
      </c>
      <c r="CRR2148" s="626" t="s">
        <v>1236</v>
      </c>
      <c r="CRS2148" s="626" t="s">
        <v>1236</v>
      </c>
      <c r="CRT2148" s="626" t="s">
        <v>1236</v>
      </c>
      <c r="CRU2148" s="626" t="s">
        <v>1236</v>
      </c>
      <c r="CRV2148" s="626" t="s">
        <v>1236</v>
      </c>
      <c r="CRW2148" s="626" t="s">
        <v>1236</v>
      </c>
      <c r="CRX2148" s="626" t="s">
        <v>1236</v>
      </c>
      <c r="CRY2148" s="626" t="s">
        <v>1236</v>
      </c>
      <c r="CRZ2148" s="626" t="s">
        <v>1236</v>
      </c>
      <c r="CSA2148" s="626" t="s">
        <v>1236</v>
      </c>
      <c r="CSB2148" s="626" t="s">
        <v>1236</v>
      </c>
      <c r="CSC2148" s="626" t="s">
        <v>1236</v>
      </c>
      <c r="CSD2148" s="626" t="s">
        <v>1236</v>
      </c>
      <c r="CSE2148" s="626" t="s">
        <v>1236</v>
      </c>
      <c r="CSF2148" s="626" t="s">
        <v>1236</v>
      </c>
      <c r="CSG2148" s="626" t="s">
        <v>1236</v>
      </c>
      <c r="CSH2148" s="626" t="s">
        <v>1236</v>
      </c>
      <c r="CSI2148" s="626" t="s">
        <v>1236</v>
      </c>
      <c r="CSJ2148" s="626" t="s">
        <v>1236</v>
      </c>
      <c r="CSK2148" s="626" t="s">
        <v>1236</v>
      </c>
      <c r="CSL2148" s="626" t="s">
        <v>1236</v>
      </c>
      <c r="CSM2148" s="626" t="s">
        <v>1236</v>
      </c>
      <c r="CSN2148" s="626" t="s">
        <v>1236</v>
      </c>
      <c r="CSO2148" s="626" t="s">
        <v>1236</v>
      </c>
      <c r="CSP2148" s="626" t="s">
        <v>1236</v>
      </c>
      <c r="CSQ2148" s="626" t="s">
        <v>1236</v>
      </c>
      <c r="CSR2148" s="626" t="s">
        <v>1236</v>
      </c>
      <c r="CSS2148" s="626" t="s">
        <v>1236</v>
      </c>
      <c r="CST2148" s="626" t="s">
        <v>1236</v>
      </c>
      <c r="CSU2148" s="626" t="s">
        <v>1236</v>
      </c>
      <c r="CSV2148" s="626" t="s">
        <v>1236</v>
      </c>
      <c r="CSW2148" s="626" t="s">
        <v>1236</v>
      </c>
      <c r="CSX2148" s="626" t="s">
        <v>1236</v>
      </c>
      <c r="CSY2148" s="626" t="s">
        <v>1236</v>
      </c>
      <c r="CSZ2148" s="626" t="s">
        <v>1236</v>
      </c>
      <c r="CTA2148" s="626" t="s">
        <v>1236</v>
      </c>
      <c r="CTB2148" s="626" t="s">
        <v>1236</v>
      </c>
      <c r="CTC2148" s="626" t="s">
        <v>1236</v>
      </c>
      <c r="CTD2148" s="626" t="s">
        <v>1236</v>
      </c>
      <c r="CTE2148" s="626" t="s">
        <v>1236</v>
      </c>
      <c r="CTF2148" s="626" t="s">
        <v>1236</v>
      </c>
      <c r="CTG2148" s="626" t="s">
        <v>1236</v>
      </c>
      <c r="CTH2148" s="626" t="s">
        <v>1236</v>
      </c>
      <c r="CTI2148" s="626" t="s">
        <v>1236</v>
      </c>
      <c r="CTJ2148" s="626" t="s">
        <v>1236</v>
      </c>
      <c r="CTK2148" s="626" t="s">
        <v>1236</v>
      </c>
      <c r="CTL2148" s="626" t="s">
        <v>1236</v>
      </c>
      <c r="CTM2148" s="626" t="s">
        <v>1236</v>
      </c>
      <c r="CTN2148" s="626" t="s">
        <v>1236</v>
      </c>
      <c r="CTO2148" s="626" t="s">
        <v>1236</v>
      </c>
      <c r="CTP2148" s="626" t="s">
        <v>1236</v>
      </c>
      <c r="CTQ2148" s="626" t="s">
        <v>1236</v>
      </c>
      <c r="CTR2148" s="626" t="s">
        <v>1236</v>
      </c>
      <c r="CTS2148" s="626" t="s">
        <v>1236</v>
      </c>
      <c r="CTT2148" s="626" t="s">
        <v>1236</v>
      </c>
      <c r="CTU2148" s="626" t="s">
        <v>1236</v>
      </c>
      <c r="CTV2148" s="626" t="s">
        <v>1236</v>
      </c>
      <c r="CTW2148" s="626" t="s">
        <v>1236</v>
      </c>
      <c r="CTX2148" s="626" t="s">
        <v>1236</v>
      </c>
      <c r="CTY2148" s="626" t="s">
        <v>1236</v>
      </c>
      <c r="CTZ2148" s="626" t="s">
        <v>1236</v>
      </c>
      <c r="CUA2148" s="626" t="s">
        <v>1236</v>
      </c>
      <c r="CUB2148" s="626" t="s">
        <v>1236</v>
      </c>
      <c r="CUC2148" s="626" t="s">
        <v>1236</v>
      </c>
      <c r="CUD2148" s="626" t="s">
        <v>1236</v>
      </c>
      <c r="CUE2148" s="626" t="s">
        <v>1236</v>
      </c>
      <c r="CUF2148" s="626" t="s">
        <v>1236</v>
      </c>
      <c r="CUG2148" s="626" t="s">
        <v>1236</v>
      </c>
      <c r="CUH2148" s="626" t="s">
        <v>1236</v>
      </c>
      <c r="CUI2148" s="626" t="s">
        <v>1236</v>
      </c>
      <c r="CUJ2148" s="626" t="s">
        <v>1236</v>
      </c>
      <c r="CUK2148" s="626" t="s">
        <v>1236</v>
      </c>
      <c r="CUL2148" s="626" t="s">
        <v>1236</v>
      </c>
      <c r="CUM2148" s="626" t="s">
        <v>1236</v>
      </c>
      <c r="CUN2148" s="626" t="s">
        <v>1236</v>
      </c>
      <c r="CUO2148" s="626" t="s">
        <v>1236</v>
      </c>
      <c r="CUP2148" s="626" t="s">
        <v>1236</v>
      </c>
      <c r="CUQ2148" s="626" t="s">
        <v>1236</v>
      </c>
      <c r="CUR2148" s="626" t="s">
        <v>1236</v>
      </c>
      <c r="CUS2148" s="626" t="s">
        <v>1236</v>
      </c>
      <c r="CUT2148" s="626" t="s">
        <v>1236</v>
      </c>
      <c r="CUU2148" s="626" t="s">
        <v>1236</v>
      </c>
      <c r="CUV2148" s="626" t="s">
        <v>1236</v>
      </c>
      <c r="CUW2148" s="626" t="s">
        <v>1236</v>
      </c>
      <c r="CUX2148" s="626" t="s">
        <v>1236</v>
      </c>
      <c r="CUY2148" s="626" t="s">
        <v>1236</v>
      </c>
      <c r="CUZ2148" s="626" t="s">
        <v>1236</v>
      </c>
      <c r="CVA2148" s="626" t="s">
        <v>1236</v>
      </c>
      <c r="CVB2148" s="626" t="s">
        <v>1236</v>
      </c>
      <c r="CVC2148" s="626" t="s">
        <v>1236</v>
      </c>
      <c r="CVD2148" s="626" t="s">
        <v>1236</v>
      </c>
      <c r="CVE2148" s="626" t="s">
        <v>1236</v>
      </c>
      <c r="CVF2148" s="626" t="s">
        <v>1236</v>
      </c>
      <c r="CVG2148" s="626" t="s">
        <v>1236</v>
      </c>
      <c r="CVH2148" s="626" t="s">
        <v>1236</v>
      </c>
      <c r="CVI2148" s="626" t="s">
        <v>1236</v>
      </c>
      <c r="CVJ2148" s="626" t="s">
        <v>1236</v>
      </c>
      <c r="CVK2148" s="626" t="s">
        <v>1236</v>
      </c>
      <c r="CVL2148" s="626" t="s">
        <v>1236</v>
      </c>
      <c r="CVM2148" s="626" t="s">
        <v>1236</v>
      </c>
      <c r="CVN2148" s="626" t="s">
        <v>1236</v>
      </c>
      <c r="CVO2148" s="626" t="s">
        <v>1236</v>
      </c>
      <c r="CVP2148" s="626" t="s">
        <v>1236</v>
      </c>
      <c r="CVQ2148" s="626" t="s">
        <v>1236</v>
      </c>
      <c r="CVR2148" s="626" t="s">
        <v>1236</v>
      </c>
      <c r="CVS2148" s="626" t="s">
        <v>1236</v>
      </c>
      <c r="CVT2148" s="626" t="s">
        <v>1236</v>
      </c>
      <c r="CVU2148" s="626" t="s">
        <v>1236</v>
      </c>
      <c r="CVV2148" s="626" t="s">
        <v>1236</v>
      </c>
      <c r="CVW2148" s="626" t="s">
        <v>1236</v>
      </c>
      <c r="CVX2148" s="626" t="s">
        <v>1236</v>
      </c>
      <c r="CVY2148" s="626" t="s">
        <v>1236</v>
      </c>
      <c r="CVZ2148" s="626" t="s">
        <v>1236</v>
      </c>
      <c r="CWA2148" s="626" t="s">
        <v>1236</v>
      </c>
      <c r="CWB2148" s="626" t="s">
        <v>1236</v>
      </c>
      <c r="CWC2148" s="626" t="s">
        <v>1236</v>
      </c>
      <c r="CWD2148" s="626" t="s">
        <v>1236</v>
      </c>
      <c r="CWE2148" s="626" t="s">
        <v>1236</v>
      </c>
      <c r="CWF2148" s="626" t="s">
        <v>1236</v>
      </c>
      <c r="CWG2148" s="626" t="s">
        <v>1236</v>
      </c>
      <c r="CWH2148" s="626" t="s">
        <v>1236</v>
      </c>
      <c r="CWI2148" s="626" t="s">
        <v>1236</v>
      </c>
      <c r="CWJ2148" s="626" t="s">
        <v>1236</v>
      </c>
      <c r="CWK2148" s="626" t="s">
        <v>1236</v>
      </c>
      <c r="CWL2148" s="626" t="s">
        <v>1236</v>
      </c>
      <c r="CWM2148" s="626" t="s">
        <v>1236</v>
      </c>
      <c r="CWN2148" s="626" t="s">
        <v>1236</v>
      </c>
      <c r="CWO2148" s="626" t="s">
        <v>1236</v>
      </c>
      <c r="CWP2148" s="626" t="s">
        <v>1236</v>
      </c>
      <c r="CWQ2148" s="626" t="s">
        <v>1236</v>
      </c>
      <c r="CWR2148" s="626" t="s">
        <v>1236</v>
      </c>
      <c r="CWS2148" s="626" t="s">
        <v>1236</v>
      </c>
      <c r="CWT2148" s="626" t="s">
        <v>1236</v>
      </c>
      <c r="CWU2148" s="626" t="s">
        <v>1236</v>
      </c>
      <c r="CWV2148" s="626" t="s">
        <v>1236</v>
      </c>
      <c r="CWW2148" s="626" t="s">
        <v>1236</v>
      </c>
      <c r="CWX2148" s="626" t="s">
        <v>1236</v>
      </c>
      <c r="CWY2148" s="626" t="s">
        <v>1236</v>
      </c>
      <c r="CWZ2148" s="626" t="s">
        <v>1236</v>
      </c>
      <c r="CXA2148" s="626" t="s">
        <v>1236</v>
      </c>
      <c r="CXB2148" s="626" t="s">
        <v>1236</v>
      </c>
      <c r="CXC2148" s="626" t="s">
        <v>1236</v>
      </c>
      <c r="CXD2148" s="626" t="s">
        <v>1236</v>
      </c>
      <c r="CXE2148" s="626" t="s">
        <v>1236</v>
      </c>
      <c r="CXF2148" s="626" t="s">
        <v>1236</v>
      </c>
      <c r="CXG2148" s="626" t="s">
        <v>1236</v>
      </c>
      <c r="CXH2148" s="626" t="s">
        <v>1236</v>
      </c>
      <c r="CXI2148" s="626" t="s">
        <v>1236</v>
      </c>
      <c r="CXJ2148" s="626" t="s">
        <v>1236</v>
      </c>
      <c r="CXK2148" s="626" t="s">
        <v>1236</v>
      </c>
      <c r="CXL2148" s="626" t="s">
        <v>1236</v>
      </c>
      <c r="CXM2148" s="626" t="s">
        <v>1236</v>
      </c>
      <c r="CXN2148" s="626" t="s">
        <v>1236</v>
      </c>
      <c r="CXO2148" s="626" t="s">
        <v>1236</v>
      </c>
      <c r="CXP2148" s="626" t="s">
        <v>1236</v>
      </c>
      <c r="CXQ2148" s="626" t="s">
        <v>1236</v>
      </c>
      <c r="CXR2148" s="626" t="s">
        <v>1236</v>
      </c>
      <c r="CXS2148" s="626" t="s">
        <v>1236</v>
      </c>
      <c r="CXT2148" s="626" t="s">
        <v>1236</v>
      </c>
      <c r="CXU2148" s="626" t="s">
        <v>1236</v>
      </c>
      <c r="CXV2148" s="626" t="s">
        <v>1236</v>
      </c>
      <c r="CXW2148" s="626" t="s">
        <v>1236</v>
      </c>
      <c r="CXX2148" s="626" t="s">
        <v>1236</v>
      </c>
      <c r="CXY2148" s="626" t="s">
        <v>1236</v>
      </c>
      <c r="CXZ2148" s="626" t="s">
        <v>1236</v>
      </c>
      <c r="CYA2148" s="626" t="s">
        <v>1236</v>
      </c>
      <c r="CYB2148" s="626" t="s">
        <v>1236</v>
      </c>
      <c r="CYC2148" s="626" t="s">
        <v>1236</v>
      </c>
      <c r="CYD2148" s="626" t="s">
        <v>1236</v>
      </c>
      <c r="CYE2148" s="626" t="s">
        <v>1236</v>
      </c>
      <c r="CYF2148" s="626" t="s">
        <v>1236</v>
      </c>
      <c r="CYG2148" s="626" t="s">
        <v>1236</v>
      </c>
      <c r="CYH2148" s="626" t="s">
        <v>1236</v>
      </c>
      <c r="CYI2148" s="626" t="s">
        <v>1236</v>
      </c>
      <c r="CYJ2148" s="626" t="s">
        <v>1236</v>
      </c>
      <c r="CYK2148" s="626" t="s">
        <v>1236</v>
      </c>
      <c r="CYL2148" s="626" t="s">
        <v>1236</v>
      </c>
      <c r="CYM2148" s="626" t="s">
        <v>1236</v>
      </c>
      <c r="CYN2148" s="626" t="s">
        <v>1236</v>
      </c>
      <c r="CYO2148" s="626" t="s">
        <v>1236</v>
      </c>
      <c r="CYP2148" s="626" t="s">
        <v>1236</v>
      </c>
      <c r="CYQ2148" s="626" t="s">
        <v>1236</v>
      </c>
      <c r="CYR2148" s="626" t="s">
        <v>1236</v>
      </c>
      <c r="CYS2148" s="626" t="s">
        <v>1236</v>
      </c>
      <c r="CYT2148" s="626" t="s">
        <v>1236</v>
      </c>
      <c r="CYU2148" s="626" t="s">
        <v>1236</v>
      </c>
      <c r="CYV2148" s="626" t="s">
        <v>1236</v>
      </c>
      <c r="CYW2148" s="626" t="s">
        <v>1236</v>
      </c>
      <c r="CYX2148" s="626" t="s">
        <v>1236</v>
      </c>
      <c r="CYY2148" s="626" t="s">
        <v>1236</v>
      </c>
      <c r="CYZ2148" s="626" t="s">
        <v>1236</v>
      </c>
      <c r="CZA2148" s="626" t="s">
        <v>1236</v>
      </c>
      <c r="CZB2148" s="626" t="s">
        <v>1236</v>
      </c>
      <c r="CZC2148" s="626" t="s">
        <v>1236</v>
      </c>
      <c r="CZD2148" s="626" t="s">
        <v>1236</v>
      </c>
      <c r="CZE2148" s="626" t="s">
        <v>1236</v>
      </c>
      <c r="CZF2148" s="626" t="s">
        <v>1236</v>
      </c>
      <c r="CZG2148" s="626" t="s">
        <v>1236</v>
      </c>
      <c r="CZH2148" s="626" t="s">
        <v>1236</v>
      </c>
      <c r="CZI2148" s="626" t="s">
        <v>1236</v>
      </c>
      <c r="CZJ2148" s="626" t="s">
        <v>1236</v>
      </c>
      <c r="CZK2148" s="626" t="s">
        <v>1236</v>
      </c>
      <c r="CZL2148" s="626" t="s">
        <v>1236</v>
      </c>
      <c r="CZM2148" s="626" t="s">
        <v>1236</v>
      </c>
      <c r="CZN2148" s="626" t="s">
        <v>1236</v>
      </c>
      <c r="CZO2148" s="626" t="s">
        <v>1236</v>
      </c>
      <c r="CZP2148" s="626" t="s">
        <v>1236</v>
      </c>
      <c r="CZQ2148" s="626" t="s">
        <v>1236</v>
      </c>
      <c r="CZR2148" s="626" t="s">
        <v>1236</v>
      </c>
      <c r="CZS2148" s="626" t="s">
        <v>1236</v>
      </c>
      <c r="CZT2148" s="626" t="s">
        <v>1236</v>
      </c>
      <c r="CZU2148" s="626" t="s">
        <v>1236</v>
      </c>
      <c r="CZV2148" s="626" t="s">
        <v>1236</v>
      </c>
      <c r="CZW2148" s="626" t="s">
        <v>1236</v>
      </c>
      <c r="CZX2148" s="626" t="s">
        <v>1236</v>
      </c>
      <c r="CZY2148" s="626" t="s">
        <v>1236</v>
      </c>
      <c r="CZZ2148" s="626" t="s">
        <v>1236</v>
      </c>
      <c r="DAA2148" s="626" t="s">
        <v>1236</v>
      </c>
      <c r="DAB2148" s="626" t="s">
        <v>1236</v>
      </c>
      <c r="DAC2148" s="626" t="s">
        <v>1236</v>
      </c>
      <c r="DAD2148" s="626" t="s">
        <v>1236</v>
      </c>
      <c r="DAE2148" s="626" t="s">
        <v>1236</v>
      </c>
      <c r="DAF2148" s="626" t="s">
        <v>1236</v>
      </c>
      <c r="DAG2148" s="626" t="s">
        <v>1236</v>
      </c>
      <c r="DAH2148" s="626" t="s">
        <v>1236</v>
      </c>
      <c r="DAI2148" s="626" t="s">
        <v>1236</v>
      </c>
      <c r="DAJ2148" s="626" t="s">
        <v>1236</v>
      </c>
      <c r="DAK2148" s="626" t="s">
        <v>1236</v>
      </c>
      <c r="DAL2148" s="626" t="s">
        <v>1236</v>
      </c>
      <c r="DAM2148" s="626" t="s">
        <v>1236</v>
      </c>
      <c r="DAN2148" s="626" t="s">
        <v>1236</v>
      </c>
      <c r="DAO2148" s="626" t="s">
        <v>1236</v>
      </c>
      <c r="DAP2148" s="626" t="s">
        <v>1236</v>
      </c>
      <c r="DAQ2148" s="626" t="s">
        <v>1236</v>
      </c>
      <c r="DAR2148" s="626" t="s">
        <v>1236</v>
      </c>
      <c r="DAS2148" s="626" t="s">
        <v>1236</v>
      </c>
      <c r="DAT2148" s="626" t="s">
        <v>1236</v>
      </c>
      <c r="DAU2148" s="626" t="s">
        <v>1236</v>
      </c>
      <c r="DAV2148" s="626" t="s">
        <v>1236</v>
      </c>
      <c r="DAW2148" s="626" t="s">
        <v>1236</v>
      </c>
      <c r="DAX2148" s="626" t="s">
        <v>1236</v>
      </c>
      <c r="DAY2148" s="626" t="s">
        <v>1236</v>
      </c>
      <c r="DAZ2148" s="626" t="s">
        <v>1236</v>
      </c>
      <c r="DBA2148" s="626" t="s">
        <v>1236</v>
      </c>
      <c r="DBB2148" s="626" t="s">
        <v>1236</v>
      </c>
      <c r="DBC2148" s="626" t="s">
        <v>1236</v>
      </c>
      <c r="DBD2148" s="626" t="s">
        <v>1236</v>
      </c>
      <c r="DBE2148" s="626" t="s">
        <v>1236</v>
      </c>
      <c r="DBF2148" s="626" t="s">
        <v>1236</v>
      </c>
      <c r="DBG2148" s="626" t="s">
        <v>1236</v>
      </c>
      <c r="DBH2148" s="626" t="s">
        <v>1236</v>
      </c>
      <c r="DBI2148" s="626" t="s">
        <v>1236</v>
      </c>
      <c r="DBJ2148" s="626" t="s">
        <v>1236</v>
      </c>
      <c r="DBK2148" s="626" t="s">
        <v>1236</v>
      </c>
      <c r="DBL2148" s="626" t="s">
        <v>1236</v>
      </c>
      <c r="DBM2148" s="626" t="s">
        <v>1236</v>
      </c>
      <c r="DBN2148" s="626" t="s">
        <v>1236</v>
      </c>
      <c r="DBO2148" s="626" t="s">
        <v>1236</v>
      </c>
      <c r="DBP2148" s="626" t="s">
        <v>1236</v>
      </c>
      <c r="DBQ2148" s="626" t="s">
        <v>1236</v>
      </c>
      <c r="DBR2148" s="626" t="s">
        <v>1236</v>
      </c>
      <c r="DBS2148" s="626" t="s">
        <v>1236</v>
      </c>
      <c r="DBT2148" s="626" t="s">
        <v>1236</v>
      </c>
      <c r="DBU2148" s="626" t="s">
        <v>1236</v>
      </c>
      <c r="DBV2148" s="626" t="s">
        <v>1236</v>
      </c>
      <c r="DBW2148" s="626" t="s">
        <v>1236</v>
      </c>
      <c r="DBX2148" s="626" t="s">
        <v>1236</v>
      </c>
      <c r="DBY2148" s="626" t="s">
        <v>1236</v>
      </c>
      <c r="DBZ2148" s="626" t="s">
        <v>1236</v>
      </c>
      <c r="DCA2148" s="626" t="s">
        <v>1236</v>
      </c>
      <c r="DCB2148" s="626" t="s">
        <v>1236</v>
      </c>
      <c r="DCC2148" s="626" t="s">
        <v>1236</v>
      </c>
      <c r="DCD2148" s="626" t="s">
        <v>1236</v>
      </c>
      <c r="DCE2148" s="626" t="s">
        <v>1236</v>
      </c>
      <c r="DCF2148" s="626" t="s">
        <v>1236</v>
      </c>
      <c r="DCG2148" s="626" t="s">
        <v>1236</v>
      </c>
      <c r="DCH2148" s="626" t="s">
        <v>1236</v>
      </c>
      <c r="DCI2148" s="626" t="s">
        <v>1236</v>
      </c>
      <c r="DCJ2148" s="626" t="s">
        <v>1236</v>
      </c>
      <c r="DCK2148" s="626" t="s">
        <v>1236</v>
      </c>
      <c r="DCL2148" s="626" t="s">
        <v>1236</v>
      </c>
      <c r="DCM2148" s="626" t="s">
        <v>1236</v>
      </c>
      <c r="DCN2148" s="626" t="s">
        <v>1236</v>
      </c>
      <c r="DCO2148" s="626" t="s">
        <v>1236</v>
      </c>
      <c r="DCP2148" s="626" t="s">
        <v>1236</v>
      </c>
      <c r="DCQ2148" s="626" t="s">
        <v>1236</v>
      </c>
      <c r="DCR2148" s="626" t="s">
        <v>1236</v>
      </c>
      <c r="DCS2148" s="626" t="s">
        <v>1236</v>
      </c>
      <c r="DCT2148" s="626" t="s">
        <v>1236</v>
      </c>
      <c r="DCU2148" s="626" t="s">
        <v>1236</v>
      </c>
      <c r="DCV2148" s="626" t="s">
        <v>1236</v>
      </c>
      <c r="DCW2148" s="626" t="s">
        <v>1236</v>
      </c>
      <c r="DCX2148" s="626" t="s">
        <v>1236</v>
      </c>
      <c r="DCY2148" s="626" t="s">
        <v>1236</v>
      </c>
      <c r="DCZ2148" s="626" t="s">
        <v>1236</v>
      </c>
      <c r="DDA2148" s="626" t="s">
        <v>1236</v>
      </c>
      <c r="DDB2148" s="626" t="s">
        <v>1236</v>
      </c>
      <c r="DDC2148" s="626" t="s">
        <v>1236</v>
      </c>
      <c r="DDD2148" s="626" t="s">
        <v>1236</v>
      </c>
      <c r="DDE2148" s="626" t="s">
        <v>1236</v>
      </c>
      <c r="DDF2148" s="626" t="s">
        <v>1236</v>
      </c>
      <c r="DDG2148" s="626" t="s">
        <v>1236</v>
      </c>
      <c r="DDH2148" s="626" t="s">
        <v>1236</v>
      </c>
      <c r="DDI2148" s="626" t="s">
        <v>1236</v>
      </c>
      <c r="DDJ2148" s="626" t="s">
        <v>1236</v>
      </c>
      <c r="DDK2148" s="626" t="s">
        <v>1236</v>
      </c>
      <c r="DDL2148" s="626" t="s">
        <v>1236</v>
      </c>
      <c r="DDM2148" s="626" t="s">
        <v>1236</v>
      </c>
      <c r="DDN2148" s="626" t="s">
        <v>1236</v>
      </c>
      <c r="DDO2148" s="626" t="s">
        <v>1236</v>
      </c>
      <c r="DDP2148" s="626" t="s">
        <v>1236</v>
      </c>
      <c r="DDQ2148" s="626" t="s">
        <v>1236</v>
      </c>
      <c r="DDR2148" s="626" t="s">
        <v>1236</v>
      </c>
      <c r="DDS2148" s="626" t="s">
        <v>1236</v>
      </c>
      <c r="DDT2148" s="626" t="s">
        <v>1236</v>
      </c>
      <c r="DDU2148" s="626" t="s">
        <v>1236</v>
      </c>
      <c r="DDV2148" s="626" t="s">
        <v>1236</v>
      </c>
      <c r="DDW2148" s="626" t="s">
        <v>1236</v>
      </c>
      <c r="DDX2148" s="626" t="s">
        <v>1236</v>
      </c>
      <c r="DDY2148" s="626" t="s">
        <v>1236</v>
      </c>
      <c r="DDZ2148" s="626" t="s">
        <v>1236</v>
      </c>
      <c r="DEA2148" s="626" t="s">
        <v>1236</v>
      </c>
      <c r="DEB2148" s="626" t="s">
        <v>1236</v>
      </c>
      <c r="DEC2148" s="626" t="s">
        <v>1236</v>
      </c>
      <c r="DED2148" s="626" t="s">
        <v>1236</v>
      </c>
      <c r="DEE2148" s="626" t="s">
        <v>1236</v>
      </c>
      <c r="DEF2148" s="626" t="s">
        <v>1236</v>
      </c>
      <c r="DEG2148" s="626" t="s">
        <v>1236</v>
      </c>
      <c r="DEH2148" s="626" t="s">
        <v>1236</v>
      </c>
      <c r="DEI2148" s="626" t="s">
        <v>1236</v>
      </c>
      <c r="DEJ2148" s="626" t="s">
        <v>1236</v>
      </c>
      <c r="DEK2148" s="626" t="s">
        <v>1236</v>
      </c>
      <c r="DEL2148" s="626" t="s">
        <v>1236</v>
      </c>
      <c r="DEM2148" s="626" t="s">
        <v>1236</v>
      </c>
      <c r="DEN2148" s="626" t="s">
        <v>1236</v>
      </c>
      <c r="DEO2148" s="626" t="s">
        <v>1236</v>
      </c>
      <c r="DEP2148" s="626" t="s">
        <v>1236</v>
      </c>
      <c r="DEQ2148" s="626" t="s">
        <v>1236</v>
      </c>
      <c r="DER2148" s="626" t="s">
        <v>1236</v>
      </c>
      <c r="DES2148" s="626" t="s">
        <v>1236</v>
      </c>
      <c r="DET2148" s="626" t="s">
        <v>1236</v>
      </c>
      <c r="DEU2148" s="626" t="s">
        <v>1236</v>
      </c>
      <c r="DEV2148" s="626" t="s">
        <v>1236</v>
      </c>
      <c r="DEW2148" s="626" t="s">
        <v>1236</v>
      </c>
      <c r="DEX2148" s="626" t="s">
        <v>1236</v>
      </c>
      <c r="DEY2148" s="626" t="s">
        <v>1236</v>
      </c>
      <c r="DEZ2148" s="626" t="s">
        <v>1236</v>
      </c>
      <c r="DFA2148" s="626" t="s">
        <v>1236</v>
      </c>
      <c r="DFB2148" s="626" t="s">
        <v>1236</v>
      </c>
      <c r="DFC2148" s="626" t="s">
        <v>1236</v>
      </c>
      <c r="DFD2148" s="626" t="s">
        <v>1236</v>
      </c>
      <c r="DFE2148" s="626" t="s">
        <v>1236</v>
      </c>
      <c r="DFF2148" s="626" t="s">
        <v>1236</v>
      </c>
      <c r="DFG2148" s="626" t="s">
        <v>1236</v>
      </c>
      <c r="DFH2148" s="626" t="s">
        <v>1236</v>
      </c>
      <c r="DFI2148" s="626" t="s">
        <v>1236</v>
      </c>
      <c r="DFJ2148" s="626" t="s">
        <v>1236</v>
      </c>
      <c r="DFK2148" s="626" t="s">
        <v>1236</v>
      </c>
      <c r="DFL2148" s="626" t="s">
        <v>1236</v>
      </c>
      <c r="DFM2148" s="626" t="s">
        <v>1236</v>
      </c>
      <c r="DFN2148" s="626" t="s">
        <v>1236</v>
      </c>
      <c r="DFO2148" s="626" t="s">
        <v>1236</v>
      </c>
      <c r="DFP2148" s="626" t="s">
        <v>1236</v>
      </c>
      <c r="DFQ2148" s="626" t="s">
        <v>1236</v>
      </c>
      <c r="DFR2148" s="626" t="s">
        <v>1236</v>
      </c>
      <c r="DFS2148" s="626" t="s">
        <v>1236</v>
      </c>
      <c r="DFT2148" s="626" t="s">
        <v>1236</v>
      </c>
      <c r="DFU2148" s="626" t="s">
        <v>1236</v>
      </c>
      <c r="DFV2148" s="626" t="s">
        <v>1236</v>
      </c>
      <c r="DFW2148" s="626" t="s">
        <v>1236</v>
      </c>
      <c r="DFX2148" s="626" t="s">
        <v>1236</v>
      </c>
      <c r="DFY2148" s="626" t="s">
        <v>1236</v>
      </c>
      <c r="DFZ2148" s="626" t="s">
        <v>1236</v>
      </c>
      <c r="DGA2148" s="626" t="s">
        <v>1236</v>
      </c>
      <c r="DGB2148" s="626" t="s">
        <v>1236</v>
      </c>
      <c r="DGC2148" s="626" t="s">
        <v>1236</v>
      </c>
      <c r="DGD2148" s="626" t="s">
        <v>1236</v>
      </c>
      <c r="DGE2148" s="626" t="s">
        <v>1236</v>
      </c>
      <c r="DGF2148" s="626" t="s">
        <v>1236</v>
      </c>
      <c r="DGG2148" s="626" t="s">
        <v>1236</v>
      </c>
      <c r="DGH2148" s="626" t="s">
        <v>1236</v>
      </c>
      <c r="DGI2148" s="626" t="s">
        <v>1236</v>
      </c>
      <c r="DGJ2148" s="626" t="s">
        <v>1236</v>
      </c>
      <c r="DGK2148" s="626" t="s">
        <v>1236</v>
      </c>
      <c r="DGL2148" s="626" t="s">
        <v>1236</v>
      </c>
      <c r="DGM2148" s="626" t="s">
        <v>1236</v>
      </c>
      <c r="DGN2148" s="626" t="s">
        <v>1236</v>
      </c>
      <c r="DGO2148" s="626" t="s">
        <v>1236</v>
      </c>
      <c r="DGP2148" s="626" t="s">
        <v>1236</v>
      </c>
      <c r="DGQ2148" s="626" t="s">
        <v>1236</v>
      </c>
      <c r="DGR2148" s="626" t="s">
        <v>1236</v>
      </c>
      <c r="DGS2148" s="626" t="s">
        <v>1236</v>
      </c>
      <c r="DGT2148" s="626" t="s">
        <v>1236</v>
      </c>
      <c r="DGU2148" s="626" t="s">
        <v>1236</v>
      </c>
      <c r="DGV2148" s="626" t="s">
        <v>1236</v>
      </c>
      <c r="DGW2148" s="626" t="s">
        <v>1236</v>
      </c>
      <c r="DGX2148" s="626" t="s">
        <v>1236</v>
      </c>
      <c r="DGY2148" s="626" t="s">
        <v>1236</v>
      </c>
      <c r="DGZ2148" s="626" t="s">
        <v>1236</v>
      </c>
      <c r="DHA2148" s="626" t="s">
        <v>1236</v>
      </c>
      <c r="DHB2148" s="626" t="s">
        <v>1236</v>
      </c>
      <c r="DHC2148" s="626" t="s">
        <v>1236</v>
      </c>
      <c r="DHD2148" s="626" t="s">
        <v>1236</v>
      </c>
      <c r="DHE2148" s="626" t="s">
        <v>1236</v>
      </c>
      <c r="DHF2148" s="626" t="s">
        <v>1236</v>
      </c>
      <c r="DHG2148" s="626" t="s">
        <v>1236</v>
      </c>
      <c r="DHH2148" s="626" t="s">
        <v>1236</v>
      </c>
      <c r="DHI2148" s="626" t="s">
        <v>1236</v>
      </c>
      <c r="DHJ2148" s="626" t="s">
        <v>1236</v>
      </c>
      <c r="DHK2148" s="626" t="s">
        <v>1236</v>
      </c>
      <c r="DHL2148" s="626" t="s">
        <v>1236</v>
      </c>
      <c r="DHM2148" s="626" t="s">
        <v>1236</v>
      </c>
      <c r="DHN2148" s="626" t="s">
        <v>1236</v>
      </c>
      <c r="DHO2148" s="626" t="s">
        <v>1236</v>
      </c>
      <c r="DHP2148" s="626" t="s">
        <v>1236</v>
      </c>
      <c r="DHQ2148" s="626" t="s">
        <v>1236</v>
      </c>
      <c r="DHR2148" s="626" t="s">
        <v>1236</v>
      </c>
      <c r="DHS2148" s="626" t="s">
        <v>1236</v>
      </c>
      <c r="DHT2148" s="626" t="s">
        <v>1236</v>
      </c>
      <c r="DHU2148" s="626" t="s">
        <v>1236</v>
      </c>
      <c r="DHV2148" s="626" t="s">
        <v>1236</v>
      </c>
      <c r="DHW2148" s="626" t="s">
        <v>1236</v>
      </c>
      <c r="DHX2148" s="626" t="s">
        <v>1236</v>
      </c>
      <c r="DHY2148" s="626" t="s">
        <v>1236</v>
      </c>
      <c r="DHZ2148" s="626" t="s">
        <v>1236</v>
      </c>
      <c r="DIA2148" s="626" t="s">
        <v>1236</v>
      </c>
      <c r="DIB2148" s="626" t="s">
        <v>1236</v>
      </c>
      <c r="DIC2148" s="626" t="s">
        <v>1236</v>
      </c>
      <c r="DID2148" s="626" t="s">
        <v>1236</v>
      </c>
      <c r="DIE2148" s="626" t="s">
        <v>1236</v>
      </c>
      <c r="DIF2148" s="626" t="s">
        <v>1236</v>
      </c>
      <c r="DIG2148" s="626" t="s">
        <v>1236</v>
      </c>
      <c r="DIH2148" s="626" t="s">
        <v>1236</v>
      </c>
      <c r="DII2148" s="626" t="s">
        <v>1236</v>
      </c>
      <c r="DIJ2148" s="626" t="s">
        <v>1236</v>
      </c>
      <c r="DIK2148" s="626" t="s">
        <v>1236</v>
      </c>
      <c r="DIL2148" s="626" t="s">
        <v>1236</v>
      </c>
      <c r="DIM2148" s="626" t="s">
        <v>1236</v>
      </c>
      <c r="DIN2148" s="626" t="s">
        <v>1236</v>
      </c>
      <c r="DIO2148" s="626" t="s">
        <v>1236</v>
      </c>
      <c r="DIP2148" s="626" t="s">
        <v>1236</v>
      </c>
      <c r="DIQ2148" s="626" t="s">
        <v>1236</v>
      </c>
      <c r="DIR2148" s="626" t="s">
        <v>1236</v>
      </c>
      <c r="DIS2148" s="626" t="s">
        <v>1236</v>
      </c>
      <c r="DIT2148" s="626" t="s">
        <v>1236</v>
      </c>
      <c r="DIU2148" s="626" t="s">
        <v>1236</v>
      </c>
      <c r="DIV2148" s="626" t="s">
        <v>1236</v>
      </c>
      <c r="DIW2148" s="626" t="s">
        <v>1236</v>
      </c>
      <c r="DIX2148" s="626" t="s">
        <v>1236</v>
      </c>
      <c r="DIY2148" s="626" t="s">
        <v>1236</v>
      </c>
      <c r="DIZ2148" s="626" t="s">
        <v>1236</v>
      </c>
      <c r="DJA2148" s="626" t="s">
        <v>1236</v>
      </c>
      <c r="DJB2148" s="626" t="s">
        <v>1236</v>
      </c>
      <c r="DJC2148" s="626" t="s">
        <v>1236</v>
      </c>
      <c r="DJD2148" s="626" t="s">
        <v>1236</v>
      </c>
      <c r="DJE2148" s="626" t="s">
        <v>1236</v>
      </c>
      <c r="DJF2148" s="626" t="s">
        <v>1236</v>
      </c>
      <c r="DJG2148" s="626" t="s">
        <v>1236</v>
      </c>
      <c r="DJH2148" s="626" t="s">
        <v>1236</v>
      </c>
      <c r="DJI2148" s="626" t="s">
        <v>1236</v>
      </c>
      <c r="DJJ2148" s="626" t="s">
        <v>1236</v>
      </c>
      <c r="DJK2148" s="626" t="s">
        <v>1236</v>
      </c>
      <c r="DJL2148" s="626" t="s">
        <v>1236</v>
      </c>
      <c r="DJM2148" s="626" t="s">
        <v>1236</v>
      </c>
      <c r="DJN2148" s="626" t="s">
        <v>1236</v>
      </c>
      <c r="DJO2148" s="626" t="s">
        <v>1236</v>
      </c>
      <c r="DJP2148" s="626" t="s">
        <v>1236</v>
      </c>
      <c r="DJQ2148" s="626" t="s">
        <v>1236</v>
      </c>
      <c r="DJR2148" s="626" t="s">
        <v>1236</v>
      </c>
      <c r="DJS2148" s="626" t="s">
        <v>1236</v>
      </c>
      <c r="DJT2148" s="626" t="s">
        <v>1236</v>
      </c>
      <c r="DJU2148" s="626" t="s">
        <v>1236</v>
      </c>
      <c r="DJV2148" s="626" t="s">
        <v>1236</v>
      </c>
      <c r="DJW2148" s="626" t="s">
        <v>1236</v>
      </c>
      <c r="DJX2148" s="626" t="s">
        <v>1236</v>
      </c>
      <c r="DJY2148" s="626" t="s">
        <v>1236</v>
      </c>
      <c r="DJZ2148" s="626" t="s">
        <v>1236</v>
      </c>
      <c r="DKA2148" s="626" t="s">
        <v>1236</v>
      </c>
      <c r="DKB2148" s="626" t="s">
        <v>1236</v>
      </c>
      <c r="DKC2148" s="626" t="s">
        <v>1236</v>
      </c>
      <c r="DKD2148" s="626" t="s">
        <v>1236</v>
      </c>
      <c r="DKE2148" s="626" t="s">
        <v>1236</v>
      </c>
      <c r="DKF2148" s="626" t="s">
        <v>1236</v>
      </c>
      <c r="DKG2148" s="626" t="s">
        <v>1236</v>
      </c>
      <c r="DKH2148" s="626" t="s">
        <v>1236</v>
      </c>
      <c r="DKI2148" s="626" t="s">
        <v>1236</v>
      </c>
      <c r="DKJ2148" s="626" t="s">
        <v>1236</v>
      </c>
      <c r="DKK2148" s="626" t="s">
        <v>1236</v>
      </c>
      <c r="DKL2148" s="626" t="s">
        <v>1236</v>
      </c>
      <c r="DKM2148" s="626" t="s">
        <v>1236</v>
      </c>
      <c r="DKN2148" s="626" t="s">
        <v>1236</v>
      </c>
      <c r="DKO2148" s="626" t="s">
        <v>1236</v>
      </c>
      <c r="DKP2148" s="626" t="s">
        <v>1236</v>
      </c>
      <c r="DKQ2148" s="626" t="s">
        <v>1236</v>
      </c>
      <c r="DKR2148" s="626" t="s">
        <v>1236</v>
      </c>
      <c r="DKS2148" s="626" t="s">
        <v>1236</v>
      </c>
      <c r="DKT2148" s="626" t="s">
        <v>1236</v>
      </c>
      <c r="DKU2148" s="626" t="s">
        <v>1236</v>
      </c>
      <c r="DKV2148" s="626" t="s">
        <v>1236</v>
      </c>
      <c r="DKW2148" s="626" t="s">
        <v>1236</v>
      </c>
      <c r="DKX2148" s="626" t="s">
        <v>1236</v>
      </c>
      <c r="DKY2148" s="626" t="s">
        <v>1236</v>
      </c>
      <c r="DKZ2148" s="626" t="s">
        <v>1236</v>
      </c>
      <c r="DLA2148" s="626" t="s">
        <v>1236</v>
      </c>
      <c r="DLB2148" s="626" t="s">
        <v>1236</v>
      </c>
      <c r="DLC2148" s="626" t="s">
        <v>1236</v>
      </c>
      <c r="DLD2148" s="626" t="s">
        <v>1236</v>
      </c>
      <c r="DLE2148" s="626" t="s">
        <v>1236</v>
      </c>
      <c r="DLF2148" s="626" t="s">
        <v>1236</v>
      </c>
      <c r="DLG2148" s="626" t="s">
        <v>1236</v>
      </c>
      <c r="DLH2148" s="626" t="s">
        <v>1236</v>
      </c>
      <c r="DLI2148" s="626" t="s">
        <v>1236</v>
      </c>
      <c r="DLJ2148" s="626" t="s">
        <v>1236</v>
      </c>
      <c r="DLK2148" s="626" t="s">
        <v>1236</v>
      </c>
      <c r="DLL2148" s="626" t="s">
        <v>1236</v>
      </c>
      <c r="DLM2148" s="626" t="s">
        <v>1236</v>
      </c>
      <c r="DLN2148" s="626" t="s">
        <v>1236</v>
      </c>
      <c r="DLO2148" s="626" t="s">
        <v>1236</v>
      </c>
      <c r="DLP2148" s="626" t="s">
        <v>1236</v>
      </c>
      <c r="DLQ2148" s="626" t="s">
        <v>1236</v>
      </c>
      <c r="DLR2148" s="626" t="s">
        <v>1236</v>
      </c>
      <c r="DLS2148" s="626" t="s">
        <v>1236</v>
      </c>
      <c r="DLT2148" s="626" t="s">
        <v>1236</v>
      </c>
      <c r="DLU2148" s="626" t="s">
        <v>1236</v>
      </c>
      <c r="DLV2148" s="626" t="s">
        <v>1236</v>
      </c>
      <c r="DLW2148" s="626" t="s">
        <v>1236</v>
      </c>
      <c r="DLX2148" s="626" t="s">
        <v>1236</v>
      </c>
      <c r="DLY2148" s="626" t="s">
        <v>1236</v>
      </c>
      <c r="DLZ2148" s="626" t="s">
        <v>1236</v>
      </c>
      <c r="DMA2148" s="626" t="s">
        <v>1236</v>
      </c>
      <c r="DMB2148" s="626" t="s">
        <v>1236</v>
      </c>
      <c r="DMC2148" s="626" t="s">
        <v>1236</v>
      </c>
      <c r="DMD2148" s="626" t="s">
        <v>1236</v>
      </c>
      <c r="DME2148" s="626" t="s">
        <v>1236</v>
      </c>
      <c r="DMF2148" s="626" t="s">
        <v>1236</v>
      </c>
      <c r="DMG2148" s="626" t="s">
        <v>1236</v>
      </c>
      <c r="DMH2148" s="626" t="s">
        <v>1236</v>
      </c>
      <c r="DMI2148" s="626" t="s">
        <v>1236</v>
      </c>
      <c r="DMJ2148" s="626" t="s">
        <v>1236</v>
      </c>
      <c r="DMK2148" s="626" t="s">
        <v>1236</v>
      </c>
      <c r="DML2148" s="626" t="s">
        <v>1236</v>
      </c>
      <c r="DMM2148" s="626" t="s">
        <v>1236</v>
      </c>
      <c r="DMN2148" s="626" t="s">
        <v>1236</v>
      </c>
      <c r="DMO2148" s="626" t="s">
        <v>1236</v>
      </c>
      <c r="DMP2148" s="626" t="s">
        <v>1236</v>
      </c>
      <c r="DMQ2148" s="626" t="s">
        <v>1236</v>
      </c>
      <c r="DMR2148" s="626" t="s">
        <v>1236</v>
      </c>
      <c r="DMS2148" s="626" t="s">
        <v>1236</v>
      </c>
      <c r="DMT2148" s="626" t="s">
        <v>1236</v>
      </c>
      <c r="DMU2148" s="626" t="s">
        <v>1236</v>
      </c>
      <c r="DMV2148" s="626" t="s">
        <v>1236</v>
      </c>
      <c r="DMW2148" s="626" t="s">
        <v>1236</v>
      </c>
      <c r="DMX2148" s="626" t="s">
        <v>1236</v>
      </c>
      <c r="DMY2148" s="626" t="s">
        <v>1236</v>
      </c>
      <c r="DMZ2148" s="626" t="s">
        <v>1236</v>
      </c>
      <c r="DNA2148" s="626" t="s">
        <v>1236</v>
      </c>
      <c r="DNB2148" s="626" t="s">
        <v>1236</v>
      </c>
      <c r="DNC2148" s="626" t="s">
        <v>1236</v>
      </c>
      <c r="DND2148" s="626" t="s">
        <v>1236</v>
      </c>
      <c r="DNE2148" s="626" t="s">
        <v>1236</v>
      </c>
      <c r="DNF2148" s="626" t="s">
        <v>1236</v>
      </c>
      <c r="DNG2148" s="626" t="s">
        <v>1236</v>
      </c>
      <c r="DNH2148" s="626" t="s">
        <v>1236</v>
      </c>
      <c r="DNI2148" s="626" t="s">
        <v>1236</v>
      </c>
      <c r="DNJ2148" s="626" t="s">
        <v>1236</v>
      </c>
      <c r="DNK2148" s="626" t="s">
        <v>1236</v>
      </c>
      <c r="DNL2148" s="626" t="s">
        <v>1236</v>
      </c>
      <c r="DNM2148" s="626" t="s">
        <v>1236</v>
      </c>
      <c r="DNN2148" s="626" t="s">
        <v>1236</v>
      </c>
      <c r="DNO2148" s="626" t="s">
        <v>1236</v>
      </c>
      <c r="DNP2148" s="626" t="s">
        <v>1236</v>
      </c>
      <c r="DNQ2148" s="626" t="s">
        <v>1236</v>
      </c>
      <c r="DNR2148" s="626" t="s">
        <v>1236</v>
      </c>
      <c r="DNS2148" s="626" t="s">
        <v>1236</v>
      </c>
      <c r="DNT2148" s="626" t="s">
        <v>1236</v>
      </c>
      <c r="DNU2148" s="626" t="s">
        <v>1236</v>
      </c>
      <c r="DNV2148" s="626" t="s">
        <v>1236</v>
      </c>
      <c r="DNW2148" s="626" t="s">
        <v>1236</v>
      </c>
      <c r="DNX2148" s="626" t="s">
        <v>1236</v>
      </c>
      <c r="DNY2148" s="626" t="s">
        <v>1236</v>
      </c>
      <c r="DNZ2148" s="626" t="s">
        <v>1236</v>
      </c>
      <c r="DOA2148" s="626" t="s">
        <v>1236</v>
      </c>
      <c r="DOB2148" s="626" t="s">
        <v>1236</v>
      </c>
      <c r="DOC2148" s="626" t="s">
        <v>1236</v>
      </c>
      <c r="DOD2148" s="626" t="s">
        <v>1236</v>
      </c>
      <c r="DOE2148" s="626" t="s">
        <v>1236</v>
      </c>
      <c r="DOF2148" s="626" t="s">
        <v>1236</v>
      </c>
      <c r="DOG2148" s="626" t="s">
        <v>1236</v>
      </c>
      <c r="DOH2148" s="626" t="s">
        <v>1236</v>
      </c>
      <c r="DOI2148" s="626" t="s">
        <v>1236</v>
      </c>
      <c r="DOJ2148" s="626" t="s">
        <v>1236</v>
      </c>
      <c r="DOK2148" s="626" t="s">
        <v>1236</v>
      </c>
      <c r="DOL2148" s="626" t="s">
        <v>1236</v>
      </c>
      <c r="DOM2148" s="626" t="s">
        <v>1236</v>
      </c>
      <c r="DON2148" s="626" t="s">
        <v>1236</v>
      </c>
      <c r="DOO2148" s="626" t="s">
        <v>1236</v>
      </c>
      <c r="DOP2148" s="626" t="s">
        <v>1236</v>
      </c>
      <c r="DOQ2148" s="626" t="s">
        <v>1236</v>
      </c>
      <c r="DOR2148" s="626" t="s">
        <v>1236</v>
      </c>
      <c r="DOS2148" s="626" t="s">
        <v>1236</v>
      </c>
      <c r="DOT2148" s="626" t="s">
        <v>1236</v>
      </c>
      <c r="DOU2148" s="626" t="s">
        <v>1236</v>
      </c>
      <c r="DOV2148" s="626" t="s">
        <v>1236</v>
      </c>
      <c r="DOW2148" s="626" t="s">
        <v>1236</v>
      </c>
      <c r="DOX2148" s="626" t="s">
        <v>1236</v>
      </c>
      <c r="DOY2148" s="626" t="s">
        <v>1236</v>
      </c>
      <c r="DOZ2148" s="626" t="s">
        <v>1236</v>
      </c>
      <c r="DPA2148" s="626" t="s">
        <v>1236</v>
      </c>
      <c r="DPB2148" s="626" t="s">
        <v>1236</v>
      </c>
      <c r="DPC2148" s="626" t="s">
        <v>1236</v>
      </c>
      <c r="DPD2148" s="626" t="s">
        <v>1236</v>
      </c>
      <c r="DPE2148" s="626" t="s">
        <v>1236</v>
      </c>
      <c r="DPF2148" s="626" t="s">
        <v>1236</v>
      </c>
      <c r="DPG2148" s="626" t="s">
        <v>1236</v>
      </c>
      <c r="DPH2148" s="626" t="s">
        <v>1236</v>
      </c>
      <c r="DPI2148" s="626" t="s">
        <v>1236</v>
      </c>
      <c r="DPJ2148" s="626" t="s">
        <v>1236</v>
      </c>
      <c r="DPK2148" s="626" t="s">
        <v>1236</v>
      </c>
      <c r="DPL2148" s="626" t="s">
        <v>1236</v>
      </c>
      <c r="DPM2148" s="626" t="s">
        <v>1236</v>
      </c>
      <c r="DPN2148" s="626" t="s">
        <v>1236</v>
      </c>
      <c r="DPO2148" s="626" t="s">
        <v>1236</v>
      </c>
      <c r="DPP2148" s="626" t="s">
        <v>1236</v>
      </c>
      <c r="DPQ2148" s="626" t="s">
        <v>1236</v>
      </c>
      <c r="DPR2148" s="626" t="s">
        <v>1236</v>
      </c>
      <c r="DPS2148" s="626" t="s">
        <v>1236</v>
      </c>
      <c r="DPT2148" s="626" t="s">
        <v>1236</v>
      </c>
      <c r="DPU2148" s="626" t="s">
        <v>1236</v>
      </c>
      <c r="DPV2148" s="626" t="s">
        <v>1236</v>
      </c>
      <c r="DPW2148" s="626" t="s">
        <v>1236</v>
      </c>
      <c r="DPX2148" s="626" t="s">
        <v>1236</v>
      </c>
      <c r="DPY2148" s="626" t="s">
        <v>1236</v>
      </c>
      <c r="DPZ2148" s="626" t="s">
        <v>1236</v>
      </c>
      <c r="DQA2148" s="626" t="s">
        <v>1236</v>
      </c>
      <c r="DQB2148" s="626" t="s">
        <v>1236</v>
      </c>
      <c r="DQC2148" s="626" t="s">
        <v>1236</v>
      </c>
      <c r="DQD2148" s="626" t="s">
        <v>1236</v>
      </c>
      <c r="DQE2148" s="626" t="s">
        <v>1236</v>
      </c>
      <c r="DQF2148" s="626" t="s">
        <v>1236</v>
      </c>
      <c r="DQG2148" s="626" t="s">
        <v>1236</v>
      </c>
      <c r="DQH2148" s="626" t="s">
        <v>1236</v>
      </c>
      <c r="DQI2148" s="626" t="s">
        <v>1236</v>
      </c>
      <c r="DQJ2148" s="626" t="s">
        <v>1236</v>
      </c>
      <c r="DQK2148" s="626" t="s">
        <v>1236</v>
      </c>
      <c r="DQL2148" s="626" t="s">
        <v>1236</v>
      </c>
      <c r="DQM2148" s="626" t="s">
        <v>1236</v>
      </c>
      <c r="DQN2148" s="626" t="s">
        <v>1236</v>
      </c>
      <c r="DQO2148" s="626" t="s">
        <v>1236</v>
      </c>
      <c r="DQP2148" s="626" t="s">
        <v>1236</v>
      </c>
      <c r="DQQ2148" s="626" t="s">
        <v>1236</v>
      </c>
      <c r="DQR2148" s="626" t="s">
        <v>1236</v>
      </c>
      <c r="DQS2148" s="626" t="s">
        <v>1236</v>
      </c>
      <c r="DQT2148" s="626" t="s">
        <v>1236</v>
      </c>
      <c r="DQU2148" s="626" t="s">
        <v>1236</v>
      </c>
      <c r="DQV2148" s="626" t="s">
        <v>1236</v>
      </c>
      <c r="DQW2148" s="626" t="s">
        <v>1236</v>
      </c>
      <c r="DQX2148" s="626" t="s">
        <v>1236</v>
      </c>
      <c r="DQY2148" s="626" t="s">
        <v>1236</v>
      </c>
      <c r="DQZ2148" s="626" t="s">
        <v>1236</v>
      </c>
      <c r="DRA2148" s="626" t="s">
        <v>1236</v>
      </c>
      <c r="DRB2148" s="626" t="s">
        <v>1236</v>
      </c>
      <c r="DRC2148" s="626" t="s">
        <v>1236</v>
      </c>
      <c r="DRD2148" s="626" t="s">
        <v>1236</v>
      </c>
      <c r="DRE2148" s="626" t="s">
        <v>1236</v>
      </c>
      <c r="DRF2148" s="626" t="s">
        <v>1236</v>
      </c>
      <c r="DRG2148" s="626" t="s">
        <v>1236</v>
      </c>
      <c r="DRH2148" s="626" t="s">
        <v>1236</v>
      </c>
      <c r="DRI2148" s="626" t="s">
        <v>1236</v>
      </c>
      <c r="DRJ2148" s="626" t="s">
        <v>1236</v>
      </c>
      <c r="DRK2148" s="626" t="s">
        <v>1236</v>
      </c>
      <c r="DRL2148" s="626" t="s">
        <v>1236</v>
      </c>
      <c r="DRM2148" s="626" t="s">
        <v>1236</v>
      </c>
      <c r="DRN2148" s="626" t="s">
        <v>1236</v>
      </c>
      <c r="DRO2148" s="626" t="s">
        <v>1236</v>
      </c>
      <c r="DRP2148" s="626" t="s">
        <v>1236</v>
      </c>
      <c r="DRQ2148" s="626" t="s">
        <v>1236</v>
      </c>
      <c r="DRR2148" s="626" t="s">
        <v>1236</v>
      </c>
      <c r="DRS2148" s="626" t="s">
        <v>1236</v>
      </c>
      <c r="DRT2148" s="626" t="s">
        <v>1236</v>
      </c>
      <c r="DRU2148" s="626" t="s">
        <v>1236</v>
      </c>
      <c r="DRV2148" s="626" t="s">
        <v>1236</v>
      </c>
      <c r="DRW2148" s="626" t="s">
        <v>1236</v>
      </c>
      <c r="DRX2148" s="626" t="s">
        <v>1236</v>
      </c>
      <c r="DRY2148" s="626" t="s">
        <v>1236</v>
      </c>
      <c r="DRZ2148" s="626" t="s">
        <v>1236</v>
      </c>
      <c r="DSA2148" s="626" t="s">
        <v>1236</v>
      </c>
      <c r="DSB2148" s="626" t="s">
        <v>1236</v>
      </c>
      <c r="DSC2148" s="626" t="s">
        <v>1236</v>
      </c>
      <c r="DSD2148" s="626" t="s">
        <v>1236</v>
      </c>
      <c r="DSE2148" s="626" t="s">
        <v>1236</v>
      </c>
      <c r="DSF2148" s="626" t="s">
        <v>1236</v>
      </c>
      <c r="DSG2148" s="626" t="s">
        <v>1236</v>
      </c>
      <c r="DSH2148" s="626" t="s">
        <v>1236</v>
      </c>
      <c r="DSI2148" s="626" t="s">
        <v>1236</v>
      </c>
      <c r="DSJ2148" s="626" t="s">
        <v>1236</v>
      </c>
      <c r="DSK2148" s="626" t="s">
        <v>1236</v>
      </c>
      <c r="DSL2148" s="626" t="s">
        <v>1236</v>
      </c>
      <c r="DSM2148" s="626" t="s">
        <v>1236</v>
      </c>
      <c r="DSN2148" s="626" t="s">
        <v>1236</v>
      </c>
      <c r="DSO2148" s="626" t="s">
        <v>1236</v>
      </c>
      <c r="DSP2148" s="626" t="s">
        <v>1236</v>
      </c>
      <c r="DSQ2148" s="626" t="s">
        <v>1236</v>
      </c>
      <c r="DSR2148" s="626" t="s">
        <v>1236</v>
      </c>
      <c r="DSS2148" s="626" t="s">
        <v>1236</v>
      </c>
      <c r="DST2148" s="626" t="s">
        <v>1236</v>
      </c>
      <c r="DSU2148" s="626" t="s">
        <v>1236</v>
      </c>
      <c r="DSV2148" s="626" t="s">
        <v>1236</v>
      </c>
      <c r="DSW2148" s="626" t="s">
        <v>1236</v>
      </c>
      <c r="DSX2148" s="626" t="s">
        <v>1236</v>
      </c>
      <c r="DSY2148" s="626" t="s">
        <v>1236</v>
      </c>
      <c r="DSZ2148" s="626" t="s">
        <v>1236</v>
      </c>
      <c r="DTA2148" s="626" t="s">
        <v>1236</v>
      </c>
      <c r="DTB2148" s="626" t="s">
        <v>1236</v>
      </c>
      <c r="DTC2148" s="626" t="s">
        <v>1236</v>
      </c>
      <c r="DTD2148" s="626" t="s">
        <v>1236</v>
      </c>
      <c r="DTE2148" s="626" t="s">
        <v>1236</v>
      </c>
      <c r="DTF2148" s="626" t="s">
        <v>1236</v>
      </c>
      <c r="DTG2148" s="626" t="s">
        <v>1236</v>
      </c>
      <c r="DTH2148" s="626" t="s">
        <v>1236</v>
      </c>
      <c r="DTI2148" s="626" t="s">
        <v>1236</v>
      </c>
      <c r="DTJ2148" s="626" t="s">
        <v>1236</v>
      </c>
      <c r="DTK2148" s="626" t="s">
        <v>1236</v>
      </c>
      <c r="DTL2148" s="626" t="s">
        <v>1236</v>
      </c>
      <c r="DTM2148" s="626" t="s">
        <v>1236</v>
      </c>
      <c r="DTN2148" s="626" t="s">
        <v>1236</v>
      </c>
      <c r="DTO2148" s="626" t="s">
        <v>1236</v>
      </c>
      <c r="DTP2148" s="626" t="s">
        <v>1236</v>
      </c>
      <c r="DTQ2148" s="626" t="s">
        <v>1236</v>
      </c>
      <c r="DTR2148" s="626" t="s">
        <v>1236</v>
      </c>
      <c r="DTS2148" s="626" t="s">
        <v>1236</v>
      </c>
      <c r="DTT2148" s="626" t="s">
        <v>1236</v>
      </c>
      <c r="DTU2148" s="626" t="s">
        <v>1236</v>
      </c>
      <c r="DTV2148" s="626" t="s">
        <v>1236</v>
      </c>
      <c r="DTW2148" s="626" t="s">
        <v>1236</v>
      </c>
      <c r="DTX2148" s="626" t="s">
        <v>1236</v>
      </c>
      <c r="DTY2148" s="626" t="s">
        <v>1236</v>
      </c>
      <c r="DTZ2148" s="626" t="s">
        <v>1236</v>
      </c>
      <c r="DUA2148" s="626" t="s">
        <v>1236</v>
      </c>
      <c r="DUB2148" s="626" t="s">
        <v>1236</v>
      </c>
      <c r="DUC2148" s="626" t="s">
        <v>1236</v>
      </c>
      <c r="DUD2148" s="626" t="s">
        <v>1236</v>
      </c>
      <c r="DUE2148" s="626" t="s">
        <v>1236</v>
      </c>
      <c r="DUF2148" s="626" t="s">
        <v>1236</v>
      </c>
      <c r="DUG2148" s="626" t="s">
        <v>1236</v>
      </c>
      <c r="DUH2148" s="626" t="s">
        <v>1236</v>
      </c>
      <c r="DUI2148" s="626" t="s">
        <v>1236</v>
      </c>
      <c r="DUJ2148" s="626" t="s">
        <v>1236</v>
      </c>
      <c r="DUK2148" s="626" t="s">
        <v>1236</v>
      </c>
      <c r="DUL2148" s="626" t="s">
        <v>1236</v>
      </c>
      <c r="DUM2148" s="626" t="s">
        <v>1236</v>
      </c>
      <c r="DUN2148" s="626" t="s">
        <v>1236</v>
      </c>
      <c r="DUO2148" s="626" t="s">
        <v>1236</v>
      </c>
      <c r="DUP2148" s="626" t="s">
        <v>1236</v>
      </c>
      <c r="DUQ2148" s="626" t="s">
        <v>1236</v>
      </c>
      <c r="DUR2148" s="626" t="s">
        <v>1236</v>
      </c>
      <c r="DUS2148" s="626" t="s">
        <v>1236</v>
      </c>
      <c r="DUT2148" s="626" t="s">
        <v>1236</v>
      </c>
      <c r="DUU2148" s="626" t="s">
        <v>1236</v>
      </c>
      <c r="DUV2148" s="626" t="s">
        <v>1236</v>
      </c>
      <c r="DUW2148" s="626" t="s">
        <v>1236</v>
      </c>
      <c r="DUX2148" s="626" t="s">
        <v>1236</v>
      </c>
      <c r="DUY2148" s="626" t="s">
        <v>1236</v>
      </c>
      <c r="DUZ2148" s="626" t="s">
        <v>1236</v>
      </c>
      <c r="DVA2148" s="626" t="s">
        <v>1236</v>
      </c>
      <c r="DVB2148" s="626" t="s">
        <v>1236</v>
      </c>
      <c r="DVC2148" s="626" t="s">
        <v>1236</v>
      </c>
      <c r="DVD2148" s="626" t="s">
        <v>1236</v>
      </c>
      <c r="DVE2148" s="626" t="s">
        <v>1236</v>
      </c>
      <c r="DVF2148" s="626" t="s">
        <v>1236</v>
      </c>
      <c r="DVG2148" s="626" t="s">
        <v>1236</v>
      </c>
      <c r="DVH2148" s="626" t="s">
        <v>1236</v>
      </c>
      <c r="DVI2148" s="626" t="s">
        <v>1236</v>
      </c>
      <c r="DVJ2148" s="626" t="s">
        <v>1236</v>
      </c>
      <c r="DVK2148" s="626" t="s">
        <v>1236</v>
      </c>
      <c r="DVL2148" s="626" t="s">
        <v>1236</v>
      </c>
      <c r="DVM2148" s="626" t="s">
        <v>1236</v>
      </c>
      <c r="DVN2148" s="626" t="s">
        <v>1236</v>
      </c>
      <c r="DVO2148" s="626" t="s">
        <v>1236</v>
      </c>
      <c r="DVP2148" s="626" t="s">
        <v>1236</v>
      </c>
      <c r="DVQ2148" s="626" t="s">
        <v>1236</v>
      </c>
      <c r="DVR2148" s="626" t="s">
        <v>1236</v>
      </c>
      <c r="DVS2148" s="626" t="s">
        <v>1236</v>
      </c>
      <c r="DVT2148" s="626" t="s">
        <v>1236</v>
      </c>
      <c r="DVU2148" s="626" t="s">
        <v>1236</v>
      </c>
      <c r="DVV2148" s="626" t="s">
        <v>1236</v>
      </c>
      <c r="DVW2148" s="626" t="s">
        <v>1236</v>
      </c>
      <c r="DVX2148" s="626" t="s">
        <v>1236</v>
      </c>
      <c r="DVY2148" s="626" t="s">
        <v>1236</v>
      </c>
      <c r="DVZ2148" s="626" t="s">
        <v>1236</v>
      </c>
      <c r="DWA2148" s="626" t="s">
        <v>1236</v>
      </c>
      <c r="DWB2148" s="626" t="s">
        <v>1236</v>
      </c>
      <c r="DWC2148" s="626" t="s">
        <v>1236</v>
      </c>
      <c r="DWD2148" s="626" t="s">
        <v>1236</v>
      </c>
      <c r="DWE2148" s="626" t="s">
        <v>1236</v>
      </c>
      <c r="DWF2148" s="626" t="s">
        <v>1236</v>
      </c>
      <c r="DWG2148" s="626" t="s">
        <v>1236</v>
      </c>
      <c r="DWH2148" s="626" t="s">
        <v>1236</v>
      </c>
      <c r="DWI2148" s="626" t="s">
        <v>1236</v>
      </c>
      <c r="DWJ2148" s="626" t="s">
        <v>1236</v>
      </c>
      <c r="DWK2148" s="626" t="s">
        <v>1236</v>
      </c>
      <c r="DWL2148" s="626" t="s">
        <v>1236</v>
      </c>
      <c r="DWM2148" s="626" t="s">
        <v>1236</v>
      </c>
      <c r="DWN2148" s="626" t="s">
        <v>1236</v>
      </c>
      <c r="DWO2148" s="626" t="s">
        <v>1236</v>
      </c>
      <c r="DWP2148" s="626" t="s">
        <v>1236</v>
      </c>
      <c r="DWQ2148" s="626" t="s">
        <v>1236</v>
      </c>
      <c r="DWR2148" s="626" t="s">
        <v>1236</v>
      </c>
      <c r="DWS2148" s="626" t="s">
        <v>1236</v>
      </c>
      <c r="DWT2148" s="626" t="s">
        <v>1236</v>
      </c>
      <c r="DWU2148" s="626" t="s">
        <v>1236</v>
      </c>
      <c r="DWV2148" s="626" t="s">
        <v>1236</v>
      </c>
      <c r="DWW2148" s="626" t="s">
        <v>1236</v>
      </c>
      <c r="DWX2148" s="626" t="s">
        <v>1236</v>
      </c>
      <c r="DWY2148" s="626" t="s">
        <v>1236</v>
      </c>
      <c r="DWZ2148" s="626" t="s">
        <v>1236</v>
      </c>
      <c r="DXA2148" s="626" t="s">
        <v>1236</v>
      </c>
      <c r="DXB2148" s="626" t="s">
        <v>1236</v>
      </c>
      <c r="DXC2148" s="626" t="s">
        <v>1236</v>
      </c>
      <c r="DXD2148" s="626" t="s">
        <v>1236</v>
      </c>
      <c r="DXE2148" s="626" t="s">
        <v>1236</v>
      </c>
      <c r="DXF2148" s="626" t="s">
        <v>1236</v>
      </c>
      <c r="DXG2148" s="626" t="s">
        <v>1236</v>
      </c>
      <c r="DXH2148" s="626" t="s">
        <v>1236</v>
      </c>
      <c r="DXI2148" s="626" t="s">
        <v>1236</v>
      </c>
      <c r="DXJ2148" s="626" t="s">
        <v>1236</v>
      </c>
      <c r="DXK2148" s="626" t="s">
        <v>1236</v>
      </c>
      <c r="DXL2148" s="626" t="s">
        <v>1236</v>
      </c>
      <c r="DXM2148" s="626" t="s">
        <v>1236</v>
      </c>
      <c r="DXN2148" s="626" t="s">
        <v>1236</v>
      </c>
      <c r="DXO2148" s="626" t="s">
        <v>1236</v>
      </c>
      <c r="DXP2148" s="626" t="s">
        <v>1236</v>
      </c>
      <c r="DXQ2148" s="626" t="s">
        <v>1236</v>
      </c>
      <c r="DXR2148" s="626" t="s">
        <v>1236</v>
      </c>
      <c r="DXS2148" s="626" t="s">
        <v>1236</v>
      </c>
      <c r="DXT2148" s="626" t="s">
        <v>1236</v>
      </c>
      <c r="DXU2148" s="626" t="s">
        <v>1236</v>
      </c>
      <c r="DXV2148" s="626" t="s">
        <v>1236</v>
      </c>
      <c r="DXW2148" s="626" t="s">
        <v>1236</v>
      </c>
      <c r="DXX2148" s="626" t="s">
        <v>1236</v>
      </c>
      <c r="DXY2148" s="626" t="s">
        <v>1236</v>
      </c>
      <c r="DXZ2148" s="626" t="s">
        <v>1236</v>
      </c>
      <c r="DYA2148" s="626" t="s">
        <v>1236</v>
      </c>
      <c r="DYB2148" s="626" t="s">
        <v>1236</v>
      </c>
      <c r="DYC2148" s="626" t="s">
        <v>1236</v>
      </c>
      <c r="DYD2148" s="626" t="s">
        <v>1236</v>
      </c>
      <c r="DYE2148" s="626" t="s">
        <v>1236</v>
      </c>
      <c r="DYF2148" s="626" t="s">
        <v>1236</v>
      </c>
      <c r="DYG2148" s="626" t="s">
        <v>1236</v>
      </c>
      <c r="DYH2148" s="626" t="s">
        <v>1236</v>
      </c>
      <c r="DYI2148" s="626" t="s">
        <v>1236</v>
      </c>
      <c r="DYJ2148" s="626" t="s">
        <v>1236</v>
      </c>
      <c r="DYK2148" s="626" t="s">
        <v>1236</v>
      </c>
      <c r="DYL2148" s="626" t="s">
        <v>1236</v>
      </c>
      <c r="DYM2148" s="626" t="s">
        <v>1236</v>
      </c>
      <c r="DYN2148" s="626" t="s">
        <v>1236</v>
      </c>
      <c r="DYO2148" s="626" t="s">
        <v>1236</v>
      </c>
      <c r="DYP2148" s="626" t="s">
        <v>1236</v>
      </c>
      <c r="DYQ2148" s="626" t="s">
        <v>1236</v>
      </c>
      <c r="DYR2148" s="626" t="s">
        <v>1236</v>
      </c>
      <c r="DYS2148" s="626" t="s">
        <v>1236</v>
      </c>
      <c r="DYT2148" s="626" t="s">
        <v>1236</v>
      </c>
      <c r="DYU2148" s="626" t="s">
        <v>1236</v>
      </c>
      <c r="DYV2148" s="626" t="s">
        <v>1236</v>
      </c>
      <c r="DYW2148" s="626" t="s">
        <v>1236</v>
      </c>
      <c r="DYX2148" s="626" t="s">
        <v>1236</v>
      </c>
      <c r="DYY2148" s="626" t="s">
        <v>1236</v>
      </c>
      <c r="DYZ2148" s="626" t="s">
        <v>1236</v>
      </c>
      <c r="DZA2148" s="626" t="s">
        <v>1236</v>
      </c>
      <c r="DZB2148" s="626" t="s">
        <v>1236</v>
      </c>
      <c r="DZC2148" s="626" t="s">
        <v>1236</v>
      </c>
      <c r="DZD2148" s="626" t="s">
        <v>1236</v>
      </c>
      <c r="DZE2148" s="626" t="s">
        <v>1236</v>
      </c>
      <c r="DZF2148" s="626" t="s">
        <v>1236</v>
      </c>
      <c r="DZG2148" s="626" t="s">
        <v>1236</v>
      </c>
      <c r="DZH2148" s="626" t="s">
        <v>1236</v>
      </c>
      <c r="DZI2148" s="626" t="s">
        <v>1236</v>
      </c>
      <c r="DZJ2148" s="626" t="s">
        <v>1236</v>
      </c>
      <c r="DZK2148" s="626" t="s">
        <v>1236</v>
      </c>
      <c r="DZL2148" s="626" t="s">
        <v>1236</v>
      </c>
      <c r="DZM2148" s="626" t="s">
        <v>1236</v>
      </c>
      <c r="DZN2148" s="626" t="s">
        <v>1236</v>
      </c>
      <c r="DZO2148" s="626" t="s">
        <v>1236</v>
      </c>
      <c r="DZP2148" s="626" t="s">
        <v>1236</v>
      </c>
      <c r="DZQ2148" s="626" t="s">
        <v>1236</v>
      </c>
      <c r="DZR2148" s="626" t="s">
        <v>1236</v>
      </c>
      <c r="DZS2148" s="626" t="s">
        <v>1236</v>
      </c>
      <c r="DZT2148" s="626" t="s">
        <v>1236</v>
      </c>
      <c r="DZU2148" s="626" t="s">
        <v>1236</v>
      </c>
      <c r="DZV2148" s="626" t="s">
        <v>1236</v>
      </c>
      <c r="DZW2148" s="626" t="s">
        <v>1236</v>
      </c>
      <c r="DZX2148" s="626" t="s">
        <v>1236</v>
      </c>
      <c r="DZY2148" s="626" t="s">
        <v>1236</v>
      </c>
      <c r="DZZ2148" s="626" t="s">
        <v>1236</v>
      </c>
      <c r="EAA2148" s="626" t="s">
        <v>1236</v>
      </c>
      <c r="EAB2148" s="626" t="s">
        <v>1236</v>
      </c>
      <c r="EAC2148" s="626" t="s">
        <v>1236</v>
      </c>
      <c r="EAD2148" s="626" t="s">
        <v>1236</v>
      </c>
      <c r="EAE2148" s="626" t="s">
        <v>1236</v>
      </c>
      <c r="EAF2148" s="626" t="s">
        <v>1236</v>
      </c>
      <c r="EAG2148" s="626" t="s">
        <v>1236</v>
      </c>
      <c r="EAH2148" s="626" t="s">
        <v>1236</v>
      </c>
      <c r="EAI2148" s="626" t="s">
        <v>1236</v>
      </c>
      <c r="EAJ2148" s="626" t="s">
        <v>1236</v>
      </c>
      <c r="EAK2148" s="626" t="s">
        <v>1236</v>
      </c>
      <c r="EAL2148" s="626" t="s">
        <v>1236</v>
      </c>
      <c r="EAM2148" s="626" t="s">
        <v>1236</v>
      </c>
      <c r="EAN2148" s="626" t="s">
        <v>1236</v>
      </c>
      <c r="EAO2148" s="626" t="s">
        <v>1236</v>
      </c>
      <c r="EAP2148" s="626" t="s">
        <v>1236</v>
      </c>
      <c r="EAQ2148" s="626" t="s">
        <v>1236</v>
      </c>
      <c r="EAR2148" s="626" t="s">
        <v>1236</v>
      </c>
      <c r="EAS2148" s="626" t="s">
        <v>1236</v>
      </c>
      <c r="EAT2148" s="626" t="s">
        <v>1236</v>
      </c>
      <c r="EAU2148" s="626" t="s">
        <v>1236</v>
      </c>
      <c r="EAV2148" s="626" t="s">
        <v>1236</v>
      </c>
      <c r="EAW2148" s="626" t="s">
        <v>1236</v>
      </c>
      <c r="EAX2148" s="626" t="s">
        <v>1236</v>
      </c>
      <c r="EAY2148" s="626" t="s">
        <v>1236</v>
      </c>
      <c r="EAZ2148" s="626" t="s">
        <v>1236</v>
      </c>
      <c r="EBA2148" s="626" t="s">
        <v>1236</v>
      </c>
      <c r="EBB2148" s="626" t="s">
        <v>1236</v>
      </c>
      <c r="EBC2148" s="626" t="s">
        <v>1236</v>
      </c>
      <c r="EBD2148" s="626" t="s">
        <v>1236</v>
      </c>
      <c r="EBE2148" s="626" t="s">
        <v>1236</v>
      </c>
      <c r="EBF2148" s="626" t="s">
        <v>1236</v>
      </c>
      <c r="EBG2148" s="626" t="s">
        <v>1236</v>
      </c>
      <c r="EBH2148" s="626" t="s">
        <v>1236</v>
      </c>
      <c r="EBI2148" s="626" t="s">
        <v>1236</v>
      </c>
      <c r="EBJ2148" s="626" t="s">
        <v>1236</v>
      </c>
      <c r="EBK2148" s="626" t="s">
        <v>1236</v>
      </c>
      <c r="EBL2148" s="626" t="s">
        <v>1236</v>
      </c>
      <c r="EBM2148" s="626" t="s">
        <v>1236</v>
      </c>
      <c r="EBN2148" s="626" t="s">
        <v>1236</v>
      </c>
      <c r="EBO2148" s="626" t="s">
        <v>1236</v>
      </c>
      <c r="EBP2148" s="626" t="s">
        <v>1236</v>
      </c>
      <c r="EBQ2148" s="626" t="s">
        <v>1236</v>
      </c>
      <c r="EBR2148" s="626" t="s">
        <v>1236</v>
      </c>
      <c r="EBS2148" s="626" t="s">
        <v>1236</v>
      </c>
      <c r="EBT2148" s="626" t="s">
        <v>1236</v>
      </c>
      <c r="EBU2148" s="626" t="s">
        <v>1236</v>
      </c>
      <c r="EBV2148" s="626" t="s">
        <v>1236</v>
      </c>
      <c r="EBW2148" s="626" t="s">
        <v>1236</v>
      </c>
      <c r="EBX2148" s="626" t="s">
        <v>1236</v>
      </c>
      <c r="EBY2148" s="626" t="s">
        <v>1236</v>
      </c>
      <c r="EBZ2148" s="626" t="s">
        <v>1236</v>
      </c>
      <c r="ECA2148" s="626" t="s">
        <v>1236</v>
      </c>
      <c r="ECB2148" s="626" t="s">
        <v>1236</v>
      </c>
      <c r="ECC2148" s="626" t="s">
        <v>1236</v>
      </c>
      <c r="ECD2148" s="626" t="s">
        <v>1236</v>
      </c>
      <c r="ECE2148" s="626" t="s">
        <v>1236</v>
      </c>
      <c r="ECF2148" s="626" t="s">
        <v>1236</v>
      </c>
      <c r="ECG2148" s="626" t="s">
        <v>1236</v>
      </c>
      <c r="ECH2148" s="626" t="s">
        <v>1236</v>
      </c>
      <c r="ECI2148" s="626" t="s">
        <v>1236</v>
      </c>
      <c r="ECJ2148" s="626" t="s">
        <v>1236</v>
      </c>
      <c r="ECK2148" s="626" t="s">
        <v>1236</v>
      </c>
      <c r="ECL2148" s="626" t="s">
        <v>1236</v>
      </c>
      <c r="ECM2148" s="626" t="s">
        <v>1236</v>
      </c>
      <c r="ECN2148" s="626" t="s">
        <v>1236</v>
      </c>
      <c r="ECO2148" s="626" t="s">
        <v>1236</v>
      </c>
      <c r="ECP2148" s="626" t="s">
        <v>1236</v>
      </c>
      <c r="ECQ2148" s="626" t="s">
        <v>1236</v>
      </c>
      <c r="ECR2148" s="626" t="s">
        <v>1236</v>
      </c>
      <c r="ECS2148" s="626" t="s">
        <v>1236</v>
      </c>
      <c r="ECT2148" s="626" t="s">
        <v>1236</v>
      </c>
      <c r="ECU2148" s="626" t="s">
        <v>1236</v>
      </c>
      <c r="ECV2148" s="626" t="s">
        <v>1236</v>
      </c>
      <c r="ECW2148" s="626" t="s">
        <v>1236</v>
      </c>
      <c r="ECX2148" s="626" t="s">
        <v>1236</v>
      </c>
      <c r="ECY2148" s="626" t="s">
        <v>1236</v>
      </c>
      <c r="ECZ2148" s="626" t="s">
        <v>1236</v>
      </c>
      <c r="EDA2148" s="626" t="s">
        <v>1236</v>
      </c>
      <c r="EDB2148" s="626" t="s">
        <v>1236</v>
      </c>
      <c r="EDC2148" s="626" t="s">
        <v>1236</v>
      </c>
      <c r="EDD2148" s="626" t="s">
        <v>1236</v>
      </c>
      <c r="EDE2148" s="626" t="s">
        <v>1236</v>
      </c>
      <c r="EDF2148" s="626" t="s">
        <v>1236</v>
      </c>
      <c r="EDG2148" s="626" t="s">
        <v>1236</v>
      </c>
      <c r="EDH2148" s="626" t="s">
        <v>1236</v>
      </c>
      <c r="EDI2148" s="626" t="s">
        <v>1236</v>
      </c>
      <c r="EDJ2148" s="626" t="s">
        <v>1236</v>
      </c>
      <c r="EDK2148" s="626" t="s">
        <v>1236</v>
      </c>
      <c r="EDL2148" s="626" t="s">
        <v>1236</v>
      </c>
      <c r="EDM2148" s="626" t="s">
        <v>1236</v>
      </c>
      <c r="EDN2148" s="626" t="s">
        <v>1236</v>
      </c>
      <c r="EDO2148" s="626" t="s">
        <v>1236</v>
      </c>
      <c r="EDP2148" s="626" t="s">
        <v>1236</v>
      </c>
      <c r="EDQ2148" s="626" t="s">
        <v>1236</v>
      </c>
      <c r="EDR2148" s="626" t="s">
        <v>1236</v>
      </c>
      <c r="EDS2148" s="626" t="s">
        <v>1236</v>
      </c>
      <c r="EDT2148" s="626" t="s">
        <v>1236</v>
      </c>
      <c r="EDU2148" s="626" t="s">
        <v>1236</v>
      </c>
      <c r="EDV2148" s="626" t="s">
        <v>1236</v>
      </c>
      <c r="EDW2148" s="626" t="s">
        <v>1236</v>
      </c>
      <c r="EDX2148" s="626" t="s">
        <v>1236</v>
      </c>
      <c r="EDY2148" s="626" t="s">
        <v>1236</v>
      </c>
      <c r="EDZ2148" s="626" t="s">
        <v>1236</v>
      </c>
      <c r="EEA2148" s="626" t="s">
        <v>1236</v>
      </c>
      <c r="EEB2148" s="626" t="s">
        <v>1236</v>
      </c>
      <c r="EEC2148" s="626" t="s">
        <v>1236</v>
      </c>
      <c r="EED2148" s="626" t="s">
        <v>1236</v>
      </c>
      <c r="EEE2148" s="626" t="s">
        <v>1236</v>
      </c>
      <c r="EEF2148" s="626" t="s">
        <v>1236</v>
      </c>
      <c r="EEG2148" s="626" t="s">
        <v>1236</v>
      </c>
      <c r="EEH2148" s="626" t="s">
        <v>1236</v>
      </c>
      <c r="EEI2148" s="626" t="s">
        <v>1236</v>
      </c>
      <c r="EEJ2148" s="626" t="s">
        <v>1236</v>
      </c>
      <c r="EEK2148" s="626" t="s">
        <v>1236</v>
      </c>
      <c r="EEL2148" s="626" t="s">
        <v>1236</v>
      </c>
      <c r="EEM2148" s="626" t="s">
        <v>1236</v>
      </c>
      <c r="EEN2148" s="626" t="s">
        <v>1236</v>
      </c>
      <c r="EEO2148" s="626" t="s">
        <v>1236</v>
      </c>
      <c r="EEP2148" s="626" t="s">
        <v>1236</v>
      </c>
      <c r="EEQ2148" s="626" t="s">
        <v>1236</v>
      </c>
      <c r="EER2148" s="626" t="s">
        <v>1236</v>
      </c>
      <c r="EES2148" s="626" t="s">
        <v>1236</v>
      </c>
      <c r="EET2148" s="626" t="s">
        <v>1236</v>
      </c>
      <c r="EEU2148" s="626" t="s">
        <v>1236</v>
      </c>
      <c r="EEV2148" s="626" t="s">
        <v>1236</v>
      </c>
      <c r="EEW2148" s="626" t="s">
        <v>1236</v>
      </c>
      <c r="EEX2148" s="626" t="s">
        <v>1236</v>
      </c>
      <c r="EEY2148" s="626" t="s">
        <v>1236</v>
      </c>
      <c r="EEZ2148" s="626" t="s">
        <v>1236</v>
      </c>
      <c r="EFA2148" s="626" t="s">
        <v>1236</v>
      </c>
      <c r="EFB2148" s="626" t="s">
        <v>1236</v>
      </c>
      <c r="EFC2148" s="626" t="s">
        <v>1236</v>
      </c>
      <c r="EFD2148" s="626" t="s">
        <v>1236</v>
      </c>
      <c r="EFE2148" s="626" t="s">
        <v>1236</v>
      </c>
      <c r="EFF2148" s="626" t="s">
        <v>1236</v>
      </c>
      <c r="EFG2148" s="626" t="s">
        <v>1236</v>
      </c>
      <c r="EFH2148" s="626" t="s">
        <v>1236</v>
      </c>
      <c r="EFI2148" s="626" t="s">
        <v>1236</v>
      </c>
      <c r="EFJ2148" s="626" t="s">
        <v>1236</v>
      </c>
      <c r="EFK2148" s="626" t="s">
        <v>1236</v>
      </c>
      <c r="EFL2148" s="626" t="s">
        <v>1236</v>
      </c>
      <c r="EFM2148" s="626" t="s">
        <v>1236</v>
      </c>
      <c r="EFN2148" s="626" t="s">
        <v>1236</v>
      </c>
      <c r="EFO2148" s="626" t="s">
        <v>1236</v>
      </c>
      <c r="EFP2148" s="626" t="s">
        <v>1236</v>
      </c>
      <c r="EFQ2148" s="626" t="s">
        <v>1236</v>
      </c>
      <c r="EFR2148" s="626" t="s">
        <v>1236</v>
      </c>
      <c r="EFS2148" s="626" t="s">
        <v>1236</v>
      </c>
      <c r="EFT2148" s="626" t="s">
        <v>1236</v>
      </c>
      <c r="EFU2148" s="626" t="s">
        <v>1236</v>
      </c>
      <c r="EFV2148" s="626" t="s">
        <v>1236</v>
      </c>
      <c r="EFW2148" s="626" t="s">
        <v>1236</v>
      </c>
      <c r="EFX2148" s="626" t="s">
        <v>1236</v>
      </c>
      <c r="EFY2148" s="626" t="s">
        <v>1236</v>
      </c>
      <c r="EFZ2148" s="626" t="s">
        <v>1236</v>
      </c>
      <c r="EGA2148" s="626" t="s">
        <v>1236</v>
      </c>
      <c r="EGB2148" s="626" t="s">
        <v>1236</v>
      </c>
      <c r="EGC2148" s="626" t="s">
        <v>1236</v>
      </c>
      <c r="EGD2148" s="626" t="s">
        <v>1236</v>
      </c>
      <c r="EGE2148" s="626" t="s">
        <v>1236</v>
      </c>
      <c r="EGF2148" s="626" t="s">
        <v>1236</v>
      </c>
      <c r="EGG2148" s="626" t="s">
        <v>1236</v>
      </c>
      <c r="EGH2148" s="626" t="s">
        <v>1236</v>
      </c>
      <c r="EGI2148" s="626" t="s">
        <v>1236</v>
      </c>
      <c r="EGJ2148" s="626" t="s">
        <v>1236</v>
      </c>
      <c r="EGK2148" s="626" t="s">
        <v>1236</v>
      </c>
      <c r="EGL2148" s="626" t="s">
        <v>1236</v>
      </c>
      <c r="EGM2148" s="626" t="s">
        <v>1236</v>
      </c>
      <c r="EGN2148" s="626" t="s">
        <v>1236</v>
      </c>
      <c r="EGO2148" s="626" t="s">
        <v>1236</v>
      </c>
      <c r="EGP2148" s="626" t="s">
        <v>1236</v>
      </c>
      <c r="EGQ2148" s="626" t="s">
        <v>1236</v>
      </c>
      <c r="EGR2148" s="626" t="s">
        <v>1236</v>
      </c>
      <c r="EGS2148" s="626" t="s">
        <v>1236</v>
      </c>
      <c r="EGT2148" s="626" t="s">
        <v>1236</v>
      </c>
      <c r="EGU2148" s="626" t="s">
        <v>1236</v>
      </c>
      <c r="EGV2148" s="626" t="s">
        <v>1236</v>
      </c>
      <c r="EGW2148" s="626" t="s">
        <v>1236</v>
      </c>
      <c r="EGX2148" s="626" t="s">
        <v>1236</v>
      </c>
      <c r="EGY2148" s="626" t="s">
        <v>1236</v>
      </c>
      <c r="EGZ2148" s="626" t="s">
        <v>1236</v>
      </c>
      <c r="EHA2148" s="626" t="s">
        <v>1236</v>
      </c>
      <c r="EHB2148" s="626" t="s">
        <v>1236</v>
      </c>
      <c r="EHC2148" s="626" t="s">
        <v>1236</v>
      </c>
      <c r="EHD2148" s="626" t="s">
        <v>1236</v>
      </c>
      <c r="EHE2148" s="626" t="s">
        <v>1236</v>
      </c>
      <c r="EHF2148" s="626" t="s">
        <v>1236</v>
      </c>
      <c r="EHG2148" s="626" t="s">
        <v>1236</v>
      </c>
      <c r="EHH2148" s="626" t="s">
        <v>1236</v>
      </c>
      <c r="EHI2148" s="626" t="s">
        <v>1236</v>
      </c>
      <c r="EHJ2148" s="626" t="s">
        <v>1236</v>
      </c>
      <c r="EHK2148" s="626" t="s">
        <v>1236</v>
      </c>
      <c r="EHL2148" s="626" t="s">
        <v>1236</v>
      </c>
      <c r="EHM2148" s="626" t="s">
        <v>1236</v>
      </c>
      <c r="EHN2148" s="626" t="s">
        <v>1236</v>
      </c>
      <c r="EHO2148" s="626" t="s">
        <v>1236</v>
      </c>
      <c r="EHP2148" s="626" t="s">
        <v>1236</v>
      </c>
      <c r="EHQ2148" s="626" t="s">
        <v>1236</v>
      </c>
      <c r="EHR2148" s="626" t="s">
        <v>1236</v>
      </c>
      <c r="EHS2148" s="626" t="s">
        <v>1236</v>
      </c>
      <c r="EHT2148" s="626" t="s">
        <v>1236</v>
      </c>
      <c r="EHU2148" s="626" t="s">
        <v>1236</v>
      </c>
      <c r="EHV2148" s="626" t="s">
        <v>1236</v>
      </c>
      <c r="EHW2148" s="626" t="s">
        <v>1236</v>
      </c>
      <c r="EHX2148" s="626" t="s">
        <v>1236</v>
      </c>
      <c r="EHY2148" s="626" t="s">
        <v>1236</v>
      </c>
      <c r="EHZ2148" s="626" t="s">
        <v>1236</v>
      </c>
      <c r="EIA2148" s="626" t="s">
        <v>1236</v>
      </c>
      <c r="EIB2148" s="626" t="s">
        <v>1236</v>
      </c>
      <c r="EIC2148" s="626" t="s">
        <v>1236</v>
      </c>
      <c r="EID2148" s="626" t="s">
        <v>1236</v>
      </c>
      <c r="EIE2148" s="626" t="s">
        <v>1236</v>
      </c>
      <c r="EIF2148" s="626" t="s">
        <v>1236</v>
      </c>
      <c r="EIG2148" s="626" t="s">
        <v>1236</v>
      </c>
      <c r="EIH2148" s="626" t="s">
        <v>1236</v>
      </c>
      <c r="EII2148" s="626" t="s">
        <v>1236</v>
      </c>
      <c r="EIJ2148" s="626" t="s">
        <v>1236</v>
      </c>
      <c r="EIK2148" s="626" t="s">
        <v>1236</v>
      </c>
      <c r="EIL2148" s="626" t="s">
        <v>1236</v>
      </c>
      <c r="EIM2148" s="626" t="s">
        <v>1236</v>
      </c>
      <c r="EIN2148" s="626" t="s">
        <v>1236</v>
      </c>
      <c r="EIO2148" s="626" t="s">
        <v>1236</v>
      </c>
      <c r="EIP2148" s="626" t="s">
        <v>1236</v>
      </c>
      <c r="EIQ2148" s="626" t="s">
        <v>1236</v>
      </c>
      <c r="EIR2148" s="626" t="s">
        <v>1236</v>
      </c>
      <c r="EIS2148" s="626" t="s">
        <v>1236</v>
      </c>
      <c r="EIT2148" s="626" t="s">
        <v>1236</v>
      </c>
      <c r="EIU2148" s="626" t="s">
        <v>1236</v>
      </c>
      <c r="EIV2148" s="626" t="s">
        <v>1236</v>
      </c>
      <c r="EIW2148" s="626" t="s">
        <v>1236</v>
      </c>
      <c r="EIX2148" s="626" t="s">
        <v>1236</v>
      </c>
      <c r="EIY2148" s="626" t="s">
        <v>1236</v>
      </c>
      <c r="EIZ2148" s="626" t="s">
        <v>1236</v>
      </c>
      <c r="EJA2148" s="626" t="s">
        <v>1236</v>
      </c>
      <c r="EJB2148" s="626" t="s">
        <v>1236</v>
      </c>
      <c r="EJC2148" s="626" t="s">
        <v>1236</v>
      </c>
      <c r="EJD2148" s="626" t="s">
        <v>1236</v>
      </c>
      <c r="EJE2148" s="626" t="s">
        <v>1236</v>
      </c>
      <c r="EJF2148" s="626" t="s">
        <v>1236</v>
      </c>
      <c r="EJG2148" s="626" t="s">
        <v>1236</v>
      </c>
      <c r="EJH2148" s="626" t="s">
        <v>1236</v>
      </c>
      <c r="EJI2148" s="626" t="s">
        <v>1236</v>
      </c>
      <c r="EJJ2148" s="626" t="s">
        <v>1236</v>
      </c>
      <c r="EJK2148" s="626" t="s">
        <v>1236</v>
      </c>
      <c r="EJL2148" s="626" t="s">
        <v>1236</v>
      </c>
      <c r="EJM2148" s="626" t="s">
        <v>1236</v>
      </c>
      <c r="EJN2148" s="626" t="s">
        <v>1236</v>
      </c>
      <c r="EJO2148" s="626" t="s">
        <v>1236</v>
      </c>
      <c r="EJP2148" s="626" t="s">
        <v>1236</v>
      </c>
      <c r="EJQ2148" s="626" t="s">
        <v>1236</v>
      </c>
      <c r="EJR2148" s="626" t="s">
        <v>1236</v>
      </c>
      <c r="EJS2148" s="626" t="s">
        <v>1236</v>
      </c>
      <c r="EJT2148" s="626" t="s">
        <v>1236</v>
      </c>
      <c r="EJU2148" s="626" t="s">
        <v>1236</v>
      </c>
      <c r="EJV2148" s="626" t="s">
        <v>1236</v>
      </c>
      <c r="EJW2148" s="626" t="s">
        <v>1236</v>
      </c>
      <c r="EJX2148" s="626" t="s">
        <v>1236</v>
      </c>
      <c r="EJY2148" s="626" t="s">
        <v>1236</v>
      </c>
      <c r="EJZ2148" s="626" t="s">
        <v>1236</v>
      </c>
      <c r="EKA2148" s="626" t="s">
        <v>1236</v>
      </c>
      <c r="EKB2148" s="626" t="s">
        <v>1236</v>
      </c>
      <c r="EKC2148" s="626" t="s">
        <v>1236</v>
      </c>
      <c r="EKD2148" s="626" t="s">
        <v>1236</v>
      </c>
      <c r="EKE2148" s="626" t="s">
        <v>1236</v>
      </c>
      <c r="EKF2148" s="626" t="s">
        <v>1236</v>
      </c>
      <c r="EKG2148" s="626" t="s">
        <v>1236</v>
      </c>
      <c r="EKH2148" s="626" t="s">
        <v>1236</v>
      </c>
      <c r="EKI2148" s="626" t="s">
        <v>1236</v>
      </c>
      <c r="EKJ2148" s="626" t="s">
        <v>1236</v>
      </c>
      <c r="EKK2148" s="626" t="s">
        <v>1236</v>
      </c>
      <c r="EKL2148" s="626" t="s">
        <v>1236</v>
      </c>
      <c r="EKM2148" s="626" t="s">
        <v>1236</v>
      </c>
      <c r="EKN2148" s="626" t="s">
        <v>1236</v>
      </c>
      <c r="EKO2148" s="626" t="s">
        <v>1236</v>
      </c>
      <c r="EKP2148" s="626" t="s">
        <v>1236</v>
      </c>
      <c r="EKQ2148" s="626" t="s">
        <v>1236</v>
      </c>
      <c r="EKR2148" s="626" t="s">
        <v>1236</v>
      </c>
      <c r="EKS2148" s="626" t="s">
        <v>1236</v>
      </c>
      <c r="EKT2148" s="626" t="s">
        <v>1236</v>
      </c>
      <c r="EKU2148" s="626" t="s">
        <v>1236</v>
      </c>
      <c r="EKV2148" s="626" t="s">
        <v>1236</v>
      </c>
      <c r="EKW2148" s="626" t="s">
        <v>1236</v>
      </c>
      <c r="EKX2148" s="626" t="s">
        <v>1236</v>
      </c>
      <c r="EKY2148" s="626" t="s">
        <v>1236</v>
      </c>
      <c r="EKZ2148" s="626" t="s">
        <v>1236</v>
      </c>
      <c r="ELA2148" s="626" t="s">
        <v>1236</v>
      </c>
      <c r="ELB2148" s="626" t="s">
        <v>1236</v>
      </c>
      <c r="ELC2148" s="626" t="s">
        <v>1236</v>
      </c>
      <c r="ELD2148" s="626" t="s">
        <v>1236</v>
      </c>
      <c r="ELE2148" s="626" t="s">
        <v>1236</v>
      </c>
      <c r="ELF2148" s="626" t="s">
        <v>1236</v>
      </c>
      <c r="ELG2148" s="626" t="s">
        <v>1236</v>
      </c>
      <c r="ELH2148" s="626" t="s">
        <v>1236</v>
      </c>
      <c r="ELI2148" s="626" t="s">
        <v>1236</v>
      </c>
      <c r="ELJ2148" s="626" t="s">
        <v>1236</v>
      </c>
      <c r="ELK2148" s="626" t="s">
        <v>1236</v>
      </c>
      <c r="ELL2148" s="626" t="s">
        <v>1236</v>
      </c>
      <c r="ELM2148" s="626" t="s">
        <v>1236</v>
      </c>
      <c r="ELN2148" s="626" t="s">
        <v>1236</v>
      </c>
      <c r="ELO2148" s="626" t="s">
        <v>1236</v>
      </c>
      <c r="ELP2148" s="626" t="s">
        <v>1236</v>
      </c>
      <c r="ELQ2148" s="626" t="s">
        <v>1236</v>
      </c>
      <c r="ELR2148" s="626" t="s">
        <v>1236</v>
      </c>
      <c r="ELS2148" s="626" t="s">
        <v>1236</v>
      </c>
      <c r="ELT2148" s="626" t="s">
        <v>1236</v>
      </c>
      <c r="ELU2148" s="626" t="s">
        <v>1236</v>
      </c>
      <c r="ELV2148" s="626" t="s">
        <v>1236</v>
      </c>
      <c r="ELW2148" s="626" t="s">
        <v>1236</v>
      </c>
      <c r="ELX2148" s="626" t="s">
        <v>1236</v>
      </c>
      <c r="ELY2148" s="626" t="s">
        <v>1236</v>
      </c>
      <c r="ELZ2148" s="626" t="s">
        <v>1236</v>
      </c>
      <c r="EMA2148" s="626" t="s">
        <v>1236</v>
      </c>
      <c r="EMB2148" s="626" t="s">
        <v>1236</v>
      </c>
      <c r="EMC2148" s="626" t="s">
        <v>1236</v>
      </c>
      <c r="EMD2148" s="626" t="s">
        <v>1236</v>
      </c>
      <c r="EME2148" s="626" t="s">
        <v>1236</v>
      </c>
      <c r="EMF2148" s="626" t="s">
        <v>1236</v>
      </c>
      <c r="EMG2148" s="626" t="s">
        <v>1236</v>
      </c>
      <c r="EMH2148" s="626" t="s">
        <v>1236</v>
      </c>
      <c r="EMI2148" s="626" t="s">
        <v>1236</v>
      </c>
      <c r="EMJ2148" s="626" t="s">
        <v>1236</v>
      </c>
      <c r="EMK2148" s="626" t="s">
        <v>1236</v>
      </c>
      <c r="EML2148" s="626" t="s">
        <v>1236</v>
      </c>
      <c r="EMM2148" s="626" t="s">
        <v>1236</v>
      </c>
      <c r="EMN2148" s="626" t="s">
        <v>1236</v>
      </c>
      <c r="EMO2148" s="626" t="s">
        <v>1236</v>
      </c>
      <c r="EMP2148" s="626" t="s">
        <v>1236</v>
      </c>
      <c r="EMQ2148" s="626" t="s">
        <v>1236</v>
      </c>
      <c r="EMR2148" s="626" t="s">
        <v>1236</v>
      </c>
      <c r="EMS2148" s="626" t="s">
        <v>1236</v>
      </c>
      <c r="EMT2148" s="626" t="s">
        <v>1236</v>
      </c>
      <c r="EMU2148" s="626" t="s">
        <v>1236</v>
      </c>
      <c r="EMV2148" s="626" t="s">
        <v>1236</v>
      </c>
      <c r="EMW2148" s="626" t="s">
        <v>1236</v>
      </c>
      <c r="EMX2148" s="626" t="s">
        <v>1236</v>
      </c>
      <c r="EMY2148" s="626" t="s">
        <v>1236</v>
      </c>
      <c r="EMZ2148" s="626" t="s">
        <v>1236</v>
      </c>
      <c r="ENA2148" s="626" t="s">
        <v>1236</v>
      </c>
      <c r="ENB2148" s="626" t="s">
        <v>1236</v>
      </c>
      <c r="ENC2148" s="626" t="s">
        <v>1236</v>
      </c>
      <c r="END2148" s="626" t="s">
        <v>1236</v>
      </c>
      <c r="ENE2148" s="626" t="s">
        <v>1236</v>
      </c>
      <c r="ENF2148" s="626" t="s">
        <v>1236</v>
      </c>
      <c r="ENG2148" s="626" t="s">
        <v>1236</v>
      </c>
      <c r="ENH2148" s="626" t="s">
        <v>1236</v>
      </c>
      <c r="ENI2148" s="626" t="s">
        <v>1236</v>
      </c>
      <c r="ENJ2148" s="626" t="s">
        <v>1236</v>
      </c>
      <c r="ENK2148" s="626" t="s">
        <v>1236</v>
      </c>
      <c r="ENL2148" s="626" t="s">
        <v>1236</v>
      </c>
      <c r="ENM2148" s="626" t="s">
        <v>1236</v>
      </c>
      <c r="ENN2148" s="626" t="s">
        <v>1236</v>
      </c>
      <c r="ENO2148" s="626" t="s">
        <v>1236</v>
      </c>
      <c r="ENP2148" s="626" t="s">
        <v>1236</v>
      </c>
      <c r="ENQ2148" s="626" t="s">
        <v>1236</v>
      </c>
      <c r="ENR2148" s="626" t="s">
        <v>1236</v>
      </c>
      <c r="ENS2148" s="626" t="s">
        <v>1236</v>
      </c>
      <c r="ENT2148" s="626" t="s">
        <v>1236</v>
      </c>
      <c r="ENU2148" s="626" t="s">
        <v>1236</v>
      </c>
      <c r="ENV2148" s="626" t="s">
        <v>1236</v>
      </c>
      <c r="ENW2148" s="626" t="s">
        <v>1236</v>
      </c>
      <c r="ENX2148" s="626" t="s">
        <v>1236</v>
      </c>
      <c r="ENY2148" s="626" t="s">
        <v>1236</v>
      </c>
      <c r="ENZ2148" s="626" t="s">
        <v>1236</v>
      </c>
      <c r="EOA2148" s="626" t="s">
        <v>1236</v>
      </c>
      <c r="EOB2148" s="626" t="s">
        <v>1236</v>
      </c>
      <c r="EOC2148" s="626" t="s">
        <v>1236</v>
      </c>
      <c r="EOD2148" s="626" t="s">
        <v>1236</v>
      </c>
      <c r="EOE2148" s="626" t="s">
        <v>1236</v>
      </c>
      <c r="EOF2148" s="626" t="s">
        <v>1236</v>
      </c>
      <c r="EOG2148" s="626" t="s">
        <v>1236</v>
      </c>
      <c r="EOH2148" s="626" t="s">
        <v>1236</v>
      </c>
      <c r="EOI2148" s="626" t="s">
        <v>1236</v>
      </c>
      <c r="EOJ2148" s="626" t="s">
        <v>1236</v>
      </c>
      <c r="EOK2148" s="626" t="s">
        <v>1236</v>
      </c>
      <c r="EOL2148" s="626" t="s">
        <v>1236</v>
      </c>
      <c r="EOM2148" s="626" t="s">
        <v>1236</v>
      </c>
      <c r="EON2148" s="626" t="s">
        <v>1236</v>
      </c>
      <c r="EOO2148" s="626" t="s">
        <v>1236</v>
      </c>
      <c r="EOP2148" s="626" t="s">
        <v>1236</v>
      </c>
      <c r="EOQ2148" s="626" t="s">
        <v>1236</v>
      </c>
      <c r="EOR2148" s="626" t="s">
        <v>1236</v>
      </c>
      <c r="EOS2148" s="626" t="s">
        <v>1236</v>
      </c>
      <c r="EOT2148" s="626" t="s">
        <v>1236</v>
      </c>
      <c r="EOU2148" s="626" t="s">
        <v>1236</v>
      </c>
      <c r="EOV2148" s="626" t="s">
        <v>1236</v>
      </c>
      <c r="EOW2148" s="626" t="s">
        <v>1236</v>
      </c>
      <c r="EOX2148" s="626" t="s">
        <v>1236</v>
      </c>
      <c r="EOY2148" s="626" t="s">
        <v>1236</v>
      </c>
      <c r="EOZ2148" s="626" t="s">
        <v>1236</v>
      </c>
      <c r="EPA2148" s="626" t="s">
        <v>1236</v>
      </c>
      <c r="EPB2148" s="626" t="s">
        <v>1236</v>
      </c>
      <c r="EPC2148" s="626" t="s">
        <v>1236</v>
      </c>
      <c r="EPD2148" s="626" t="s">
        <v>1236</v>
      </c>
      <c r="EPE2148" s="626" t="s">
        <v>1236</v>
      </c>
      <c r="EPF2148" s="626" t="s">
        <v>1236</v>
      </c>
      <c r="EPG2148" s="626" t="s">
        <v>1236</v>
      </c>
      <c r="EPH2148" s="626" t="s">
        <v>1236</v>
      </c>
      <c r="EPI2148" s="626" t="s">
        <v>1236</v>
      </c>
      <c r="EPJ2148" s="626" t="s">
        <v>1236</v>
      </c>
      <c r="EPK2148" s="626" t="s">
        <v>1236</v>
      </c>
      <c r="EPL2148" s="626" t="s">
        <v>1236</v>
      </c>
      <c r="EPM2148" s="626" t="s">
        <v>1236</v>
      </c>
      <c r="EPN2148" s="626" t="s">
        <v>1236</v>
      </c>
      <c r="EPO2148" s="626" t="s">
        <v>1236</v>
      </c>
      <c r="EPP2148" s="626" t="s">
        <v>1236</v>
      </c>
      <c r="EPQ2148" s="626" t="s">
        <v>1236</v>
      </c>
      <c r="EPR2148" s="626" t="s">
        <v>1236</v>
      </c>
      <c r="EPS2148" s="626" t="s">
        <v>1236</v>
      </c>
      <c r="EPT2148" s="626" t="s">
        <v>1236</v>
      </c>
      <c r="EPU2148" s="626" t="s">
        <v>1236</v>
      </c>
      <c r="EPV2148" s="626" t="s">
        <v>1236</v>
      </c>
      <c r="EPW2148" s="626" t="s">
        <v>1236</v>
      </c>
      <c r="EPX2148" s="626" t="s">
        <v>1236</v>
      </c>
      <c r="EPY2148" s="626" t="s">
        <v>1236</v>
      </c>
      <c r="EPZ2148" s="626" t="s">
        <v>1236</v>
      </c>
      <c r="EQA2148" s="626" t="s">
        <v>1236</v>
      </c>
      <c r="EQB2148" s="626" t="s">
        <v>1236</v>
      </c>
      <c r="EQC2148" s="626" t="s">
        <v>1236</v>
      </c>
      <c r="EQD2148" s="626" t="s">
        <v>1236</v>
      </c>
      <c r="EQE2148" s="626" t="s">
        <v>1236</v>
      </c>
      <c r="EQF2148" s="626" t="s">
        <v>1236</v>
      </c>
      <c r="EQG2148" s="626" t="s">
        <v>1236</v>
      </c>
      <c r="EQH2148" s="626" t="s">
        <v>1236</v>
      </c>
      <c r="EQI2148" s="626" t="s">
        <v>1236</v>
      </c>
      <c r="EQJ2148" s="626" t="s">
        <v>1236</v>
      </c>
      <c r="EQK2148" s="626" t="s">
        <v>1236</v>
      </c>
      <c r="EQL2148" s="626" t="s">
        <v>1236</v>
      </c>
      <c r="EQM2148" s="626" t="s">
        <v>1236</v>
      </c>
      <c r="EQN2148" s="626" t="s">
        <v>1236</v>
      </c>
      <c r="EQO2148" s="626" t="s">
        <v>1236</v>
      </c>
      <c r="EQP2148" s="626" t="s">
        <v>1236</v>
      </c>
      <c r="EQQ2148" s="626" t="s">
        <v>1236</v>
      </c>
      <c r="EQR2148" s="626" t="s">
        <v>1236</v>
      </c>
      <c r="EQS2148" s="626" t="s">
        <v>1236</v>
      </c>
      <c r="EQT2148" s="626" t="s">
        <v>1236</v>
      </c>
      <c r="EQU2148" s="626" t="s">
        <v>1236</v>
      </c>
      <c r="EQV2148" s="626" t="s">
        <v>1236</v>
      </c>
      <c r="EQW2148" s="626" t="s">
        <v>1236</v>
      </c>
      <c r="EQX2148" s="626" t="s">
        <v>1236</v>
      </c>
      <c r="EQY2148" s="626" t="s">
        <v>1236</v>
      </c>
      <c r="EQZ2148" s="626" t="s">
        <v>1236</v>
      </c>
      <c r="ERA2148" s="626" t="s">
        <v>1236</v>
      </c>
      <c r="ERB2148" s="626" t="s">
        <v>1236</v>
      </c>
      <c r="ERC2148" s="626" t="s">
        <v>1236</v>
      </c>
      <c r="ERD2148" s="626" t="s">
        <v>1236</v>
      </c>
      <c r="ERE2148" s="626" t="s">
        <v>1236</v>
      </c>
      <c r="ERF2148" s="626" t="s">
        <v>1236</v>
      </c>
      <c r="ERG2148" s="626" t="s">
        <v>1236</v>
      </c>
      <c r="ERH2148" s="626" t="s">
        <v>1236</v>
      </c>
      <c r="ERI2148" s="626" t="s">
        <v>1236</v>
      </c>
      <c r="ERJ2148" s="626" t="s">
        <v>1236</v>
      </c>
      <c r="ERK2148" s="626" t="s">
        <v>1236</v>
      </c>
      <c r="ERL2148" s="626" t="s">
        <v>1236</v>
      </c>
      <c r="ERM2148" s="626" t="s">
        <v>1236</v>
      </c>
      <c r="ERN2148" s="626" t="s">
        <v>1236</v>
      </c>
      <c r="ERO2148" s="626" t="s">
        <v>1236</v>
      </c>
      <c r="ERP2148" s="626" t="s">
        <v>1236</v>
      </c>
      <c r="ERQ2148" s="626" t="s">
        <v>1236</v>
      </c>
      <c r="ERR2148" s="626" t="s">
        <v>1236</v>
      </c>
      <c r="ERS2148" s="626" t="s">
        <v>1236</v>
      </c>
      <c r="ERT2148" s="626" t="s">
        <v>1236</v>
      </c>
      <c r="ERU2148" s="626" t="s">
        <v>1236</v>
      </c>
      <c r="ERV2148" s="626" t="s">
        <v>1236</v>
      </c>
      <c r="ERW2148" s="626" t="s">
        <v>1236</v>
      </c>
      <c r="ERX2148" s="626" t="s">
        <v>1236</v>
      </c>
      <c r="ERY2148" s="626" t="s">
        <v>1236</v>
      </c>
      <c r="ERZ2148" s="626" t="s">
        <v>1236</v>
      </c>
      <c r="ESA2148" s="626" t="s">
        <v>1236</v>
      </c>
      <c r="ESB2148" s="626" t="s">
        <v>1236</v>
      </c>
      <c r="ESC2148" s="626" t="s">
        <v>1236</v>
      </c>
      <c r="ESD2148" s="626" t="s">
        <v>1236</v>
      </c>
      <c r="ESE2148" s="626" t="s">
        <v>1236</v>
      </c>
      <c r="ESF2148" s="626" t="s">
        <v>1236</v>
      </c>
      <c r="ESG2148" s="626" t="s">
        <v>1236</v>
      </c>
      <c r="ESH2148" s="626" t="s">
        <v>1236</v>
      </c>
      <c r="ESI2148" s="626" t="s">
        <v>1236</v>
      </c>
      <c r="ESJ2148" s="626" t="s">
        <v>1236</v>
      </c>
      <c r="ESK2148" s="626" t="s">
        <v>1236</v>
      </c>
      <c r="ESL2148" s="626" t="s">
        <v>1236</v>
      </c>
      <c r="ESM2148" s="626" t="s">
        <v>1236</v>
      </c>
      <c r="ESN2148" s="626" t="s">
        <v>1236</v>
      </c>
      <c r="ESO2148" s="626" t="s">
        <v>1236</v>
      </c>
      <c r="ESP2148" s="626" t="s">
        <v>1236</v>
      </c>
      <c r="ESQ2148" s="626" t="s">
        <v>1236</v>
      </c>
      <c r="ESR2148" s="626" t="s">
        <v>1236</v>
      </c>
      <c r="ESS2148" s="626" t="s">
        <v>1236</v>
      </c>
      <c r="EST2148" s="626" t="s">
        <v>1236</v>
      </c>
      <c r="ESU2148" s="626" t="s">
        <v>1236</v>
      </c>
      <c r="ESV2148" s="626" t="s">
        <v>1236</v>
      </c>
      <c r="ESW2148" s="626" t="s">
        <v>1236</v>
      </c>
      <c r="ESX2148" s="626" t="s">
        <v>1236</v>
      </c>
      <c r="ESY2148" s="626" t="s">
        <v>1236</v>
      </c>
      <c r="ESZ2148" s="626" t="s">
        <v>1236</v>
      </c>
      <c r="ETA2148" s="626" t="s">
        <v>1236</v>
      </c>
      <c r="ETB2148" s="626" t="s">
        <v>1236</v>
      </c>
      <c r="ETC2148" s="626" t="s">
        <v>1236</v>
      </c>
      <c r="ETD2148" s="626" t="s">
        <v>1236</v>
      </c>
      <c r="ETE2148" s="626" t="s">
        <v>1236</v>
      </c>
      <c r="ETF2148" s="626" t="s">
        <v>1236</v>
      </c>
      <c r="ETG2148" s="626" t="s">
        <v>1236</v>
      </c>
      <c r="ETH2148" s="626" t="s">
        <v>1236</v>
      </c>
      <c r="ETI2148" s="626" t="s">
        <v>1236</v>
      </c>
      <c r="ETJ2148" s="626" t="s">
        <v>1236</v>
      </c>
      <c r="ETK2148" s="626" t="s">
        <v>1236</v>
      </c>
      <c r="ETL2148" s="626" t="s">
        <v>1236</v>
      </c>
      <c r="ETM2148" s="626" t="s">
        <v>1236</v>
      </c>
      <c r="ETN2148" s="626" t="s">
        <v>1236</v>
      </c>
      <c r="ETO2148" s="626" t="s">
        <v>1236</v>
      </c>
      <c r="ETP2148" s="626" t="s">
        <v>1236</v>
      </c>
      <c r="ETQ2148" s="626" t="s">
        <v>1236</v>
      </c>
      <c r="ETR2148" s="626" t="s">
        <v>1236</v>
      </c>
      <c r="ETS2148" s="626" t="s">
        <v>1236</v>
      </c>
      <c r="ETT2148" s="626" t="s">
        <v>1236</v>
      </c>
      <c r="ETU2148" s="626" t="s">
        <v>1236</v>
      </c>
      <c r="ETV2148" s="626" t="s">
        <v>1236</v>
      </c>
      <c r="ETW2148" s="626" t="s">
        <v>1236</v>
      </c>
      <c r="ETX2148" s="626" t="s">
        <v>1236</v>
      </c>
      <c r="ETY2148" s="626" t="s">
        <v>1236</v>
      </c>
      <c r="ETZ2148" s="626" t="s">
        <v>1236</v>
      </c>
      <c r="EUA2148" s="626" t="s">
        <v>1236</v>
      </c>
      <c r="EUB2148" s="626" t="s">
        <v>1236</v>
      </c>
      <c r="EUC2148" s="626" t="s">
        <v>1236</v>
      </c>
      <c r="EUD2148" s="626" t="s">
        <v>1236</v>
      </c>
      <c r="EUE2148" s="626" t="s">
        <v>1236</v>
      </c>
      <c r="EUF2148" s="626" t="s">
        <v>1236</v>
      </c>
      <c r="EUG2148" s="626" t="s">
        <v>1236</v>
      </c>
      <c r="EUH2148" s="626" t="s">
        <v>1236</v>
      </c>
      <c r="EUI2148" s="626" t="s">
        <v>1236</v>
      </c>
      <c r="EUJ2148" s="626" t="s">
        <v>1236</v>
      </c>
      <c r="EUK2148" s="626" t="s">
        <v>1236</v>
      </c>
      <c r="EUL2148" s="626" t="s">
        <v>1236</v>
      </c>
      <c r="EUM2148" s="626" t="s">
        <v>1236</v>
      </c>
      <c r="EUN2148" s="626" t="s">
        <v>1236</v>
      </c>
      <c r="EUO2148" s="626" t="s">
        <v>1236</v>
      </c>
      <c r="EUP2148" s="626" t="s">
        <v>1236</v>
      </c>
      <c r="EUQ2148" s="626" t="s">
        <v>1236</v>
      </c>
      <c r="EUR2148" s="626" t="s">
        <v>1236</v>
      </c>
      <c r="EUS2148" s="626" t="s">
        <v>1236</v>
      </c>
      <c r="EUT2148" s="626" t="s">
        <v>1236</v>
      </c>
      <c r="EUU2148" s="626" t="s">
        <v>1236</v>
      </c>
      <c r="EUV2148" s="626" t="s">
        <v>1236</v>
      </c>
      <c r="EUW2148" s="626" t="s">
        <v>1236</v>
      </c>
      <c r="EUX2148" s="626" t="s">
        <v>1236</v>
      </c>
      <c r="EUY2148" s="626" t="s">
        <v>1236</v>
      </c>
      <c r="EUZ2148" s="626" t="s">
        <v>1236</v>
      </c>
      <c r="EVA2148" s="626" t="s">
        <v>1236</v>
      </c>
      <c r="EVB2148" s="626" t="s">
        <v>1236</v>
      </c>
      <c r="EVC2148" s="626" t="s">
        <v>1236</v>
      </c>
      <c r="EVD2148" s="626" t="s">
        <v>1236</v>
      </c>
      <c r="EVE2148" s="626" t="s">
        <v>1236</v>
      </c>
      <c r="EVF2148" s="626" t="s">
        <v>1236</v>
      </c>
      <c r="EVG2148" s="626" t="s">
        <v>1236</v>
      </c>
      <c r="EVH2148" s="626" t="s">
        <v>1236</v>
      </c>
      <c r="EVI2148" s="626" t="s">
        <v>1236</v>
      </c>
      <c r="EVJ2148" s="626" t="s">
        <v>1236</v>
      </c>
      <c r="EVK2148" s="626" t="s">
        <v>1236</v>
      </c>
      <c r="EVL2148" s="626" t="s">
        <v>1236</v>
      </c>
      <c r="EVM2148" s="626" t="s">
        <v>1236</v>
      </c>
      <c r="EVN2148" s="626" t="s">
        <v>1236</v>
      </c>
      <c r="EVO2148" s="626" t="s">
        <v>1236</v>
      </c>
      <c r="EVP2148" s="626" t="s">
        <v>1236</v>
      </c>
      <c r="EVQ2148" s="626" t="s">
        <v>1236</v>
      </c>
      <c r="EVR2148" s="626" t="s">
        <v>1236</v>
      </c>
      <c r="EVS2148" s="626" t="s">
        <v>1236</v>
      </c>
      <c r="EVT2148" s="626" t="s">
        <v>1236</v>
      </c>
      <c r="EVU2148" s="626" t="s">
        <v>1236</v>
      </c>
      <c r="EVV2148" s="626" t="s">
        <v>1236</v>
      </c>
      <c r="EVW2148" s="626" t="s">
        <v>1236</v>
      </c>
      <c r="EVX2148" s="626" t="s">
        <v>1236</v>
      </c>
      <c r="EVY2148" s="626" t="s">
        <v>1236</v>
      </c>
      <c r="EVZ2148" s="626" t="s">
        <v>1236</v>
      </c>
      <c r="EWA2148" s="626" t="s">
        <v>1236</v>
      </c>
      <c r="EWB2148" s="626" t="s">
        <v>1236</v>
      </c>
      <c r="EWC2148" s="626" t="s">
        <v>1236</v>
      </c>
      <c r="EWD2148" s="626" t="s">
        <v>1236</v>
      </c>
      <c r="EWE2148" s="626" t="s">
        <v>1236</v>
      </c>
      <c r="EWF2148" s="626" t="s">
        <v>1236</v>
      </c>
      <c r="EWG2148" s="626" t="s">
        <v>1236</v>
      </c>
      <c r="EWH2148" s="626" t="s">
        <v>1236</v>
      </c>
      <c r="EWI2148" s="626" t="s">
        <v>1236</v>
      </c>
      <c r="EWJ2148" s="626" t="s">
        <v>1236</v>
      </c>
      <c r="EWK2148" s="626" t="s">
        <v>1236</v>
      </c>
      <c r="EWL2148" s="626" t="s">
        <v>1236</v>
      </c>
      <c r="EWM2148" s="626" t="s">
        <v>1236</v>
      </c>
      <c r="EWN2148" s="626" t="s">
        <v>1236</v>
      </c>
      <c r="EWO2148" s="626" t="s">
        <v>1236</v>
      </c>
      <c r="EWP2148" s="626" t="s">
        <v>1236</v>
      </c>
      <c r="EWQ2148" s="626" t="s">
        <v>1236</v>
      </c>
      <c r="EWR2148" s="626" t="s">
        <v>1236</v>
      </c>
      <c r="EWS2148" s="626" t="s">
        <v>1236</v>
      </c>
      <c r="EWT2148" s="626" t="s">
        <v>1236</v>
      </c>
      <c r="EWU2148" s="626" t="s">
        <v>1236</v>
      </c>
      <c r="EWV2148" s="626" t="s">
        <v>1236</v>
      </c>
      <c r="EWW2148" s="626" t="s">
        <v>1236</v>
      </c>
      <c r="EWX2148" s="626" t="s">
        <v>1236</v>
      </c>
      <c r="EWY2148" s="626" t="s">
        <v>1236</v>
      </c>
      <c r="EWZ2148" s="626" t="s">
        <v>1236</v>
      </c>
      <c r="EXA2148" s="626" t="s">
        <v>1236</v>
      </c>
      <c r="EXB2148" s="626" t="s">
        <v>1236</v>
      </c>
      <c r="EXC2148" s="626" t="s">
        <v>1236</v>
      </c>
      <c r="EXD2148" s="626" t="s">
        <v>1236</v>
      </c>
      <c r="EXE2148" s="626" t="s">
        <v>1236</v>
      </c>
      <c r="EXF2148" s="626" t="s">
        <v>1236</v>
      </c>
      <c r="EXG2148" s="626" t="s">
        <v>1236</v>
      </c>
      <c r="EXH2148" s="626" t="s">
        <v>1236</v>
      </c>
      <c r="EXI2148" s="626" t="s">
        <v>1236</v>
      </c>
      <c r="EXJ2148" s="626" t="s">
        <v>1236</v>
      </c>
      <c r="EXK2148" s="626" t="s">
        <v>1236</v>
      </c>
      <c r="EXL2148" s="626" t="s">
        <v>1236</v>
      </c>
      <c r="EXM2148" s="626" t="s">
        <v>1236</v>
      </c>
      <c r="EXN2148" s="626" t="s">
        <v>1236</v>
      </c>
      <c r="EXO2148" s="626" t="s">
        <v>1236</v>
      </c>
      <c r="EXP2148" s="626" t="s">
        <v>1236</v>
      </c>
      <c r="EXQ2148" s="626" t="s">
        <v>1236</v>
      </c>
      <c r="EXR2148" s="626" t="s">
        <v>1236</v>
      </c>
      <c r="EXS2148" s="626" t="s">
        <v>1236</v>
      </c>
      <c r="EXT2148" s="626" t="s">
        <v>1236</v>
      </c>
      <c r="EXU2148" s="626" t="s">
        <v>1236</v>
      </c>
      <c r="EXV2148" s="626" t="s">
        <v>1236</v>
      </c>
      <c r="EXW2148" s="626" t="s">
        <v>1236</v>
      </c>
      <c r="EXX2148" s="626" t="s">
        <v>1236</v>
      </c>
      <c r="EXY2148" s="626" t="s">
        <v>1236</v>
      </c>
      <c r="EXZ2148" s="626" t="s">
        <v>1236</v>
      </c>
      <c r="EYA2148" s="626" t="s">
        <v>1236</v>
      </c>
      <c r="EYB2148" s="626" t="s">
        <v>1236</v>
      </c>
      <c r="EYC2148" s="626" t="s">
        <v>1236</v>
      </c>
      <c r="EYD2148" s="626" t="s">
        <v>1236</v>
      </c>
      <c r="EYE2148" s="626" t="s">
        <v>1236</v>
      </c>
      <c r="EYF2148" s="626" t="s">
        <v>1236</v>
      </c>
      <c r="EYG2148" s="626" t="s">
        <v>1236</v>
      </c>
      <c r="EYH2148" s="626" t="s">
        <v>1236</v>
      </c>
      <c r="EYI2148" s="626" t="s">
        <v>1236</v>
      </c>
      <c r="EYJ2148" s="626" t="s">
        <v>1236</v>
      </c>
      <c r="EYK2148" s="626" t="s">
        <v>1236</v>
      </c>
      <c r="EYL2148" s="626" t="s">
        <v>1236</v>
      </c>
      <c r="EYM2148" s="626" t="s">
        <v>1236</v>
      </c>
      <c r="EYN2148" s="626" t="s">
        <v>1236</v>
      </c>
      <c r="EYO2148" s="626" t="s">
        <v>1236</v>
      </c>
      <c r="EYP2148" s="626" t="s">
        <v>1236</v>
      </c>
      <c r="EYQ2148" s="626" t="s">
        <v>1236</v>
      </c>
      <c r="EYR2148" s="626" t="s">
        <v>1236</v>
      </c>
      <c r="EYS2148" s="626" t="s">
        <v>1236</v>
      </c>
      <c r="EYT2148" s="626" t="s">
        <v>1236</v>
      </c>
      <c r="EYU2148" s="626" t="s">
        <v>1236</v>
      </c>
      <c r="EYV2148" s="626" t="s">
        <v>1236</v>
      </c>
      <c r="EYW2148" s="626" t="s">
        <v>1236</v>
      </c>
      <c r="EYX2148" s="626" t="s">
        <v>1236</v>
      </c>
      <c r="EYY2148" s="626" t="s">
        <v>1236</v>
      </c>
      <c r="EYZ2148" s="626" t="s">
        <v>1236</v>
      </c>
      <c r="EZA2148" s="626" t="s">
        <v>1236</v>
      </c>
      <c r="EZB2148" s="626" t="s">
        <v>1236</v>
      </c>
      <c r="EZC2148" s="626" t="s">
        <v>1236</v>
      </c>
      <c r="EZD2148" s="626" t="s">
        <v>1236</v>
      </c>
      <c r="EZE2148" s="626" t="s">
        <v>1236</v>
      </c>
      <c r="EZF2148" s="626" t="s">
        <v>1236</v>
      </c>
      <c r="EZG2148" s="626" t="s">
        <v>1236</v>
      </c>
      <c r="EZH2148" s="626" t="s">
        <v>1236</v>
      </c>
      <c r="EZI2148" s="626" t="s">
        <v>1236</v>
      </c>
      <c r="EZJ2148" s="626" t="s">
        <v>1236</v>
      </c>
      <c r="EZK2148" s="626" t="s">
        <v>1236</v>
      </c>
      <c r="EZL2148" s="626" t="s">
        <v>1236</v>
      </c>
      <c r="EZM2148" s="626" t="s">
        <v>1236</v>
      </c>
      <c r="EZN2148" s="626" t="s">
        <v>1236</v>
      </c>
      <c r="EZO2148" s="626" t="s">
        <v>1236</v>
      </c>
      <c r="EZP2148" s="626" t="s">
        <v>1236</v>
      </c>
      <c r="EZQ2148" s="626" t="s">
        <v>1236</v>
      </c>
      <c r="EZR2148" s="626" t="s">
        <v>1236</v>
      </c>
      <c r="EZS2148" s="626" t="s">
        <v>1236</v>
      </c>
      <c r="EZT2148" s="626" t="s">
        <v>1236</v>
      </c>
      <c r="EZU2148" s="626" t="s">
        <v>1236</v>
      </c>
      <c r="EZV2148" s="626" t="s">
        <v>1236</v>
      </c>
      <c r="EZW2148" s="626" t="s">
        <v>1236</v>
      </c>
      <c r="EZX2148" s="626" t="s">
        <v>1236</v>
      </c>
      <c r="EZY2148" s="626" t="s">
        <v>1236</v>
      </c>
      <c r="EZZ2148" s="626" t="s">
        <v>1236</v>
      </c>
      <c r="FAA2148" s="626" t="s">
        <v>1236</v>
      </c>
      <c r="FAB2148" s="626" t="s">
        <v>1236</v>
      </c>
      <c r="FAC2148" s="626" t="s">
        <v>1236</v>
      </c>
      <c r="FAD2148" s="626" t="s">
        <v>1236</v>
      </c>
      <c r="FAE2148" s="626" t="s">
        <v>1236</v>
      </c>
      <c r="FAF2148" s="626" t="s">
        <v>1236</v>
      </c>
      <c r="FAG2148" s="626" t="s">
        <v>1236</v>
      </c>
      <c r="FAH2148" s="626" t="s">
        <v>1236</v>
      </c>
      <c r="FAI2148" s="626" t="s">
        <v>1236</v>
      </c>
      <c r="FAJ2148" s="626" t="s">
        <v>1236</v>
      </c>
      <c r="FAK2148" s="626" t="s">
        <v>1236</v>
      </c>
      <c r="FAL2148" s="626" t="s">
        <v>1236</v>
      </c>
      <c r="FAM2148" s="626" t="s">
        <v>1236</v>
      </c>
      <c r="FAN2148" s="626" t="s">
        <v>1236</v>
      </c>
      <c r="FAO2148" s="626" t="s">
        <v>1236</v>
      </c>
      <c r="FAP2148" s="626" t="s">
        <v>1236</v>
      </c>
      <c r="FAQ2148" s="626" t="s">
        <v>1236</v>
      </c>
      <c r="FAR2148" s="626" t="s">
        <v>1236</v>
      </c>
      <c r="FAS2148" s="626" t="s">
        <v>1236</v>
      </c>
      <c r="FAT2148" s="626" t="s">
        <v>1236</v>
      </c>
      <c r="FAU2148" s="626" t="s">
        <v>1236</v>
      </c>
      <c r="FAV2148" s="626" t="s">
        <v>1236</v>
      </c>
      <c r="FAW2148" s="626" t="s">
        <v>1236</v>
      </c>
      <c r="FAX2148" s="626" t="s">
        <v>1236</v>
      </c>
      <c r="FAY2148" s="626" t="s">
        <v>1236</v>
      </c>
      <c r="FAZ2148" s="626" t="s">
        <v>1236</v>
      </c>
      <c r="FBA2148" s="626" t="s">
        <v>1236</v>
      </c>
      <c r="FBB2148" s="626" t="s">
        <v>1236</v>
      </c>
      <c r="FBC2148" s="626" t="s">
        <v>1236</v>
      </c>
      <c r="FBD2148" s="626" t="s">
        <v>1236</v>
      </c>
      <c r="FBE2148" s="626" t="s">
        <v>1236</v>
      </c>
      <c r="FBF2148" s="626" t="s">
        <v>1236</v>
      </c>
      <c r="FBG2148" s="626" t="s">
        <v>1236</v>
      </c>
      <c r="FBH2148" s="626" t="s">
        <v>1236</v>
      </c>
      <c r="FBI2148" s="626" t="s">
        <v>1236</v>
      </c>
      <c r="FBJ2148" s="626" t="s">
        <v>1236</v>
      </c>
      <c r="FBK2148" s="626" t="s">
        <v>1236</v>
      </c>
      <c r="FBL2148" s="626" t="s">
        <v>1236</v>
      </c>
      <c r="FBM2148" s="626" t="s">
        <v>1236</v>
      </c>
      <c r="FBN2148" s="626" t="s">
        <v>1236</v>
      </c>
      <c r="FBO2148" s="626" t="s">
        <v>1236</v>
      </c>
      <c r="FBP2148" s="626" t="s">
        <v>1236</v>
      </c>
      <c r="FBQ2148" s="626" t="s">
        <v>1236</v>
      </c>
      <c r="FBR2148" s="626" t="s">
        <v>1236</v>
      </c>
      <c r="FBS2148" s="626" t="s">
        <v>1236</v>
      </c>
      <c r="FBT2148" s="626" t="s">
        <v>1236</v>
      </c>
      <c r="FBU2148" s="626" t="s">
        <v>1236</v>
      </c>
      <c r="FBV2148" s="626" t="s">
        <v>1236</v>
      </c>
      <c r="FBW2148" s="626" t="s">
        <v>1236</v>
      </c>
      <c r="FBX2148" s="626" t="s">
        <v>1236</v>
      </c>
      <c r="FBY2148" s="626" t="s">
        <v>1236</v>
      </c>
      <c r="FBZ2148" s="626" t="s">
        <v>1236</v>
      </c>
      <c r="FCA2148" s="626" t="s">
        <v>1236</v>
      </c>
      <c r="FCB2148" s="626" t="s">
        <v>1236</v>
      </c>
      <c r="FCC2148" s="626" t="s">
        <v>1236</v>
      </c>
      <c r="FCD2148" s="626" t="s">
        <v>1236</v>
      </c>
      <c r="FCE2148" s="626" t="s">
        <v>1236</v>
      </c>
      <c r="FCF2148" s="626" t="s">
        <v>1236</v>
      </c>
      <c r="FCG2148" s="626" t="s">
        <v>1236</v>
      </c>
      <c r="FCH2148" s="626" t="s">
        <v>1236</v>
      </c>
      <c r="FCI2148" s="626" t="s">
        <v>1236</v>
      </c>
      <c r="FCJ2148" s="626" t="s">
        <v>1236</v>
      </c>
      <c r="FCK2148" s="626" t="s">
        <v>1236</v>
      </c>
      <c r="FCL2148" s="626" t="s">
        <v>1236</v>
      </c>
      <c r="FCM2148" s="626" t="s">
        <v>1236</v>
      </c>
      <c r="FCN2148" s="626" t="s">
        <v>1236</v>
      </c>
      <c r="FCO2148" s="626" t="s">
        <v>1236</v>
      </c>
      <c r="FCP2148" s="626" t="s">
        <v>1236</v>
      </c>
      <c r="FCQ2148" s="626" t="s">
        <v>1236</v>
      </c>
      <c r="FCR2148" s="626" t="s">
        <v>1236</v>
      </c>
      <c r="FCS2148" s="626" t="s">
        <v>1236</v>
      </c>
      <c r="FCT2148" s="626" t="s">
        <v>1236</v>
      </c>
      <c r="FCU2148" s="626" t="s">
        <v>1236</v>
      </c>
      <c r="FCV2148" s="626" t="s">
        <v>1236</v>
      </c>
      <c r="FCW2148" s="626" t="s">
        <v>1236</v>
      </c>
      <c r="FCX2148" s="626" t="s">
        <v>1236</v>
      </c>
      <c r="FCY2148" s="626" t="s">
        <v>1236</v>
      </c>
      <c r="FCZ2148" s="626" t="s">
        <v>1236</v>
      </c>
      <c r="FDA2148" s="626" t="s">
        <v>1236</v>
      </c>
      <c r="FDB2148" s="626" t="s">
        <v>1236</v>
      </c>
      <c r="FDC2148" s="626" t="s">
        <v>1236</v>
      </c>
      <c r="FDD2148" s="626" t="s">
        <v>1236</v>
      </c>
      <c r="FDE2148" s="626" t="s">
        <v>1236</v>
      </c>
      <c r="FDF2148" s="626" t="s">
        <v>1236</v>
      </c>
      <c r="FDG2148" s="626" t="s">
        <v>1236</v>
      </c>
      <c r="FDH2148" s="626" t="s">
        <v>1236</v>
      </c>
      <c r="FDI2148" s="626" t="s">
        <v>1236</v>
      </c>
      <c r="FDJ2148" s="626" t="s">
        <v>1236</v>
      </c>
      <c r="FDK2148" s="626" t="s">
        <v>1236</v>
      </c>
      <c r="FDL2148" s="626" t="s">
        <v>1236</v>
      </c>
      <c r="FDM2148" s="626" t="s">
        <v>1236</v>
      </c>
      <c r="FDN2148" s="626" t="s">
        <v>1236</v>
      </c>
      <c r="FDO2148" s="626" t="s">
        <v>1236</v>
      </c>
      <c r="FDP2148" s="626" t="s">
        <v>1236</v>
      </c>
      <c r="FDQ2148" s="626" t="s">
        <v>1236</v>
      </c>
      <c r="FDR2148" s="626" t="s">
        <v>1236</v>
      </c>
      <c r="FDS2148" s="626" t="s">
        <v>1236</v>
      </c>
      <c r="FDT2148" s="626" t="s">
        <v>1236</v>
      </c>
      <c r="FDU2148" s="626" t="s">
        <v>1236</v>
      </c>
      <c r="FDV2148" s="626" t="s">
        <v>1236</v>
      </c>
      <c r="FDW2148" s="626" t="s">
        <v>1236</v>
      </c>
      <c r="FDX2148" s="626" t="s">
        <v>1236</v>
      </c>
      <c r="FDY2148" s="626" t="s">
        <v>1236</v>
      </c>
      <c r="FDZ2148" s="626" t="s">
        <v>1236</v>
      </c>
      <c r="FEA2148" s="626" t="s">
        <v>1236</v>
      </c>
      <c r="FEB2148" s="626" t="s">
        <v>1236</v>
      </c>
      <c r="FEC2148" s="626" t="s">
        <v>1236</v>
      </c>
      <c r="FED2148" s="626" t="s">
        <v>1236</v>
      </c>
      <c r="FEE2148" s="626" t="s">
        <v>1236</v>
      </c>
      <c r="FEF2148" s="626" t="s">
        <v>1236</v>
      </c>
      <c r="FEG2148" s="626" t="s">
        <v>1236</v>
      </c>
      <c r="FEH2148" s="626" t="s">
        <v>1236</v>
      </c>
      <c r="FEI2148" s="626" t="s">
        <v>1236</v>
      </c>
      <c r="FEJ2148" s="626" t="s">
        <v>1236</v>
      </c>
      <c r="FEK2148" s="626" t="s">
        <v>1236</v>
      </c>
      <c r="FEL2148" s="626" t="s">
        <v>1236</v>
      </c>
      <c r="FEM2148" s="626" t="s">
        <v>1236</v>
      </c>
      <c r="FEN2148" s="626" t="s">
        <v>1236</v>
      </c>
      <c r="FEO2148" s="626" t="s">
        <v>1236</v>
      </c>
      <c r="FEP2148" s="626" t="s">
        <v>1236</v>
      </c>
      <c r="FEQ2148" s="626" t="s">
        <v>1236</v>
      </c>
      <c r="FER2148" s="626" t="s">
        <v>1236</v>
      </c>
      <c r="FES2148" s="626" t="s">
        <v>1236</v>
      </c>
      <c r="FET2148" s="626" t="s">
        <v>1236</v>
      </c>
      <c r="FEU2148" s="626" t="s">
        <v>1236</v>
      </c>
      <c r="FEV2148" s="626" t="s">
        <v>1236</v>
      </c>
      <c r="FEW2148" s="626" t="s">
        <v>1236</v>
      </c>
      <c r="FEX2148" s="626" t="s">
        <v>1236</v>
      </c>
      <c r="FEY2148" s="626" t="s">
        <v>1236</v>
      </c>
      <c r="FEZ2148" s="626" t="s">
        <v>1236</v>
      </c>
      <c r="FFA2148" s="626" t="s">
        <v>1236</v>
      </c>
      <c r="FFB2148" s="626" t="s">
        <v>1236</v>
      </c>
      <c r="FFC2148" s="626" t="s">
        <v>1236</v>
      </c>
      <c r="FFD2148" s="626" t="s">
        <v>1236</v>
      </c>
      <c r="FFE2148" s="626" t="s">
        <v>1236</v>
      </c>
      <c r="FFF2148" s="626" t="s">
        <v>1236</v>
      </c>
      <c r="FFG2148" s="626" t="s">
        <v>1236</v>
      </c>
      <c r="FFH2148" s="626" t="s">
        <v>1236</v>
      </c>
      <c r="FFI2148" s="626" t="s">
        <v>1236</v>
      </c>
      <c r="FFJ2148" s="626" t="s">
        <v>1236</v>
      </c>
      <c r="FFK2148" s="626" t="s">
        <v>1236</v>
      </c>
      <c r="FFL2148" s="626" t="s">
        <v>1236</v>
      </c>
      <c r="FFM2148" s="626" t="s">
        <v>1236</v>
      </c>
      <c r="FFN2148" s="626" t="s">
        <v>1236</v>
      </c>
      <c r="FFO2148" s="626" t="s">
        <v>1236</v>
      </c>
      <c r="FFP2148" s="626" t="s">
        <v>1236</v>
      </c>
      <c r="FFQ2148" s="626" t="s">
        <v>1236</v>
      </c>
      <c r="FFR2148" s="626" t="s">
        <v>1236</v>
      </c>
      <c r="FFS2148" s="626" t="s">
        <v>1236</v>
      </c>
      <c r="FFT2148" s="626" t="s">
        <v>1236</v>
      </c>
      <c r="FFU2148" s="626" t="s">
        <v>1236</v>
      </c>
      <c r="FFV2148" s="626" t="s">
        <v>1236</v>
      </c>
      <c r="FFW2148" s="626" t="s">
        <v>1236</v>
      </c>
      <c r="FFX2148" s="626" t="s">
        <v>1236</v>
      </c>
      <c r="FFY2148" s="626" t="s">
        <v>1236</v>
      </c>
      <c r="FFZ2148" s="626" t="s">
        <v>1236</v>
      </c>
      <c r="FGA2148" s="626" t="s">
        <v>1236</v>
      </c>
      <c r="FGB2148" s="626" t="s">
        <v>1236</v>
      </c>
      <c r="FGC2148" s="626" t="s">
        <v>1236</v>
      </c>
      <c r="FGD2148" s="626" t="s">
        <v>1236</v>
      </c>
      <c r="FGE2148" s="626" t="s">
        <v>1236</v>
      </c>
      <c r="FGF2148" s="626" t="s">
        <v>1236</v>
      </c>
      <c r="FGG2148" s="626" t="s">
        <v>1236</v>
      </c>
      <c r="FGH2148" s="626" t="s">
        <v>1236</v>
      </c>
      <c r="FGI2148" s="626" t="s">
        <v>1236</v>
      </c>
      <c r="FGJ2148" s="626" t="s">
        <v>1236</v>
      </c>
      <c r="FGK2148" s="626" t="s">
        <v>1236</v>
      </c>
      <c r="FGL2148" s="626" t="s">
        <v>1236</v>
      </c>
      <c r="FGM2148" s="626" t="s">
        <v>1236</v>
      </c>
      <c r="FGN2148" s="626" t="s">
        <v>1236</v>
      </c>
      <c r="FGO2148" s="626" t="s">
        <v>1236</v>
      </c>
      <c r="FGP2148" s="626" t="s">
        <v>1236</v>
      </c>
      <c r="FGQ2148" s="626" t="s">
        <v>1236</v>
      </c>
      <c r="FGR2148" s="626" t="s">
        <v>1236</v>
      </c>
      <c r="FGS2148" s="626" t="s">
        <v>1236</v>
      </c>
      <c r="FGT2148" s="626" t="s">
        <v>1236</v>
      </c>
      <c r="FGU2148" s="626" t="s">
        <v>1236</v>
      </c>
      <c r="FGV2148" s="626" t="s">
        <v>1236</v>
      </c>
      <c r="FGW2148" s="626" t="s">
        <v>1236</v>
      </c>
      <c r="FGX2148" s="626" t="s">
        <v>1236</v>
      </c>
      <c r="FGY2148" s="626" t="s">
        <v>1236</v>
      </c>
      <c r="FGZ2148" s="626" t="s">
        <v>1236</v>
      </c>
      <c r="FHA2148" s="626" t="s">
        <v>1236</v>
      </c>
      <c r="FHB2148" s="626" t="s">
        <v>1236</v>
      </c>
      <c r="FHC2148" s="626" t="s">
        <v>1236</v>
      </c>
      <c r="FHD2148" s="626" t="s">
        <v>1236</v>
      </c>
      <c r="FHE2148" s="626" t="s">
        <v>1236</v>
      </c>
      <c r="FHF2148" s="626" t="s">
        <v>1236</v>
      </c>
      <c r="FHG2148" s="626" t="s">
        <v>1236</v>
      </c>
      <c r="FHH2148" s="626" t="s">
        <v>1236</v>
      </c>
      <c r="FHI2148" s="626" t="s">
        <v>1236</v>
      </c>
      <c r="FHJ2148" s="626" t="s">
        <v>1236</v>
      </c>
      <c r="FHK2148" s="626" t="s">
        <v>1236</v>
      </c>
      <c r="FHL2148" s="626" t="s">
        <v>1236</v>
      </c>
      <c r="FHM2148" s="626" t="s">
        <v>1236</v>
      </c>
      <c r="FHN2148" s="626" t="s">
        <v>1236</v>
      </c>
      <c r="FHO2148" s="626" t="s">
        <v>1236</v>
      </c>
      <c r="FHP2148" s="626" t="s">
        <v>1236</v>
      </c>
      <c r="FHQ2148" s="626" t="s">
        <v>1236</v>
      </c>
      <c r="FHR2148" s="626" t="s">
        <v>1236</v>
      </c>
      <c r="FHS2148" s="626" t="s">
        <v>1236</v>
      </c>
      <c r="FHT2148" s="626" t="s">
        <v>1236</v>
      </c>
      <c r="FHU2148" s="626" t="s">
        <v>1236</v>
      </c>
      <c r="FHV2148" s="626" t="s">
        <v>1236</v>
      </c>
      <c r="FHW2148" s="626" t="s">
        <v>1236</v>
      </c>
      <c r="FHX2148" s="626" t="s">
        <v>1236</v>
      </c>
      <c r="FHY2148" s="626" t="s">
        <v>1236</v>
      </c>
      <c r="FHZ2148" s="626" t="s">
        <v>1236</v>
      </c>
      <c r="FIA2148" s="626" t="s">
        <v>1236</v>
      </c>
      <c r="FIB2148" s="626" t="s">
        <v>1236</v>
      </c>
      <c r="FIC2148" s="626" t="s">
        <v>1236</v>
      </c>
      <c r="FID2148" s="626" t="s">
        <v>1236</v>
      </c>
      <c r="FIE2148" s="626" t="s">
        <v>1236</v>
      </c>
      <c r="FIF2148" s="626" t="s">
        <v>1236</v>
      </c>
      <c r="FIG2148" s="626" t="s">
        <v>1236</v>
      </c>
      <c r="FIH2148" s="626" t="s">
        <v>1236</v>
      </c>
      <c r="FII2148" s="626" t="s">
        <v>1236</v>
      </c>
      <c r="FIJ2148" s="626" t="s">
        <v>1236</v>
      </c>
      <c r="FIK2148" s="626" t="s">
        <v>1236</v>
      </c>
      <c r="FIL2148" s="626" t="s">
        <v>1236</v>
      </c>
      <c r="FIM2148" s="626" t="s">
        <v>1236</v>
      </c>
      <c r="FIN2148" s="626" t="s">
        <v>1236</v>
      </c>
      <c r="FIO2148" s="626" t="s">
        <v>1236</v>
      </c>
      <c r="FIP2148" s="626" t="s">
        <v>1236</v>
      </c>
      <c r="FIQ2148" s="626" t="s">
        <v>1236</v>
      </c>
      <c r="FIR2148" s="626" t="s">
        <v>1236</v>
      </c>
      <c r="FIS2148" s="626" t="s">
        <v>1236</v>
      </c>
      <c r="FIT2148" s="626" t="s">
        <v>1236</v>
      </c>
      <c r="FIU2148" s="626" t="s">
        <v>1236</v>
      </c>
      <c r="FIV2148" s="626" t="s">
        <v>1236</v>
      </c>
      <c r="FIW2148" s="626" t="s">
        <v>1236</v>
      </c>
      <c r="FIX2148" s="626" t="s">
        <v>1236</v>
      </c>
      <c r="FIY2148" s="626" t="s">
        <v>1236</v>
      </c>
      <c r="FIZ2148" s="626" t="s">
        <v>1236</v>
      </c>
      <c r="FJA2148" s="626" t="s">
        <v>1236</v>
      </c>
      <c r="FJB2148" s="626" t="s">
        <v>1236</v>
      </c>
      <c r="FJC2148" s="626" t="s">
        <v>1236</v>
      </c>
      <c r="FJD2148" s="626" t="s">
        <v>1236</v>
      </c>
      <c r="FJE2148" s="626" t="s">
        <v>1236</v>
      </c>
      <c r="FJF2148" s="626" t="s">
        <v>1236</v>
      </c>
      <c r="FJG2148" s="626" t="s">
        <v>1236</v>
      </c>
      <c r="FJH2148" s="626" t="s">
        <v>1236</v>
      </c>
      <c r="FJI2148" s="626" t="s">
        <v>1236</v>
      </c>
      <c r="FJJ2148" s="626" t="s">
        <v>1236</v>
      </c>
      <c r="FJK2148" s="626" t="s">
        <v>1236</v>
      </c>
      <c r="FJL2148" s="626" t="s">
        <v>1236</v>
      </c>
      <c r="FJM2148" s="626" t="s">
        <v>1236</v>
      </c>
      <c r="FJN2148" s="626" t="s">
        <v>1236</v>
      </c>
      <c r="FJO2148" s="626" t="s">
        <v>1236</v>
      </c>
      <c r="FJP2148" s="626" t="s">
        <v>1236</v>
      </c>
      <c r="FJQ2148" s="626" t="s">
        <v>1236</v>
      </c>
      <c r="FJR2148" s="626" t="s">
        <v>1236</v>
      </c>
      <c r="FJS2148" s="626" t="s">
        <v>1236</v>
      </c>
      <c r="FJT2148" s="626" t="s">
        <v>1236</v>
      </c>
      <c r="FJU2148" s="626" t="s">
        <v>1236</v>
      </c>
      <c r="FJV2148" s="626" t="s">
        <v>1236</v>
      </c>
      <c r="FJW2148" s="626" t="s">
        <v>1236</v>
      </c>
      <c r="FJX2148" s="626" t="s">
        <v>1236</v>
      </c>
      <c r="FJY2148" s="626" t="s">
        <v>1236</v>
      </c>
      <c r="FJZ2148" s="626" t="s">
        <v>1236</v>
      </c>
      <c r="FKA2148" s="626" t="s">
        <v>1236</v>
      </c>
      <c r="FKB2148" s="626" t="s">
        <v>1236</v>
      </c>
      <c r="FKC2148" s="626" t="s">
        <v>1236</v>
      </c>
      <c r="FKD2148" s="626" t="s">
        <v>1236</v>
      </c>
      <c r="FKE2148" s="626" t="s">
        <v>1236</v>
      </c>
      <c r="FKF2148" s="626" t="s">
        <v>1236</v>
      </c>
      <c r="FKG2148" s="626" t="s">
        <v>1236</v>
      </c>
      <c r="FKH2148" s="626" t="s">
        <v>1236</v>
      </c>
      <c r="FKI2148" s="626" t="s">
        <v>1236</v>
      </c>
      <c r="FKJ2148" s="626" t="s">
        <v>1236</v>
      </c>
      <c r="FKK2148" s="626" t="s">
        <v>1236</v>
      </c>
      <c r="FKL2148" s="626" t="s">
        <v>1236</v>
      </c>
      <c r="FKM2148" s="626" t="s">
        <v>1236</v>
      </c>
      <c r="FKN2148" s="626" t="s">
        <v>1236</v>
      </c>
      <c r="FKO2148" s="626" t="s">
        <v>1236</v>
      </c>
      <c r="FKP2148" s="626" t="s">
        <v>1236</v>
      </c>
      <c r="FKQ2148" s="626" t="s">
        <v>1236</v>
      </c>
      <c r="FKR2148" s="626" t="s">
        <v>1236</v>
      </c>
      <c r="FKS2148" s="626" t="s">
        <v>1236</v>
      </c>
      <c r="FKT2148" s="626" t="s">
        <v>1236</v>
      </c>
      <c r="FKU2148" s="626" t="s">
        <v>1236</v>
      </c>
      <c r="FKV2148" s="626" t="s">
        <v>1236</v>
      </c>
      <c r="FKW2148" s="626" t="s">
        <v>1236</v>
      </c>
      <c r="FKX2148" s="626" t="s">
        <v>1236</v>
      </c>
      <c r="FKY2148" s="626" t="s">
        <v>1236</v>
      </c>
      <c r="FKZ2148" s="626" t="s">
        <v>1236</v>
      </c>
      <c r="FLA2148" s="626" t="s">
        <v>1236</v>
      </c>
      <c r="FLB2148" s="626" t="s">
        <v>1236</v>
      </c>
      <c r="FLC2148" s="626" t="s">
        <v>1236</v>
      </c>
      <c r="FLD2148" s="626" t="s">
        <v>1236</v>
      </c>
      <c r="FLE2148" s="626" t="s">
        <v>1236</v>
      </c>
      <c r="FLF2148" s="626" t="s">
        <v>1236</v>
      </c>
      <c r="FLG2148" s="626" t="s">
        <v>1236</v>
      </c>
      <c r="FLH2148" s="626" t="s">
        <v>1236</v>
      </c>
      <c r="FLI2148" s="626" t="s">
        <v>1236</v>
      </c>
      <c r="FLJ2148" s="626" t="s">
        <v>1236</v>
      </c>
      <c r="FLK2148" s="626" t="s">
        <v>1236</v>
      </c>
      <c r="FLL2148" s="626" t="s">
        <v>1236</v>
      </c>
      <c r="FLM2148" s="626" t="s">
        <v>1236</v>
      </c>
      <c r="FLN2148" s="626" t="s">
        <v>1236</v>
      </c>
      <c r="FLO2148" s="626" t="s">
        <v>1236</v>
      </c>
      <c r="FLP2148" s="626" t="s">
        <v>1236</v>
      </c>
      <c r="FLQ2148" s="626" t="s">
        <v>1236</v>
      </c>
      <c r="FLR2148" s="626" t="s">
        <v>1236</v>
      </c>
      <c r="FLS2148" s="626" t="s">
        <v>1236</v>
      </c>
      <c r="FLT2148" s="626" t="s">
        <v>1236</v>
      </c>
      <c r="FLU2148" s="626" t="s">
        <v>1236</v>
      </c>
      <c r="FLV2148" s="626" t="s">
        <v>1236</v>
      </c>
      <c r="FLW2148" s="626" t="s">
        <v>1236</v>
      </c>
      <c r="FLX2148" s="626" t="s">
        <v>1236</v>
      </c>
      <c r="FLY2148" s="626" t="s">
        <v>1236</v>
      </c>
      <c r="FLZ2148" s="626" t="s">
        <v>1236</v>
      </c>
      <c r="FMA2148" s="626" t="s">
        <v>1236</v>
      </c>
      <c r="FMB2148" s="626" t="s">
        <v>1236</v>
      </c>
      <c r="FMC2148" s="626" t="s">
        <v>1236</v>
      </c>
      <c r="FMD2148" s="626" t="s">
        <v>1236</v>
      </c>
      <c r="FME2148" s="626" t="s">
        <v>1236</v>
      </c>
      <c r="FMF2148" s="626" t="s">
        <v>1236</v>
      </c>
      <c r="FMG2148" s="626" t="s">
        <v>1236</v>
      </c>
      <c r="FMH2148" s="626" t="s">
        <v>1236</v>
      </c>
      <c r="FMI2148" s="626" t="s">
        <v>1236</v>
      </c>
      <c r="FMJ2148" s="626" t="s">
        <v>1236</v>
      </c>
      <c r="FMK2148" s="626" t="s">
        <v>1236</v>
      </c>
      <c r="FML2148" s="626" t="s">
        <v>1236</v>
      </c>
      <c r="FMM2148" s="626" t="s">
        <v>1236</v>
      </c>
      <c r="FMN2148" s="626" t="s">
        <v>1236</v>
      </c>
      <c r="FMO2148" s="626" t="s">
        <v>1236</v>
      </c>
      <c r="FMP2148" s="626" t="s">
        <v>1236</v>
      </c>
      <c r="FMQ2148" s="626" t="s">
        <v>1236</v>
      </c>
      <c r="FMR2148" s="626" t="s">
        <v>1236</v>
      </c>
      <c r="FMS2148" s="626" t="s">
        <v>1236</v>
      </c>
      <c r="FMT2148" s="626" t="s">
        <v>1236</v>
      </c>
      <c r="FMU2148" s="626" t="s">
        <v>1236</v>
      </c>
      <c r="FMV2148" s="626" t="s">
        <v>1236</v>
      </c>
      <c r="FMW2148" s="626" t="s">
        <v>1236</v>
      </c>
      <c r="FMX2148" s="626" t="s">
        <v>1236</v>
      </c>
      <c r="FMY2148" s="626" t="s">
        <v>1236</v>
      </c>
      <c r="FMZ2148" s="626" t="s">
        <v>1236</v>
      </c>
      <c r="FNA2148" s="626" t="s">
        <v>1236</v>
      </c>
      <c r="FNB2148" s="626" t="s">
        <v>1236</v>
      </c>
      <c r="FNC2148" s="626" t="s">
        <v>1236</v>
      </c>
      <c r="FND2148" s="626" t="s">
        <v>1236</v>
      </c>
      <c r="FNE2148" s="626" t="s">
        <v>1236</v>
      </c>
      <c r="FNF2148" s="626" t="s">
        <v>1236</v>
      </c>
      <c r="FNG2148" s="626" t="s">
        <v>1236</v>
      </c>
      <c r="FNH2148" s="626" t="s">
        <v>1236</v>
      </c>
      <c r="FNI2148" s="626" t="s">
        <v>1236</v>
      </c>
      <c r="FNJ2148" s="626" t="s">
        <v>1236</v>
      </c>
      <c r="FNK2148" s="626" t="s">
        <v>1236</v>
      </c>
      <c r="FNL2148" s="626" t="s">
        <v>1236</v>
      </c>
      <c r="FNM2148" s="626" t="s">
        <v>1236</v>
      </c>
      <c r="FNN2148" s="626" t="s">
        <v>1236</v>
      </c>
      <c r="FNO2148" s="626" t="s">
        <v>1236</v>
      </c>
      <c r="FNP2148" s="626" t="s">
        <v>1236</v>
      </c>
      <c r="FNQ2148" s="626" t="s">
        <v>1236</v>
      </c>
      <c r="FNR2148" s="626" t="s">
        <v>1236</v>
      </c>
      <c r="FNS2148" s="626" t="s">
        <v>1236</v>
      </c>
      <c r="FNT2148" s="626" t="s">
        <v>1236</v>
      </c>
      <c r="FNU2148" s="626" t="s">
        <v>1236</v>
      </c>
      <c r="FNV2148" s="626" t="s">
        <v>1236</v>
      </c>
      <c r="FNW2148" s="626" t="s">
        <v>1236</v>
      </c>
      <c r="FNX2148" s="626" t="s">
        <v>1236</v>
      </c>
      <c r="FNY2148" s="626" t="s">
        <v>1236</v>
      </c>
      <c r="FNZ2148" s="626" t="s">
        <v>1236</v>
      </c>
      <c r="FOA2148" s="626" t="s">
        <v>1236</v>
      </c>
      <c r="FOB2148" s="626" t="s">
        <v>1236</v>
      </c>
      <c r="FOC2148" s="626" t="s">
        <v>1236</v>
      </c>
      <c r="FOD2148" s="626" t="s">
        <v>1236</v>
      </c>
      <c r="FOE2148" s="626" t="s">
        <v>1236</v>
      </c>
      <c r="FOF2148" s="626" t="s">
        <v>1236</v>
      </c>
      <c r="FOG2148" s="626" t="s">
        <v>1236</v>
      </c>
      <c r="FOH2148" s="626" t="s">
        <v>1236</v>
      </c>
      <c r="FOI2148" s="626" t="s">
        <v>1236</v>
      </c>
      <c r="FOJ2148" s="626" t="s">
        <v>1236</v>
      </c>
      <c r="FOK2148" s="626" t="s">
        <v>1236</v>
      </c>
      <c r="FOL2148" s="626" t="s">
        <v>1236</v>
      </c>
      <c r="FOM2148" s="626" t="s">
        <v>1236</v>
      </c>
      <c r="FON2148" s="626" t="s">
        <v>1236</v>
      </c>
      <c r="FOO2148" s="626" t="s">
        <v>1236</v>
      </c>
      <c r="FOP2148" s="626" t="s">
        <v>1236</v>
      </c>
      <c r="FOQ2148" s="626" t="s">
        <v>1236</v>
      </c>
      <c r="FOR2148" s="626" t="s">
        <v>1236</v>
      </c>
      <c r="FOS2148" s="626" t="s">
        <v>1236</v>
      </c>
      <c r="FOT2148" s="626" t="s">
        <v>1236</v>
      </c>
      <c r="FOU2148" s="626" t="s">
        <v>1236</v>
      </c>
      <c r="FOV2148" s="626" t="s">
        <v>1236</v>
      </c>
      <c r="FOW2148" s="626" t="s">
        <v>1236</v>
      </c>
      <c r="FOX2148" s="626" t="s">
        <v>1236</v>
      </c>
      <c r="FOY2148" s="626" t="s">
        <v>1236</v>
      </c>
      <c r="FOZ2148" s="626" t="s">
        <v>1236</v>
      </c>
      <c r="FPA2148" s="626" t="s">
        <v>1236</v>
      </c>
      <c r="FPB2148" s="626" t="s">
        <v>1236</v>
      </c>
      <c r="FPC2148" s="626" t="s">
        <v>1236</v>
      </c>
      <c r="FPD2148" s="626" t="s">
        <v>1236</v>
      </c>
      <c r="FPE2148" s="626" t="s">
        <v>1236</v>
      </c>
      <c r="FPF2148" s="626" t="s">
        <v>1236</v>
      </c>
      <c r="FPG2148" s="626" t="s">
        <v>1236</v>
      </c>
      <c r="FPH2148" s="626" t="s">
        <v>1236</v>
      </c>
      <c r="FPI2148" s="626" t="s">
        <v>1236</v>
      </c>
      <c r="FPJ2148" s="626" t="s">
        <v>1236</v>
      </c>
      <c r="FPK2148" s="626" t="s">
        <v>1236</v>
      </c>
      <c r="FPL2148" s="626" t="s">
        <v>1236</v>
      </c>
      <c r="FPM2148" s="626" t="s">
        <v>1236</v>
      </c>
      <c r="FPN2148" s="626" t="s">
        <v>1236</v>
      </c>
      <c r="FPO2148" s="626" t="s">
        <v>1236</v>
      </c>
      <c r="FPP2148" s="626" t="s">
        <v>1236</v>
      </c>
      <c r="FPQ2148" s="626" t="s">
        <v>1236</v>
      </c>
      <c r="FPR2148" s="626" t="s">
        <v>1236</v>
      </c>
      <c r="FPS2148" s="626" t="s">
        <v>1236</v>
      </c>
      <c r="FPT2148" s="626" t="s">
        <v>1236</v>
      </c>
      <c r="FPU2148" s="626" t="s">
        <v>1236</v>
      </c>
      <c r="FPV2148" s="626" t="s">
        <v>1236</v>
      </c>
      <c r="FPW2148" s="626" t="s">
        <v>1236</v>
      </c>
      <c r="FPX2148" s="626" t="s">
        <v>1236</v>
      </c>
      <c r="FPY2148" s="626" t="s">
        <v>1236</v>
      </c>
      <c r="FPZ2148" s="626" t="s">
        <v>1236</v>
      </c>
      <c r="FQA2148" s="626" t="s">
        <v>1236</v>
      </c>
      <c r="FQB2148" s="626" t="s">
        <v>1236</v>
      </c>
      <c r="FQC2148" s="626" t="s">
        <v>1236</v>
      </c>
      <c r="FQD2148" s="626" t="s">
        <v>1236</v>
      </c>
      <c r="FQE2148" s="626" t="s">
        <v>1236</v>
      </c>
      <c r="FQF2148" s="626" t="s">
        <v>1236</v>
      </c>
      <c r="FQG2148" s="626" t="s">
        <v>1236</v>
      </c>
      <c r="FQH2148" s="626" t="s">
        <v>1236</v>
      </c>
      <c r="FQI2148" s="626" t="s">
        <v>1236</v>
      </c>
      <c r="FQJ2148" s="626" t="s">
        <v>1236</v>
      </c>
      <c r="FQK2148" s="626" t="s">
        <v>1236</v>
      </c>
      <c r="FQL2148" s="626" t="s">
        <v>1236</v>
      </c>
      <c r="FQM2148" s="626" t="s">
        <v>1236</v>
      </c>
      <c r="FQN2148" s="626" t="s">
        <v>1236</v>
      </c>
      <c r="FQO2148" s="626" t="s">
        <v>1236</v>
      </c>
      <c r="FQP2148" s="626" t="s">
        <v>1236</v>
      </c>
      <c r="FQQ2148" s="626" t="s">
        <v>1236</v>
      </c>
      <c r="FQR2148" s="626" t="s">
        <v>1236</v>
      </c>
      <c r="FQS2148" s="626" t="s">
        <v>1236</v>
      </c>
      <c r="FQT2148" s="626" t="s">
        <v>1236</v>
      </c>
      <c r="FQU2148" s="626" t="s">
        <v>1236</v>
      </c>
      <c r="FQV2148" s="626" t="s">
        <v>1236</v>
      </c>
      <c r="FQW2148" s="626" t="s">
        <v>1236</v>
      </c>
      <c r="FQX2148" s="626" t="s">
        <v>1236</v>
      </c>
      <c r="FQY2148" s="626" t="s">
        <v>1236</v>
      </c>
      <c r="FQZ2148" s="626" t="s">
        <v>1236</v>
      </c>
      <c r="FRA2148" s="626" t="s">
        <v>1236</v>
      </c>
      <c r="FRB2148" s="626" t="s">
        <v>1236</v>
      </c>
      <c r="FRC2148" s="626" t="s">
        <v>1236</v>
      </c>
      <c r="FRD2148" s="626" t="s">
        <v>1236</v>
      </c>
      <c r="FRE2148" s="626" t="s">
        <v>1236</v>
      </c>
      <c r="FRF2148" s="626" t="s">
        <v>1236</v>
      </c>
      <c r="FRG2148" s="626" t="s">
        <v>1236</v>
      </c>
      <c r="FRH2148" s="626" t="s">
        <v>1236</v>
      </c>
      <c r="FRI2148" s="626" t="s">
        <v>1236</v>
      </c>
      <c r="FRJ2148" s="626" t="s">
        <v>1236</v>
      </c>
      <c r="FRK2148" s="626" t="s">
        <v>1236</v>
      </c>
      <c r="FRL2148" s="626" t="s">
        <v>1236</v>
      </c>
      <c r="FRM2148" s="626" t="s">
        <v>1236</v>
      </c>
      <c r="FRN2148" s="626" t="s">
        <v>1236</v>
      </c>
      <c r="FRO2148" s="626" t="s">
        <v>1236</v>
      </c>
      <c r="FRP2148" s="626" t="s">
        <v>1236</v>
      </c>
      <c r="FRQ2148" s="626" t="s">
        <v>1236</v>
      </c>
      <c r="FRR2148" s="626" t="s">
        <v>1236</v>
      </c>
      <c r="FRS2148" s="626" t="s">
        <v>1236</v>
      </c>
      <c r="FRT2148" s="626" t="s">
        <v>1236</v>
      </c>
      <c r="FRU2148" s="626" t="s">
        <v>1236</v>
      </c>
      <c r="FRV2148" s="626" t="s">
        <v>1236</v>
      </c>
      <c r="FRW2148" s="626" t="s">
        <v>1236</v>
      </c>
      <c r="FRX2148" s="626" t="s">
        <v>1236</v>
      </c>
      <c r="FRY2148" s="626" t="s">
        <v>1236</v>
      </c>
      <c r="FRZ2148" s="626" t="s">
        <v>1236</v>
      </c>
      <c r="FSA2148" s="626" t="s">
        <v>1236</v>
      </c>
      <c r="FSB2148" s="626" t="s">
        <v>1236</v>
      </c>
      <c r="FSC2148" s="626" t="s">
        <v>1236</v>
      </c>
      <c r="FSD2148" s="626" t="s">
        <v>1236</v>
      </c>
      <c r="FSE2148" s="626" t="s">
        <v>1236</v>
      </c>
      <c r="FSF2148" s="626" t="s">
        <v>1236</v>
      </c>
      <c r="FSG2148" s="626" t="s">
        <v>1236</v>
      </c>
      <c r="FSH2148" s="626" t="s">
        <v>1236</v>
      </c>
      <c r="FSI2148" s="626" t="s">
        <v>1236</v>
      </c>
      <c r="FSJ2148" s="626" t="s">
        <v>1236</v>
      </c>
      <c r="FSK2148" s="626" t="s">
        <v>1236</v>
      </c>
      <c r="FSL2148" s="626" t="s">
        <v>1236</v>
      </c>
      <c r="FSM2148" s="626" t="s">
        <v>1236</v>
      </c>
      <c r="FSN2148" s="626" t="s">
        <v>1236</v>
      </c>
      <c r="FSO2148" s="626" t="s">
        <v>1236</v>
      </c>
      <c r="FSP2148" s="626" t="s">
        <v>1236</v>
      </c>
      <c r="FSQ2148" s="626" t="s">
        <v>1236</v>
      </c>
      <c r="FSR2148" s="626" t="s">
        <v>1236</v>
      </c>
      <c r="FSS2148" s="626" t="s">
        <v>1236</v>
      </c>
      <c r="FST2148" s="626" t="s">
        <v>1236</v>
      </c>
      <c r="FSU2148" s="626" t="s">
        <v>1236</v>
      </c>
      <c r="FSV2148" s="626" t="s">
        <v>1236</v>
      </c>
      <c r="FSW2148" s="626" t="s">
        <v>1236</v>
      </c>
      <c r="FSX2148" s="626" t="s">
        <v>1236</v>
      </c>
      <c r="FSY2148" s="626" t="s">
        <v>1236</v>
      </c>
      <c r="FSZ2148" s="626" t="s">
        <v>1236</v>
      </c>
      <c r="FTA2148" s="626" t="s">
        <v>1236</v>
      </c>
      <c r="FTB2148" s="626" t="s">
        <v>1236</v>
      </c>
      <c r="FTC2148" s="626" t="s">
        <v>1236</v>
      </c>
      <c r="FTD2148" s="626" t="s">
        <v>1236</v>
      </c>
      <c r="FTE2148" s="626" t="s">
        <v>1236</v>
      </c>
      <c r="FTF2148" s="626" t="s">
        <v>1236</v>
      </c>
      <c r="FTG2148" s="626" t="s">
        <v>1236</v>
      </c>
      <c r="FTH2148" s="626" t="s">
        <v>1236</v>
      </c>
      <c r="FTI2148" s="626" t="s">
        <v>1236</v>
      </c>
      <c r="FTJ2148" s="626" t="s">
        <v>1236</v>
      </c>
      <c r="FTK2148" s="626" t="s">
        <v>1236</v>
      </c>
      <c r="FTL2148" s="626" t="s">
        <v>1236</v>
      </c>
      <c r="FTM2148" s="626" t="s">
        <v>1236</v>
      </c>
      <c r="FTN2148" s="626" t="s">
        <v>1236</v>
      </c>
      <c r="FTO2148" s="626" t="s">
        <v>1236</v>
      </c>
      <c r="FTP2148" s="626" t="s">
        <v>1236</v>
      </c>
      <c r="FTQ2148" s="626" t="s">
        <v>1236</v>
      </c>
      <c r="FTR2148" s="626" t="s">
        <v>1236</v>
      </c>
      <c r="FTS2148" s="626" t="s">
        <v>1236</v>
      </c>
      <c r="FTT2148" s="626" t="s">
        <v>1236</v>
      </c>
      <c r="FTU2148" s="626" t="s">
        <v>1236</v>
      </c>
      <c r="FTV2148" s="626" t="s">
        <v>1236</v>
      </c>
      <c r="FTW2148" s="626" t="s">
        <v>1236</v>
      </c>
      <c r="FTX2148" s="626" t="s">
        <v>1236</v>
      </c>
      <c r="FTY2148" s="626" t="s">
        <v>1236</v>
      </c>
      <c r="FTZ2148" s="626" t="s">
        <v>1236</v>
      </c>
      <c r="FUA2148" s="626" t="s">
        <v>1236</v>
      </c>
      <c r="FUB2148" s="626" t="s">
        <v>1236</v>
      </c>
      <c r="FUC2148" s="626" t="s">
        <v>1236</v>
      </c>
      <c r="FUD2148" s="626" t="s">
        <v>1236</v>
      </c>
      <c r="FUE2148" s="626" t="s">
        <v>1236</v>
      </c>
      <c r="FUF2148" s="626" t="s">
        <v>1236</v>
      </c>
      <c r="FUG2148" s="626" t="s">
        <v>1236</v>
      </c>
      <c r="FUH2148" s="626" t="s">
        <v>1236</v>
      </c>
      <c r="FUI2148" s="626" t="s">
        <v>1236</v>
      </c>
      <c r="FUJ2148" s="626" t="s">
        <v>1236</v>
      </c>
      <c r="FUK2148" s="626" t="s">
        <v>1236</v>
      </c>
      <c r="FUL2148" s="626" t="s">
        <v>1236</v>
      </c>
      <c r="FUM2148" s="626" t="s">
        <v>1236</v>
      </c>
      <c r="FUN2148" s="626" t="s">
        <v>1236</v>
      </c>
      <c r="FUO2148" s="626" t="s">
        <v>1236</v>
      </c>
      <c r="FUP2148" s="626" t="s">
        <v>1236</v>
      </c>
      <c r="FUQ2148" s="626" t="s">
        <v>1236</v>
      </c>
      <c r="FUR2148" s="626" t="s">
        <v>1236</v>
      </c>
      <c r="FUS2148" s="626" t="s">
        <v>1236</v>
      </c>
      <c r="FUT2148" s="626" t="s">
        <v>1236</v>
      </c>
      <c r="FUU2148" s="626" t="s">
        <v>1236</v>
      </c>
      <c r="FUV2148" s="626" t="s">
        <v>1236</v>
      </c>
      <c r="FUW2148" s="626" t="s">
        <v>1236</v>
      </c>
      <c r="FUX2148" s="626" t="s">
        <v>1236</v>
      </c>
      <c r="FUY2148" s="626" t="s">
        <v>1236</v>
      </c>
      <c r="FUZ2148" s="626" t="s">
        <v>1236</v>
      </c>
      <c r="FVA2148" s="626" t="s">
        <v>1236</v>
      </c>
      <c r="FVB2148" s="626" t="s">
        <v>1236</v>
      </c>
      <c r="FVC2148" s="626" t="s">
        <v>1236</v>
      </c>
      <c r="FVD2148" s="626" t="s">
        <v>1236</v>
      </c>
      <c r="FVE2148" s="626" t="s">
        <v>1236</v>
      </c>
      <c r="FVF2148" s="626" t="s">
        <v>1236</v>
      </c>
      <c r="FVG2148" s="626" t="s">
        <v>1236</v>
      </c>
      <c r="FVH2148" s="626" t="s">
        <v>1236</v>
      </c>
      <c r="FVI2148" s="626" t="s">
        <v>1236</v>
      </c>
      <c r="FVJ2148" s="626" t="s">
        <v>1236</v>
      </c>
      <c r="FVK2148" s="626" t="s">
        <v>1236</v>
      </c>
      <c r="FVL2148" s="626" t="s">
        <v>1236</v>
      </c>
      <c r="FVM2148" s="626" t="s">
        <v>1236</v>
      </c>
      <c r="FVN2148" s="626" t="s">
        <v>1236</v>
      </c>
      <c r="FVO2148" s="626" t="s">
        <v>1236</v>
      </c>
      <c r="FVP2148" s="626" t="s">
        <v>1236</v>
      </c>
      <c r="FVQ2148" s="626" t="s">
        <v>1236</v>
      </c>
      <c r="FVR2148" s="626" t="s">
        <v>1236</v>
      </c>
      <c r="FVS2148" s="626" t="s">
        <v>1236</v>
      </c>
      <c r="FVT2148" s="626" t="s">
        <v>1236</v>
      </c>
      <c r="FVU2148" s="626" t="s">
        <v>1236</v>
      </c>
      <c r="FVV2148" s="626" t="s">
        <v>1236</v>
      </c>
      <c r="FVW2148" s="626" t="s">
        <v>1236</v>
      </c>
      <c r="FVX2148" s="626" t="s">
        <v>1236</v>
      </c>
      <c r="FVY2148" s="626" t="s">
        <v>1236</v>
      </c>
      <c r="FVZ2148" s="626" t="s">
        <v>1236</v>
      </c>
      <c r="FWA2148" s="626" t="s">
        <v>1236</v>
      </c>
      <c r="FWB2148" s="626" t="s">
        <v>1236</v>
      </c>
      <c r="FWC2148" s="626" t="s">
        <v>1236</v>
      </c>
      <c r="FWD2148" s="626" t="s">
        <v>1236</v>
      </c>
      <c r="FWE2148" s="626" t="s">
        <v>1236</v>
      </c>
      <c r="FWF2148" s="626" t="s">
        <v>1236</v>
      </c>
      <c r="FWG2148" s="626" t="s">
        <v>1236</v>
      </c>
      <c r="FWH2148" s="626" t="s">
        <v>1236</v>
      </c>
      <c r="FWI2148" s="626" t="s">
        <v>1236</v>
      </c>
      <c r="FWJ2148" s="626" t="s">
        <v>1236</v>
      </c>
      <c r="FWK2148" s="626" t="s">
        <v>1236</v>
      </c>
      <c r="FWL2148" s="626" t="s">
        <v>1236</v>
      </c>
      <c r="FWM2148" s="626" t="s">
        <v>1236</v>
      </c>
      <c r="FWN2148" s="626" t="s">
        <v>1236</v>
      </c>
      <c r="FWO2148" s="626" t="s">
        <v>1236</v>
      </c>
      <c r="FWP2148" s="626" t="s">
        <v>1236</v>
      </c>
      <c r="FWQ2148" s="626" t="s">
        <v>1236</v>
      </c>
      <c r="FWR2148" s="626" t="s">
        <v>1236</v>
      </c>
      <c r="FWS2148" s="626" t="s">
        <v>1236</v>
      </c>
      <c r="FWT2148" s="626" t="s">
        <v>1236</v>
      </c>
      <c r="FWU2148" s="626" t="s">
        <v>1236</v>
      </c>
      <c r="FWV2148" s="626" t="s">
        <v>1236</v>
      </c>
      <c r="FWW2148" s="626" t="s">
        <v>1236</v>
      </c>
      <c r="FWX2148" s="626" t="s">
        <v>1236</v>
      </c>
      <c r="FWY2148" s="626" t="s">
        <v>1236</v>
      </c>
      <c r="FWZ2148" s="626" t="s">
        <v>1236</v>
      </c>
      <c r="FXA2148" s="626" t="s">
        <v>1236</v>
      </c>
      <c r="FXB2148" s="626" t="s">
        <v>1236</v>
      </c>
      <c r="FXC2148" s="626" t="s">
        <v>1236</v>
      </c>
      <c r="FXD2148" s="626" t="s">
        <v>1236</v>
      </c>
      <c r="FXE2148" s="626" t="s">
        <v>1236</v>
      </c>
      <c r="FXF2148" s="626" t="s">
        <v>1236</v>
      </c>
      <c r="FXG2148" s="626" t="s">
        <v>1236</v>
      </c>
      <c r="FXH2148" s="626" t="s">
        <v>1236</v>
      </c>
      <c r="FXI2148" s="626" t="s">
        <v>1236</v>
      </c>
      <c r="FXJ2148" s="626" t="s">
        <v>1236</v>
      </c>
      <c r="FXK2148" s="626" t="s">
        <v>1236</v>
      </c>
      <c r="FXL2148" s="626" t="s">
        <v>1236</v>
      </c>
      <c r="FXM2148" s="626" t="s">
        <v>1236</v>
      </c>
      <c r="FXN2148" s="626" t="s">
        <v>1236</v>
      </c>
      <c r="FXO2148" s="626" t="s">
        <v>1236</v>
      </c>
      <c r="FXP2148" s="626" t="s">
        <v>1236</v>
      </c>
      <c r="FXQ2148" s="626" t="s">
        <v>1236</v>
      </c>
      <c r="FXR2148" s="626" t="s">
        <v>1236</v>
      </c>
      <c r="FXS2148" s="626" t="s">
        <v>1236</v>
      </c>
      <c r="FXT2148" s="626" t="s">
        <v>1236</v>
      </c>
      <c r="FXU2148" s="626" t="s">
        <v>1236</v>
      </c>
      <c r="FXV2148" s="626" t="s">
        <v>1236</v>
      </c>
      <c r="FXW2148" s="626" t="s">
        <v>1236</v>
      </c>
      <c r="FXX2148" s="626" t="s">
        <v>1236</v>
      </c>
      <c r="FXY2148" s="626" t="s">
        <v>1236</v>
      </c>
      <c r="FXZ2148" s="626" t="s">
        <v>1236</v>
      </c>
      <c r="FYA2148" s="626" t="s">
        <v>1236</v>
      </c>
      <c r="FYB2148" s="626" t="s">
        <v>1236</v>
      </c>
      <c r="FYC2148" s="626" t="s">
        <v>1236</v>
      </c>
      <c r="FYD2148" s="626" t="s">
        <v>1236</v>
      </c>
      <c r="FYE2148" s="626" t="s">
        <v>1236</v>
      </c>
      <c r="FYF2148" s="626" t="s">
        <v>1236</v>
      </c>
      <c r="FYG2148" s="626" t="s">
        <v>1236</v>
      </c>
      <c r="FYH2148" s="626" t="s">
        <v>1236</v>
      </c>
      <c r="FYI2148" s="626" t="s">
        <v>1236</v>
      </c>
      <c r="FYJ2148" s="626" t="s">
        <v>1236</v>
      </c>
      <c r="FYK2148" s="626" t="s">
        <v>1236</v>
      </c>
      <c r="FYL2148" s="626" t="s">
        <v>1236</v>
      </c>
      <c r="FYM2148" s="626" t="s">
        <v>1236</v>
      </c>
      <c r="FYN2148" s="626" t="s">
        <v>1236</v>
      </c>
      <c r="FYO2148" s="626" t="s">
        <v>1236</v>
      </c>
      <c r="FYP2148" s="626" t="s">
        <v>1236</v>
      </c>
      <c r="FYQ2148" s="626" t="s">
        <v>1236</v>
      </c>
      <c r="FYR2148" s="626" t="s">
        <v>1236</v>
      </c>
      <c r="FYS2148" s="626" t="s">
        <v>1236</v>
      </c>
      <c r="FYT2148" s="626" t="s">
        <v>1236</v>
      </c>
      <c r="FYU2148" s="626" t="s">
        <v>1236</v>
      </c>
      <c r="FYV2148" s="626" t="s">
        <v>1236</v>
      </c>
      <c r="FYW2148" s="626" t="s">
        <v>1236</v>
      </c>
      <c r="FYX2148" s="626" t="s">
        <v>1236</v>
      </c>
      <c r="FYY2148" s="626" t="s">
        <v>1236</v>
      </c>
      <c r="FYZ2148" s="626" t="s">
        <v>1236</v>
      </c>
      <c r="FZA2148" s="626" t="s">
        <v>1236</v>
      </c>
      <c r="FZB2148" s="626" t="s">
        <v>1236</v>
      </c>
      <c r="FZC2148" s="626" t="s">
        <v>1236</v>
      </c>
      <c r="FZD2148" s="626" t="s">
        <v>1236</v>
      </c>
      <c r="FZE2148" s="626" t="s">
        <v>1236</v>
      </c>
      <c r="FZF2148" s="626" t="s">
        <v>1236</v>
      </c>
      <c r="FZG2148" s="626" t="s">
        <v>1236</v>
      </c>
      <c r="FZH2148" s="626" t="s">
        <v>1236</v>
      </c>
      <c r="FZI2148" s="626" t="s">
        <v>1236</v>
      </c>
      <c r="FZJ2148" s="626" t="s">
        <v>1236</v>
      </c>
      <c r="FZK2148" s="626" t="s">
        <v>1236</v>
      </c>
      <c r="FZL2148" s="626" t="s">
        <v>1236</v>
      </c>
      <c r="FZM2148" s="626" t="s">
        <v>1236</v>
      </c>
      <c r="FZN2148" s="626" t="s">
        <v>1236</v>
      </c>
      <c r="FZO2148" s="626" t="s">
        <v>1236</v>
      </c>
      <c r="FZP2148" s="626" t="s">
        <v>1236</v>
      </c>
      <c r="FZQ2148" s="626" t="s">
        <v>1236</v>
      </c>
      <c r="FZR2148" s="626" t="s">
        <v>1236</v>
      </c>
      <c r="FZS2148" s="626" t="s">
        <v>1236</v>
      </c>
      <c r="FZT2148" s="626" t="s">
        <v>1236</v>
      </c>
      <c r="FZU2148" s="626" t="s">
        <v>1236</v>
      </c>
      <c r="FZV2148" s="626" t="s">
        <v>1236</v>
      </c>
      <c r="FZW2148" s="626" t="s">
        <v>1236</v>
      </c>
      <c r="FZX2148" s="626" t="s">
        <v>1236</v>
      </c>
      <c r="FZY2148" s="626" t="s">
        <v>1236</v>
      </c>
      <c r="FZZ2148" s="626" t="s">
        <v>1236</v>
      </c>
      <c r="GAA2148" s="626" t="s">
        <v>1236</v>
      </c>
      <c r="GAB2148" s="626" t="s">
        <v>1236</v>
      </c>
      <c r="GAC2148" s="626" t="s">
        <v>1236</v>
      </c>
      <c r="GAD2148" s="626" t="s">
        <v>1236</v>
      </c>
      <c r="GAE2148" s="626" t="s">
        <v>1236</v>
      </c>
      <c r="GAF2148" s="626" t="s">
        <v>1236</v>
      </c>
      <c r="GAG2148" s="626" t="s">
        <v>1236</v>
      </c>
      <c r="GAH2148" s="626" t="s">
        <v>1236</v>
      </c>
      <c r="GAI2148" s="626" t="s">
        <v>1236</v>
      </c>
      <c r="GAJ2148" s="626" t="s">
        <v>1236</v>
      </c>
      <c r="GAK2148" s="626" t="s">
        <v>1236</v>
      </c>
      <c r="GAL2148" s="626" t="s">
        <v>1236</v>
      </c>
      <c r="GAM2148" s="626" t="s">
        <v>1236</v>
      </c>
      <c r="GAN2148" s="626" t="s">
        <v>1236</v>
      </c>
      <c r="GAO2148" s="626" t="s">
        <v>1236</v>
      </c>
      <c r="GAP2148" s="626" t="s">
        <v>1236</v>
      </c>
      <c r="GAQ2148" s="626" t="s">
        <v>1236</v>
      </c>
      <c r="GAR2148" s="626" t="s">
        <v>1236</v>
      </c>
      <c r="GAS2148" s="626" t="s">
        <v>1236</v>
      </c>
      <c r="GAT2148" s="626" t="s">
        <v>1236</v>
      </c>
      <c r="GAU2148" s="626" t="s">
        <v>1236</v>
      </c>
      <c r="GAV2148" s="626" t="s">
        <v>1236</v>
      </c>
      <c r="GAW2148" s="626" t="s">
        <v>1236</v>
      </c>
      <c r="GAX2148" s="626" t="s">
        <v>1236</v>
      </c>
      <c r="GAY2148" s="626" t="s">
        <v>1236</v>
      </c>
      <c r="GAZ2148" s="626" t="s">
        <v>1236</v>
      </c>
      <c r="GBA2148" s="626" t="s">
        <v>1236</v>
      </c>
      <c r="GBB2148" s="626" t="s">
        <v>1236</v>
      </c>
      <c r="GBC2148" s="626" t="s">
        <v>1236</v>
      </c>
      <c r="GBD2148" s="626" t="s">
        <v>1236</v>
      </c>
      <c r="GBE2148" s="626" t="s">
        <v>1236</v>
      </c>
      <c r="GBF2148" s="626" t="s">
        <v>1236</v>
      </c>
      <c r="GBG2148" s="626" t="s">
        <v>1236</v>
      </c>
      <c r="GBH2148" s="626" t="s">
        <v>1236</v>
      </c>
      <c r="GBI2148" s="626" t="s">
        <v>1236</v>
      </c>
      <c r="GBJ2148" s="626" t="s">
        <v>1236</v>
      </c>
      <c r="GBK2148" s="626" t="s">
        <v>1236</v>
      </c>
      <c r="GBL2148" s="626" t="s">
        <v>1236</v>
      </c>
      <c r="GBM2148" s="626" t="s">
        <v>1236</v>
      </c>
      <c r="GBN2148" s="626" t="s">
        <v>1236</v>
      </c>
      <c r="GBO2148" s="626" t="s">
        <v>1236</v>
      </c>
      <c r="GBP2148" s="626" t="s">
        <v>1236</v>
      </c>
      <c r="GBQ2148" s="626" t="s">
        <v>1236</v>
      </c>
      <c r="GBR2148" s="626" t="s">
        <v>1236</v>
      </c>
      <c r="GBS2148" s="626" t="s">
        <v>1236</v>
      </c>
      <c r="GBT2148" s="626" t="s">
        <v>1236</v>
      </c>
      <c r="GBU2148" s="626" t="s">
        <v>1236</v>
      </c>
      <c r="GBV2148" s="626" t="s">
        <v>1236</v>
      </c>
      <c r="GBW2148" s="626" t="s">
        <v>1236</v>
      </c>
      <c r="GBX2148" s="626" t="s">
        <v>1236</v>
      </c>
      <c r="GBY2148" s="626" t="s">
        <v>1236</v>
      </c>
      <c r="GBZ2148" s="626" t="s">
        <v>1236</v>
      </c>
      <c r="GCA2148" s="626" t="s">
        <v>1236</v>
      </c>
      <c r="GCB2148" s="626" t="s">
        <v>1236</v>
      </c>
      <c r="GCC2148" s="626" t="s">
        <v>1236</v>
      </c>
      <c r="GCD2148" s="626" t="s">
        <v>1236</v>
      </c>
      <c r="GCE2148" s="626" t="s">
        <v>1236</v>
      </c>
      <c r="GCF2148" s="626" t="s">
        <v>1236</v>
      </c>
      <c r="GCG2148" s="626" t="s">
        <v>1236</v>
      </c>
      <c r="GCH2148" s="626" t="s">
        <v>1236</v>
      </c>
      <c r="GCI2148" s="626" t="s">
        <v>1236</v>
      </c>
      <c r="GCJ2148" s="626" t="s">
        <v>1236</v>
      </c>
      <c r="GCK2148" s="626" t="s">
        <v>1236</v>
      </c>
      <c r="GCL2148" s="626" t="s">
        <v>1236</v>
      </c>
      <c r="GCM2148" s="626" t="s">
        <v>1236</v>
      </c>
      <c r="GCN2148" s="626" t="s">
        <v>1236</v>
      </c>
      <c r="GCO2148" s="626" t="s">
        <v>1236</v>
      </c>
      <c r="GCP2148" s="626" t="s">
        <v>1236</v>
      </c>
      <c r="GCQ2148" s="626" t="s">
        <v>1236</v>
      </c>
      <c r="GCR2148" s="626" t="s">
        <v>1236</v>
      </c>
      <c r="GCS2148" s="626" t="s">
        <v>1236</v>
      </c>
      <c r="GCT2148" s="626" t="s">
        <v>1236</v>
      </c>
      <c r="GCU2148" s="626" t="s">
        <v>1236</v>
      </c>
      <c r="GCV2148" s="626" t="s">
        <v>1236</v>
      </c>
      <c r="GCW2148" s="626" t="s">
        <v>1236</v>
      </c>
      <c r="GCX2148" s="626" t="s">
        <v>1236</v>
      </c>
      <c r="GCY2148" s="626" t="s">
        <v>1236</v>
      </c>
      <c r="GCZ2148" s="626" t="s">
        <v>1236</v>
      </c>
      <c r="GDA2148" s="626" t="s">
        <v>1236</v>
      </c>
      <c r="GDB2148" s="626" t="s">
        <v>1236</v>
      </c>
      <c r="GDC2148" s="626" t="s">
        <v>1236</v>
      </c>
      <c r="GDD2148" s="626" t="s">
        <v>1236</v>
      </c>
      <c r="GDE2148" s="626" t="s">
        <v>1236</v>
      </c>
      <c r="GDF2148" s="626" t="s">
        <v>1236</v>
      </c>
      <c r="GDG2148" s="626" t="s">
        <v>1236</v>
      </c>
      <c r="GDH2148" s="626" t="s">
        <v>1236</v>
      </c>
      <c r="GDI2148" s="626" t="s">
        <v>1236</v>
      </c>
      <c r="GDJ2148" s="626" t="s">
        <v>1236</v>
      </c>
      <c r="GDK2148" s="626" t="s">
        <v>1236</v>
      </c>
      <c r="GDL2148" s="626" t="s">
        <v>1236</v>
      </c>
      <c r="GDM2148" s="626" t="s">
        <v>1236</v>
      </c>
      <c r="GDN2148" s="626" t="s">
        <v>1236</v>
      </c>
      <c r="GDO2148" s="626" t="s">
        <v>1236</v>
      </c>
      <c r="GDP2148" s="626" t="s">
        <v>1236</v>
      </c>
      <c r="GDQ2148" s="626" t="s">
        <v>1236</v>
      </c>
      <c r="GDR2148" s="626" t="s">
        <v>1236</v>
      </c>
      <c r="GDS2148" s="626" t="s">
        <v>1236</v>
      </c>
      <c r="GDT2148" s="626" t="s">
        <v>1236</v>
      </c>
      <c r="GDU2148" s="626" t="s">
        <v>1236</v>
      </c>
      <c r="GDV2148" s="626" t="s">
        <v>1236</v>
      </c>
      <c r="GDW2148" s="626" t="s">
        <v>1236</v>
      </c>
      <c r="GDX2148" s="626" t="s">
        <v>1236</v>
      </c>
      <c r="GDY2148" s="626" t="s">
        <v>1236</v>
      </c>
      <c r="GDZ2148" s="626" t="s">
        <v>1236</v>
      </c>
      <c r="GEA2148" s="626" t="s">
        <v>1236</v>
      </c>
      <c r="GEB2148" s="626" t="s">
        <v>1236</v>
      </c>
      <c r="GEC2148" s="626" t="s">
        <v>1236</v>
      </c>
      <c r="GED2148" s="626" t="s">
        <v>1236</v>
      </c>
      <c r="GEE2148" s="626" t="s">
        <v>1236</v>
      </c>
      <c r="GEF2148" s="626" t="s">
        <v>1236</v>
      </c>
      <c r="GEG2148" s="626" t="s">
        <v>1236</v>
      </c>
      <c r="GEH2148" s="626" t="s">
        <v>1236</v>
      </c>
      <c r="GEI2148" s="626" t="s">
        <v>1236</v>
      </c>
      <c r="GEJ2148" s="626" t="s">
        <v>1236</v>
      </c>
      <c r="GEK2148" s="626" t="s">
        <v>1236</v>
      </c>
      <c r="GEL2148" s="626" t="s">
        <v>1236</v>
      </c>
      <c r="GEM2148" s="626" t="s">
        <v>1236</v>
      </c>
      <c r="GEN2148" s="626" t="s">
        <v>1236</v>
      </c>
      <c r="GEO2148" s="626" t="s">
        <v>1236</v>
      </c>
      <c r="GEP2148" s="626" t="s">
        <v>1236</v>
      </c>
      <c r="GEQ2148" s="626" t="s">
        <v>1236</v>
      </c>
      <c r="GER2148" s="626" t="s">
        <v>1236</v>
      </c>
      <c r="GES2148" s="626" t="s">
        <v>1236</v>
      </c>
      <c r="GET2148" s="626" t="s">
        <v>1236</v>
      </c>
      <c r="GEU2148" s="626" t="s">
        <v>1236</v>
      </c>
      <c r="GEV2148" s="626" t="s">
        <v>1236</v>
      </c>
      <c r="GEW2148" s="626" t="s">
        <v>1236</v>
      </c>
      <c r="GEX2148" s="626" t="s">
        <v>1236</v>
      </c>
      <c r="GEY2148" s="626" t="s">
        <v>1236</v>
      </c>
      <c r="GEZ2148" s="626" t="s">
        <v>1236</v>
      </c>
      <c r="GFA2148" s="626" t="s">
        <v>1236</v>
      </c>
      <c r="GFB2148" s="626" t="s">
        <v>1236</v>
      </c>
      <c r="GFC2148" s="626" t="s">
        <v>1236</v>
      </c>
      <c r="GFD2148" s="626" t="s">
        <v>1236</v>
      </c>
      <c r="GFE2148" s="626" t="s">
        <v>1236</v>
      </c>
      <c r="GFF2148" s="626" t="s">
        <v>1236</v>
      </c>
      <c r="GFG2148" s="626" t="s">
        <v>1236</v>
      </c>
      <c r="GFH2148" s="626" t="s">
        <v>1236</v>
      </c>
      <c r="GFI2148" s="626" t="s">
        <v>1236</v>
      </c>
      <c r="GFJ2148" s="626" t="s">
        <v>1236</v>
      </c>
      <c r="GFK2148" s="626" t="s">
        <v>1236</v>
      </c>
      <c r="GFL2148" s="626" t="s">
        <v>1236</v>
      </c>
      <c r="GFM2148" s="626" t="s">
        <v>1236</v>
      </c>
      <c r="GFN2148" s="626" t="s">
        <v>1236</v>
      </c>
      <c r="GFO2148" s="626" t="s">
        <v>1236</v>
      </c>
      <c r="GFP2148" s="626" t="s">
        <v>1236</v>
      </c>
      <c r="GFQ2148" s="626" t="s">
        <v>1236</v>
      </c>
      <c r="GFR2148" s="626" t="s">
        <v>1236</v>
      </c>
      <c r="GFS2148" s="626" t="s">
        <v>1236</v>
      </c>
      <c r="GFT2148" s="626" t="s">
        <v>1236</v>
      </c>
      <c r="GFU2148" s="626" t="s">
        <v>1236</v>
      </c>
      <c r="GFV2148" s="626" t="s">
        <v>1236</v>
      </c>
      <c r="GFW2148" s="626" t="s">
        <v>1236</v>
      </c>
      <c r="GFX2148" s="626" t="s">
        <v>1236</v>
      </c>
      <c r="GFY2148" s="626" t="s">
        <v>1236</v>
      </c>
      <c r="GFZ2148" s="626" t="s">
        <v>1236</v>
      </c>
      <c r="GGA2148" s="626" t="s">
        <v>1236</v>
      </c>
      <c r="GGB2148" s="626" t="s">
        <v>1236</v>
      </c>
      <c r="GGC2148" s="626" t="s">
        <v>1236</v>
      </c>
      <c r="GGD2148" s="626" t="s">
        <v>1236</v>
      </c>
      <c r="GGE2148" s="626" t="s">
        <v>1236</v>
      </c>
      <c r="GGF2148" s="626" t="s">
        <v>1236</v>
      </c>
      <c r="GGG2148" s="626" t="s">
        <v>1236</v>
      </c>
      <c r="GGH2148" s="626" t="s">
        <v>1236</v>
      </c>
      <c r="GGI2148" s="626" t="s">
        <v>1236</v>
      </c>
      <c r="GGJ2148" s="626" t="s">
        <v>1236</v>
      </c>
      <c r="GGK2148" s="626" t="s">
        <v>1236</v>
      </c>
      <c r="GGL2148" s="626" t="s">
        <v>1236</v>
      </c>
      <c r="GGM2148" s="626" t="s">
        <v>1236</v>
      </c>
      <c r="GGN2148" s="626" t="s">
        <v>1236</v>
      </c>
      <c r="GGO2148" s="626" t="s">
        <v>1236</v>
      </c>
      <c r="GGP2148" s="626" t="s">
        <v>1236</v>
      </c>
      <c r="GGQ2148" s="626" t="s">
        <v>1236</v>
      </c>
      <c r="GGR2148" s="626" t="s">
        <v>1236</v>
      </c>
      <c r="GGS2148" s="626" t="s">
        <v>1236</v>
      </c>
      <c r="GGT2148" s="626" t="s">
        <v>1236</v>
      </c>
      <c r="GGU2148" s="626" t="s">
        <v>1236</v>
      </c>
      <c r="GGV2148" s="626" t="s">
        <v>1236</v>
      </c>
      <c r="GGW2148" s="626" t="s">
        <v>1236</v>
      </c>
      <c r="GGX2148" s="626" t="s">
        <v>1236</v>
      </c>
      <c r="GGY2148" s="626" t="s">
        <v>1236</v>
      </c>
      <c r="GGZ2148" s="626" t="s">
        <v>1236</v>
      </c>
      <c r="GHA2148" s="626" t="s">
        <v>1236</v>
      </c>
      <c r="GHB2148" s="626" t="s">
        <v>1236</v>
      </c>
      <c r="GHC2148" s="626" t="s">
        <v>1236</v>
      </c>
      <c r="GHD2148" s="626" t="s">
        <v>1236</v>
      </c>
      <c r="GHE2148" s="626" t="s">
        <v>1236</v>
      </c>
      <c r="GHF2148" s="626" t="s">
        <v>1236</v>
      </c>
      <c r="GHG2148" s="626" t="s">
        <v>1236</v>
      </c>
      <c r="GHH2148" s="626" t="s">
        <v>1236</v>
      </c>
      <c r="GHI2148" s="626" t="s">
        <v>1236</v>
      </c>
      <c r="GHJ2148" s="626" t="s">
        <v>1236</v>
      </c>
      <c r="GHK2148" s="626" t="s">
        <v>1236</v>
      </c>
      <c r="GHL2148" s="626" t="s">
        <v>1236</v>
      </c>
      <c r="GHM2148" s="626" t="s">
        <v>1236</v>
      </c>
      <c r="GHN2148" s="626" t="s">
        <v>1236</v>
      </c>
      <c r="GHO2148" s="626" t="s">
        <v>1236</v>
      </c>
      <c r="GHP2148" s="626" t="s">
        <v>1236</v>
      </c>
      <c r="GHQ2148" s="626" t="s">
        <v>1236</v>
      </c>
      <c r="GHR2148" s="626" t="s">
        <v>1236</v>
      </c>
      <c r="GHS2148" s="626" t="s">
        <v>1236</v>
      </c>
      <c r="GHT2148" s="626" t="s">
        <v>1236</v>
      </c>
      <c r="GHU2148" s="626" t="s">
        <v>1236</v>
      </c>
      <c r="GHV2148" s="626" t="s">
        <v>1236</v>
      </c>
      <c r="GHW2148" s="626" t="s">
        <v>1236</v>
      </c>
      <c r="GHX2148" s="626" t="s">
        <v>1236</v>
      </c>
      <c r="GHY2148" s="626" t="s">
        <v>1236</v>
      </c>
      <c r="GHZ2148" s="626" t="s">
        <v>1236</v>
      </c>
      <c r="GIA2148" s="626" t="s">
        <v>1236</v>
      </c>
      <c r="GIB2148" s="626" t="s">
        <v>1236</v>
      </c>
      <c r="GIC2148" s="626" t="s">
        <v>1236</v>
      </c>
      <c r="GID2148" s="626" t="s">
        <v>1236</v>
      </c>
      <c r="GIE2148" s="626" t="s">
        <v>1236</v>
      </c>
      <c r="GIF2148" s="626" t="s">
        <v>1236</v>
      </c>
      <c r="GIG2148" s="626" t="s">
        <v>1236</v>
      </c>
      <c r="GIH2148" s="626" t="s">
        <v>1236</v>
      </c>
      <c r="GII2148" s="626" t="s">
        <v>1236</v>
      </c>
      <c r="GIJ2148" s="626" t="s">
        <v>1236</v>
      </c>
      <c r="GIK2148" s="626" t="s">
        <v>1236</v>
      </c>
      <c r="GIL2148" s="626" t="s">
        <v>1236</v>
      </c>
      <c r="GIM2148" s="626" t="s">
        <v>1236</v>
      </c>
      <c r="GIN2148" s="626" t="s">
        <v>1236</v>
      </c>
      <c r="GIO2148" s="626" t="s">
        <v>1236</v>
      </c>
      <c r="GIP2148" s="626" t="s">
        <v>1236</v>
      </c>
      <c r="GIQ2148" s="626" t="s">
        <v>1236</v>
      </c>
      <c r="GIR2148" s="626" t="s">
        <v>1236</v>
      </c>
      <c r="GIS2148" s="626" t="s">
        <v>1236</v>
      </c>
      <c r="GIT2148" s="626" t="s">
        <v>1236</v>
      </c>
      <c r="GIU2148" s="626" t="s">
        <v>1236</v>
      </c>
      <c r="GIV2148" s="626" t="s">
        <v>1236</v>
      </c>
      <c r="GIW2148" s="626" t="s">
        <v>1236</v>
      </c>
      <c r="GIX2148" s="626" t="s">
        <v>1236</v>
      </c>
      <c r="GIY2148" s="626" t="s">
        <v>1236</v>
      </c>
      <c r="GIZ2148" s="626" t="s">
        <v>1236</v>
      </c>
      <c r="GJA2148" s="626" t="s">
        <v>1236</v>
      </c>
      <c r="GJB2148" s="626" t="s">
        <v>1236</v>
      </c>
      <c r="GJC2148" s="626" t="s">
        <v>1236</v>
      </c>
      <c r="GJD2148" s="626" t="s">
        <v>1236</v>
      </c>
      <c r="GJE2148" s="626" t="s">
        <v>1236</v>
      </c>
      <c r="GJF2148" s="626" t="s">
        <v>1236</v>
      </c>
      <c r="GJG2148" s="626" t="s">
        <v>1236</v>
      </c>
      <c r="GJH2148" s="626" t="s">
        <v>1236</v>
      </c>
      <c r="GJI2148" s="626" t="s">
        <v>1236</v>
      </c>
      <c r="GJJ2148" s="626" t="s">
        <v>1236</v>
      </c>
      <c r="GJK2148" s="626" t="s">
        <v>1236</v>
      </c>
      <c r="GJL2148" s="626" t="s">
        <v>1236</v>
      </c>
      <c r="GJM2148" s="626" t="s">
        <v>1236</v>
      </c>
      <c r="GJN2148" s="626" t="s">
        <v>1236</v>
      </c>
      <c r="GJO2148" s="626" t="s">
        <v>1236</v>
      </c>
      <c r="GJP2148" s="626" t="s">
        <v>1236</v>
      </c>
      <c r="GJQ2148" s="626" t="s">
        <v>1236</v>
      </c>
      <c r="GJR2148" s="626" t="s">
        <v>1236</v>
      </c>
      <c r="GJS2148" s="626" t="s">
        <v>1236</v>
      </c>
      <c r="GJT2148" s="626" t="s">
        <v>1236</v>
      </c>
      <c r="GJU2148" s="626" t="s">
        <v>1236</v>
      </c>
      <c r="GJV2148" s="626" t="s">
        <v>1236</v>
      </c>
      <c r="GJW2148" s="626" t="s">
        <v>1236</v>
      </c>
      <c r="GJX2148" s="626" t="s">
        <v>1236</v>
      </c>
      <c r="GJY2148" s="626" t="s">
        <v>1236</v>
      </c>
      <c r="GJZ2148" s="626" t="s">
        <v>1236</v>
      </c>
      <c r="GKA2148" s="626" t="s">
        <v>1236</v>
      </c>
      <c r="GKB2148" s="626" t="s">
        <v>1236</v>
      </c>
      <c r="GKC2148" s="626" t="s">
        <v>1236</v>
      </c>
      <c r="GKD2148" s="626" t="s">
        <v>1236</v>
      </c>
      <c r="GKE2148" s="626" t="s">
        <v>1236</v>
      </c>
      <c r="GKF2148" s="626" t="s">
        <v>1236</v>
      </c>
      <c r="GKG2148" s="626" t="s">
        <v>1236</v>
      </c>
      <c r="GKH2148" s="626" t="s">
        <v>1236</v>
      </c>
      <c r="GKI2148" s="626" t="s">
        <v>1236</v>
      </c>
      <c r="GKJ2148" s="626" t="s">
        <v>1236</v>
      </c>
      <c r="GKK2148" s="626" t="s">
        <v>1236</v>
      </c>
      <c r="GKL2148" s="626" t="s">
        <v>1236</v>
      </c>
      <c r="GKM2148" s="626" t="s">
        <v>1236</v>
      </c>
      <c r="GKN2148" s="626" t="s">
        <v>1236</v>
      </c>
      <c r="GKO2148" s="626" t="s">
        <v>1236</v>
      </c>
      <c r="GKP2148" s="626" t="s">
        <v>1236</v>
      </c>
      <c r="GKQ2148" s="626" t="s">
        <v>1236</v>
      </c>
      <c r="GKR2148" s="626" t="s">
        <v>1236</v>
      </c>
      <c r="GKS2148" s="626" t="s">
        <v>1236</v>
      </c>
      <c r="GKT2148" s="626" t="s">
        <v>1236</v>
      </c>
      <c r="GKU2148" s="626" t="s">
        <v>1236</v>
      </c>
      <c r="GKV2148" s="626" t="s">
        <v>1236</v>
      </c>
      <c r="GKW2148" s="626" t="s">
        <v>1236</v>
      </c>
      <c r="GKX2148" s="626" t="s">
        <v>1236</v>
      </c>
      <c r="GKY2148" s="626" t="s">
        <v>1236</v>
      </c>
      <c r="GKZ2148" s="626" t="s">
        <v>1236</v>
      </c>
      <c r="GLA2148" s="626" t="s">
        <v>1236</v>
      </c>
      <c r="GLB2148" s="626" t="s">
        <v>1236</v>
      </c>
      <c r="GLC2148" s="626" t="s">
        <v>1236</v>
      </c>
      <c r="GLD2148" s="626" t="s">
        <v>1236</v>
      </c>
      <c r="GLE2148" s="626" t="s">
        <v>1236</v>
      </c>
      <c r="GLF2148" s="626" t="s">
        <v>1236</v>
      </c>
      <c r="GLG2148" s="626" t="s">
        <v>1236</v>
      </c>
      <c r="GLH2148" s="626" t="s">
        <v>1236</v>
      </c>
      <c r="GLI2148" s="626" t="s">
        <v>1236</v>
      </c>
      <c r="GLJ2148" s="626" t="s">
        <v>1236</v>
      </c>
      <c r="GLK2148" s="626" t="s">
        <v>1236</v>
      </c>
      <c r="GLL2148" s="626" t="s">
        <v>1236</v>
      </c>
      <c r="GLM2148" s="626" t="s">
        <v>1236</v>
      </c>
      <c r="GLN2148" s="626" t="s">
        <v>1236</v>
      </c>
      <c r="GLO2148" s="626" t="s">
        <v>1236</v>
      </c>
      <c r="GLP2148" s="626" t="s">
        <v>1236</v>
      </c>
      <c r="GLQ2148" s="626" t="s">
        <v>1236</v>
      </c>
      <c r="GLR2148" s="626" t="s">
        <v>1236</v>
      </c>
      <c r="GLS2148" s="626" t="s">
        <v>1236</v>
      </c>
      <c r="GLT2148" s="626" t="s">
        <v>1236</v>
      </c>
      <c r="GLU2148" s="626" t="s">
        <v>1236</v>
      </c>
      <c r="GLV2148" s="626" t="s">
        <v>1236</v>
      </c>
      <c r="GLW2148" s="626" t="s">
        <v>1236</v>
      </c>
      <c r="GLX2148" s="626" t="s">
        <v>1236</v>
      </c>
      <c r="GLY2148" s="626" t="s">
        <v>1236</v>
      </c>
      <c r="GLZ2148" s="626" t="s">
        <v>1236</v>
      </c>
      <c r="GMA2148" s="626" t="s">
        <v>1236</v>
      </c>
      <c r="GMB2148" s="626" t="s">
        <v>1236</v>
      </c>
      <c r="GMC2148" s="626" t="s">
        <v>1236</v>
      </c>
      <c r="GMD2148" s="626" t="s">
        <v>1236</v>
      </c>
      <c r="GME2148" s="626" t="s">
        <v>1236</v>
      </c>
      <c r="GMF2148" s="626" t="s">
        <v>1236</v>
      </c>
      <c r="GMG2148" s="626" t="s">
        <v>1236</v>
      </c>
      <c r="GMH2148" s="626" t="s">
        <v>1236</v>
      </c>
      <c r="GMI2148" s="626" t="s">
        <v>1236</v>
      </c>
      <c r="GMJ2148" s="626" t="s">
        <v>1236</v>
      </c>
      <c r="GMK2148" s="626" t="s">
        <v>1236</v>
      </c>
      <c r="GML2148" s="626" t="s">
        <v>1236</v>
      </c>
      <c r="GMM2148" s="626" t="s">
        <v>1236</v>
      </c>
      <c r="GMN2148" s="626" t="s">
        <v>1236</v>
      </c>
      <c r="GMO2148" s="626" t="s">
        <v>1236</v>
      </c>
      <c r="GMP2148" s="626" t="s">
        <v>1236</v>
      </c>
      <c r="GMQ2148" s="626" t="s">
        <v>1236</v>
      </c>
      <c r="GMR2148" s="626" t="s">
        <v>1236</v>
      </c>
      <c r="GMS2148" s="626" t="s">
        <v>1236</v>
      </c>
      <c r="GMT2148" s="626" t="s">
        <v>1236</v>
      </c>
      <c r="GMU2148" s="626" t="s">
        <v>1236</v>
      </c>
      <c r="GMV2148" s="626" t="s">
        <v>1236</v>
      </c>
      <c r="GMW2148" s="626" t="s">
        <v>1236</v>
      </c>
      <c r="GMX2148" s="626" t="s">
        <v>1236</v>
      </c>
      <c r="GMY2148" s="626" t="s">
        <v>1236</v>
      </c>
      <c r="GMZ2148" s="626" t="s">
        <v>1236</v>
      </c>
      <c r="GNA2148" s="626" t="s">
        <v>1236</v>
      </c>
      <c r="GNB2148" s="626" t="s">
        <v>1236</v>
      </c>
      <c r="GNC2148" s="626" t="s">
        <v>1236</v>
      </c>
      <c r="GND2148" s="626" t="s">
        <v>1236</v>
      </c>
      <c r="GNE2148" s="626" t="s">
        <v>1236</v>
      </c>
      <c r="GNF2148" s="626" t="s">
        <v>1236</v>
      </c>
      <c r="GNG2148" s="626" t="s">
        <v>1236</v>
      </c>
      <c r="GNH2148" s="626" t="s">
        <v>1236</v>
      </c>
      <c r="GNI2148" s="626" t="s">
        <v>1236</v>
      </c>
      <c r="GNJ2148" s="626" t="s">
        <v>1236</v>
      </c>
      <c r="GNK2148" s="626" t="s">
        <v>1236</v>
      </c>
      <c r="GNL2148" s="626" t="s">
        <v>1236</v>
      </c>
      <c r="GNM2148" s="626" t="s">
        <v>1236</v>
      </c>
      <c r="GNN2148" s="626" t="s">
        <v>1236</v>
      </c>
      <c r="GNO2148" s="626" t="s">
        <v>1236</v>
      </c>
      <c r="GNP2148" s="626" t="s">
        <v>1236</v>
      </c>
      <c r="GNQ2148" s="626" t="s">
        <v>1236</v>
      </c>
      <c r="GNR2148" s="626" t="s">
        <v>1236</v>
      </c>
      <c r="GNS2148" s="626" t="s">
        <v>1236</v>
      </c>
      <c r="GNT2148" s="626" t="s">
        <v>1236</v>
      </c>
      <c r="GNU2148" s="626" t="s">
        <v>1236</v>
      </c>
      <c r="GNV2148" s="626" t="s">
        <v>1236</v>
      </c>
      <c r="GNW2148" s="626" t="s">
        <v>1236</v>
      </c>
      <c r="GNX2148" s="626" t="s">
        <v>1236</v>
      </c>
      <c r="GNY2148" s="626" t="s">
        <v>1236</v>
      </c>
      <c r="GNZ2148" s="626" t="s">
        <v>1236</v>
      </c>
      <c r="GOA2148" s="626" t="s">
        <v>1236</v>
      </c>
      <c r="GOB2148" s="626" t="s">
        <v>1236</v>
      </c>
      <c r="GOC2148" s="626" t="s">
        <v>1236</v>
      </c>
      <c r="GOD2148" s="626" t="s">
        <v>1236</v>
      </c>
      <c r="GOE2148" s="626" t="s">
        <v>1236</v>
      </c>
      <c r="GOF2148" s="626" t="s">
        <v>1236</v>
      </c>
      <c r="GOG2148" s="626" t="s">
        <v>1236</v>
      </c>
      <c r="GOH2148" s="626" t="s">
        <v>1236</v>
      </c>
      <c r="GOI2148" s="626" t="s">
        <v>1236</v>
      </c>
      <c r="GOJ2148" s="626" t="s">
        <v>1236</v>
      </c>
      <c r="GOK2148" s="626" t="s">
        <v>1236</v>
      </c>
      <c r="GOL2148" s="626" t="s">
        <v>1236</v>
      </c>
      <c r="GOM2148" s="626" t="s">
        <v>1236</v>
      </c>
      <c r="GON2148" s="626" t="s">
        <v>1236</v>
      </c>
      <c r="GOO2148" s="626" t="s">
        <v>1236</v>
      </c>
      <c r="GOP2148" s="626" t="s">
        <v>1236</v>
      </c>
      <c r="GOQ2148" s="626" t="s">
        <v>1236</v>
      </c>
      <c r="GOR2148" s="626" t="s">
        <v>1236</v>
      </c>
      <c r="GOS2148" s="626" t="s">
        <v>1236</v>
      </c>
      <c r="GOT2148" s="626" t="s">
        <v>1236</v>
      </c>
      <c r="GOU2148" s="626" t="s">
        <v>1236</v>
      </c>
      <c r="GOV2148" s="626" t="s">
        <v>1236</v>
      </c>
      <c r="GOW2148" s="626" t="s">
        <v>1236</v>
      </c>
      <c r="GOX2148" s="626" t="s">
        <v>1236</v>
      </c>
      <c r="GOY2148" s="626" t="s">
        <v>1236</v>
      </c>
      <c r="GOZ2148" s="626" t="s">
        <v>1236</v>
      </c>
      <c r="GPA2148" s="626" t="s">
        <v>1236</v>
      </c>
      <c r="GPB2148" s="626" t="s">
        <v>1236</v>
      </c>
      <c r="GPC2148" s="626" t="s">
        <v>1236</v>
      </c>
      <c r="GPD2148" s="626" t="s">
        <v>1236</v>
      </c>
      <c r="GPE2148" s="626" t="s">
        <v>1236</v>
      </c>
      <c r="GPF2148" s="626" t="s">
        <v>1236</v>
      </c>
      <c r="GPG2148" s="626" t="s">
        <v>1236</v>
      </c>
      <c r="GPH2148" s="626" t="s">
        <v>1236</v>
      </c>
      <c r="GPI2148" s="626" t="s">
        <v>1236</v>
      </c>
      <c r="GPJ2148" s="626" t="s">
        <v>1236</v>
      </c>
      <c r="GPK2148" s="626" t="s">
        <v>1236</v>
      </c>
      <c r="GPL2148" s="626" t="s">
        <v>1236</v>
      </c>
      <c r="GPM2148" s="626" t="s">
        <v>1236</v>
      </c>
      <c r="GPN2148" s="626" t="s">
        <v>1236</v>
      </c>
      <c r="GPO2148" s="626" t="s">
        <v>1236</v>
      </c>
      <c r="GPP2148" s="626" t="s">
        <v>1236</v>
      </c>
      <c r="GPQ2148" s="626" t="s">
        <v>1236</v>
      </c>
      <c r="GPR2148" s="626" t="s">
        <v>1236</v>
      </c>
      <c r="GPS2148" s="626" t="s">
        <v>1236</v>
      </c>
      <c r="GPT2148" s="626" t="s">
        <v>1236</v>
      </c>
      <c r="GPU2148" s="626" t="s">
        <v>1236</v>
      </c>
      <c r="GPV2148" s="626" t="s">
        <v>1236</v>
      </c>
      <c r="GPW2148" s="626" t="s">
        <v>1236</v>
      </c>
      <c r="GPX2148" s="626" t="s">
        <v>1236</v>
      </c>
      <c r="GPY2148" s="626" t="s">
        <v>1236</v>
      </c>
      <c r="GPZ2148" s="626" t="s">
        <v>1236</v>
      </c>
      <c r="GQA2148" s="626" t="s">
        <v>1236</v>
      </c>
      <c r="GQB2148" s="626" t="s">
        <v>1236</v>
      </c>
      <c r="GQC2148" s="626" t="s">
        <v>1236</v>
      </c>
      <c r="GQD2148" s="626" t="s">
        <v>1236</v>
      </c>
      <c r="GQE2148" s="626" t="s">
        <v>1236</v>
      </c>
      <c r="GQF2148" s="626" t="s">
        <v>1236</v>
      </c>
      <c r="GQG2148" s="626" t="s">
        <v>1236</v>
      </c>
      <c r="GQH2148" s="626" t="s">
        <v>1236</v>
      </c>
      <c r="GQI2148" s="626" t="s">
        <v>1236</v>
      </c>
      <c r="GQJ2148" s="626" t="s">
        <v>1236</v>
      </c>
      <c r="GQK2148" s="626" t="s">
        <v>1236</v>
      </c>
      <c r="GQL2148" s="626" t="s">
        <v>1236</v>
      </c>
      <c r="GQM2148" s="626" t="s">
        <v>1236</v>
      </c>
      <c r="GQN2148" s="626" t="s">
        <v>1236</v>
      </c>
      <c r="GQO2148" s="626" t="s">
        <v>1236</v>
      </c>
      <c r="GQP2148" s="626" t="s">
        <v>1236</v>
      </c>
      <c r="GQQ2148" s="626" t="s">
        <v>1236</v>
      </c>
      <c r="GQR2148" s="626" t="s">
        <v>1236</v>
      </c>
      <c r="GQS2148" s="626" t="s">
        <v>1236</v>
      </c>
      <c r="GQT2148" s="626" t="s">
        <v>1236</v>
      </c>
      <c r="GQU2148" s="626" t="s">
        <v>1236</v>
      </c>
      <c r="GQV2148" s="626" t="s">
        <v>1236</v>
      </c>
      <c r="GQW2148" s="626" t="s">
        <v>1236</v>
      </c>
      <c r="GQX2148" s="626" t="s">
        <v>1236</v>
      </c>
      <c r="GQY2148" s="626" t="s">
        <v>1236</v>
      </c>
      <c r="GQZ2148" s="626" t="s">
        <v>1236</v>
      </c>
      <c r="GRA2148" s="626" t="s">
        <v>1236</v>
      </c>
      <c r="GRB2148" s="626" t="s">
        <v>1236</v>
      </c>
      <c r="GRC2148" s="626" t="s">
        <v>1236</v>
      </c>
      <c r="GRD2148" s="626" t="s">
        <v>1236</v>
      </c>
      <c r="GRE2148" s="626" t="s">
        <v>1236</v>
      </c>
      <c r="GRF2148" s="626" t="s">
        <v>1236</v>
      </c>
      <c r="GRG2148" s="626" t="s">
        <v>1236</v>
      </c>
      <c r="GRH2148" s="626" t="s">
        <v>1236</v>
      </c>
      <c r="GRI2148" s="626" t="s">
        <v>1236</v>
      </c>
      <c r="GRJ2148" s="626" t="s">
        <v>1236</v>
      </c>
      <c r="GRK2148" s="626" t="s">
        <v>1236</v>
      </c>
      <c r="GRL2148" s="626" t="s">
        <v>1236</v>
      </c>
      <c r="GRM2148" s="626" t="s">
        <v>1236</v>
      </c>
      <c r="GRN2148" s="626" t="s">
        <v>1236</v>
      </c>
      <c r="GRO2148" s="626" t="s">
        <v>1236</v>
      </c>
      <c r="GRP2148" s="626" t="s">
        <v>1236</v>
      </c>
      <c r="GRQ2148" s="626" t="s">
        <v>1236</v>
      </c>
      <c r="GRR2148" s="626" t="s">
        <v>1236</v>
      </c>
      <c r="GRS2148" s="626" t="s">
        <v>1236</v>
      </c>
      <c r="GRT2148" s="626" t="s">
        <v>1236</v>
      </c>
      <c r="GRU2148" s="626" t="s">
        <v>1236</v>
      </c>
      <c r="GRV2148" s="626" t="s">
        <v>1236</v>
      </c>
      <c r="GRW2148" s="626" t="s">
        <v>1236</v>
      </c>
      <c r="GRX2148" s="626" t="s">
        <v>1236</v>
      </c>
      <c r="GRY2148" s="626" t="s">
        <v>1236</v>
      </c>
      <c r="GRZ2148" s="626" t="s">
        <v>1236</v>
      </c>
      <c r="GSA2148" s="626" t="s">
        <v>1236</v>
      </c>
      <c r="GSB2148" s="626" t="s">
        <v>1236</v>
      </c>
      <c r="GSC2148" s="626" t="s">
        <v>1236</v>
      </c>
      <c r="GSD2148" s="626" t="s">
        <v>1236</v>
      </c>
      <c r="GSE2148" s="626" t="s">
        <v>1236</v>
      </c>
      <c r="GSF2148" s="626" t="s">
        <v>1236</v>
      </c>
      <c r="GSG2148" s="626" t="s">
        <v>1236</v>
      </c>
      <c r="GSH2148" s="626" t="s">
        <v>1236</v>
      </c>
      <c r="GSI2148" s="626" t="s">
        <v>1236</v>
      </c>
      <c r="GSJ2148" s="626" t="s">
        <v>1236</v>
      </c>
      <c r="GSK2148" s="626" t="s">
        <v>1236</v>
      </c>
      <c r="GSL2148" s="626" t="s">
        <v>1236</v>
      </c>
      <c r="GSM2148" s="626" t="s">
        <v>1236</v>
      </c>
      <c r="GSN2148" s="626" t="s">
        <v>1236</v>
      </c>
      <c r="GSO2148" s="626" t="s">
        <v>1236</v>
      </c>
      <c r="GSP2148" s="626" t="s">
        <v>1236</v>
      </c>
      <c r="GSQ2148" s="626" t="s">
        <v>1236</v>
      </c>
      <c r="GSR2148" s="626" t="s">
        <v>1236</v>
      </c>
      <c r="GSS2148" s="626" t="s">
        <v>1236</v>
      </c>
      <c r="GST2148" s="626" t="s">
        <v>1236</v>
      </c>
      <c r="GSU2148" s="626" t="s">
        <v>1236</v>
      </c>
      <c r="GSV2148" s="626" t="s">
        <v>1236</v>
      </c>
      <c r="GSW2148" s="626" t="s">
        <v>1236</v>
      </c>
      <c r="GSX2148" s="626" t="s">
        <v>1236</v>
      </c>
      <c r="GSY2148" s="626" t="s">
        <v>1236</v>
      </c>
      <c r="GSZ2148" s="626" t="s">
        <v>1236</v>
      </c>
      <c r="GTA2148" s="626" t="s">
        <v>1236</v>
      </c>
      <c r="GTB2148" s="626" t="s">
        <v>1236</v>
      </c>
      <c r="GTC2148" s="626" t="s">
        <v>1236</v>
      </c>
      <c r="GTD2148" s="626" t="s">
        <v>1236</v>
      </c>
      <c r="GTE2148" s="626" t="s">
        <v>1236</v>
      </c>
      <c r="GTF2148" s="626" t="s">
        <v>1236</v>
      </c>
      <c r="GTG2148" s="626" t="s">
        <v>1236</v>
      </c>
      <c r="GTH2148" s="626" t="s">
        <v>1236</v>
      </c>
      <c r="GTI2148" s="626" t="s">
        <v>1236</v>
      </c>
      <c r="GTJ2148" s="626" t="s">
        <v>1236</v>
      </c>
      <c r="GTK2148" s="626" t="s">
        <v>1236</v>
      </c>
      <c r="GTL2148" s="626" t="s">
        <v>1236</v>
      </c>
      <c r="GTM2148" s="626" t="s">
        <v>1236</v>
      </c>
      <c r="GTN2148" s="626" t="s">
        <v>1236</v>
      </c>
      <c r="GTO2148" s="626" t="s">
        <v>1236</v>
      </c>
      <c r="GTP2148" s="626" t="s">
        <v>1236</v>
      </c>
      <c r="GTQ2148" s="626" t="s">
        <v>1236</v>
      </c>
      <c r="GTR2148" s="626" t="s">
        <v>1236</v>
      </c>
      <c r="GTS2148" s="626" t="s">
        <v>1236</v>
      </c>
      <c r="GTT2148" s="626" t="s">
        <v>1236</v>
      </c>
      <c r="GTU2148" s="626" t="s">
        <v>1236</v>
      </c>
      <c r="GTV2148" s="626" t="s">
        <v>1236</v>
      </c>
      <c r="GTW2148" s="626" t="s">
        <v>1236</v>
      </c>
      <c r="GTX2148" s="626" t="s">
        <v>1236</v>
      </c>
      <c r="GTY2148" s="626" t="s">
        <v>1236</v>
      </c>
      <c r="GTZ2148" s="626" t="s">
        <v>1236</v>
      </c>
      <c r="GUA2148" s="626" t="s">
        <v>1236</v>
      </c>
      <c r="GUB2148" s="626" t="s">
        <v>1236</v>
      </c>
      <c r="GUC2148" s="626" t="s">
        <v>1236</v>
      </c>
      <c r="GUD2148" s="626" t="s">
        <v>1236</v>
      </c>
      <c r="GUE2148" s="626" t="s">
        <v>1236</v>
      </c>
      <c r="GUF2148" s="626" t="s">
        <v>1236</v>
      </c>
      <c r="GUG2148" s="626" t="s">
        <v>1236</v>
      </c>
      <c r="GUH2148" s="626" t="s">
        <v>1236</v>
      </c>
      <c r="GUI2148" s="626" t="s">
        <v>1236</v>
      </c>
      <c r="GUJ2148" s="626" t="s">
        <v>1236</v>
      </c>
      <c r="GUK2148" s="626" t="s">
        <v>1236</v>
      </c>
      <c r="GUL2148" s="626" t="s">
        <v>1236</v>
      </c>
      <c r="GUM2148" s="626" t="s">
        <v>1236</v>
      </c>
      <c r="GUN2148" s="626" t="s">
        <v>1236</v>
      </c>
      <c r="GUO2148" s="626" t="s">
        <v>1236</v>
      </c>
      <c r="GUP2148" s="626" t="s">
        <v>1236</v>
      </c>
      <c r="GUQ2148" s="626" t="s">
        <v>1236</v>
      </c>
      <c r="GUR2148" s="626" t="s">
        <v>1236</v>
      </c>
      <c r="GUS2148" s="626" t="s">
        <v>1236</v>
      </c>
      <c r="GUT2148" s="626" t="s">
        <v>1236</v>
      </c>
      <c r="GUU2148" s="626" t="s">
        <v>1236</v>
      </c>
      <c r="GUV2148" s="626" t="s">
        <v>1236</v>
      </c>
      <c r="GUW2148" s="626" t="s">
        <v>1236</v>
      </c>
      <c r="GUX2148" s="626" t="s">
        <v>1236</v>
      </c>
      <c r="GUY2148" s="626" t="s">
        <v>1236</v>
      </c>
      <c r="GUZ2148" s="626" t="s">
        <v>1236</v>
      </c>
      <c r="GVA2148" s="626" t="s">
        <v>1236</v>
      </c>
      <c r="GVB2148" s="626" t="s">
        <v>1236</v>
      </c>
      <c r="GVC2148" s="626" t="s">
        <v>1236</v>
      </c>
      <c r="GVD2148" s="626" t="s">
        <v>1236</v>
      </c>
      <c r="GVE2148" s="626" t="s">
        <v>1236</v>
      </c>
      <c r="GVF2148" s="626" t="s">
        <v>1236</v>
      </c>
      <c r="GVG2148" s="626" t="s">
        <v>1236</v>
      </c>
      <c r="GVH2148" s="626" t="s">
        <v>1236</v>
      </c>
      <c r="GVI2148" s="626" t="s">
        <v>1236</v>
      </c>
      <c r="GVJ2148" s="626" t="s">
        <v>1236</v>
      </c>
      <c r="GVK2148" s="626" t="s">
        <v>1236</v>
      </c>
      <c r="GVL2148" s="626" t="s">
        <v>1236</v>
      </c>
      <c r="GVM2148" s="626" t="s">
        <v>1236</v>
      </c>
      <c r="GVN2148" s="626" t="s">
        <v>1236</v>
      </c>
      <c r="GVO2148" s="626" t="s">
        <v>1236</v>
      </c>
      <c r="GVP2148" s="626" t="s">
        <v>1236</v>
      </c>
      <c r="GVQ2148" s="626" t="s">
        <v>1236</v>
      </c>
      <c r="GVR2148" s="626" t="s">
        <v>1236</v>
      </c>
      <c r="GVS2148" s="626" t="s">
        <v>1236</v>
      </c>
      <c r="GVT2148" s="626" t="s">
        <v>1236</v>
      </c>
      <c r="GVU2148" s="626" t="s">
        <v>1236</v>
      </c>
      <c r="GVV2148" s="626" t="s">
        <v>1236</v>
      </c>
      <c r="GVW2148" s="626" t="s">
        <v>1236</v>
      </c>
      <c r="GVX2148" s="626" t="s">
        <v>1236</v>
      </c>
      <c r="GVY2148" s="626" t="s">
        <v>1236</v>
      </c>
      <c r="GVZ2148" s="626" t="s">
        <v>1236</v>
      </c>
      <c r="GWA2148" s="626" t="s">
        <v>1236</v>
      </c>
      <c r="GWB2148" s="626" t="s">
        <v>1236</v>
      </c>
      <c r="GWC2148" s="626" t="s">
        <v>1236</v>
      </c>
      <c r="GWD2148" s="626" t="s">
        <v>1236</v>
      </c>
      <c r="GWE2148" s="626" t="s">
        <v>1236</v>
      </c>
      <c r="GWF2148" s="626" t="s">
        <v>1236</v>
      </c>
      <c r="GWG2148" s="626" t="s">
        <v>1236</v>
      </c>
      <c r="GWH2148" s="626" t="s">
        <v>1236</v>
      </c>
      <c r="GWI2148" s="626" t="s">
        <v>1236</v>
      </c>
      <c r="GWJ2148" s="626" t="s">
        <v>1236</v>
      </c>
      <c r="GWK2148" s="626" t="s">
        <v>1236</v>
      </c>
      <c r="GWL2148" s="626" t="s">
        <v>1236</v>
      </c>
      <c r="GWM2148" s="626" t="s">
        <v>1236</v>
      </c>
      <c r="GWN2148" s="626" t="s">
        <v>1236</v>
      </c>
      <c r="GWO2148" s="626" t="s">
        <v>1236</v>
      </c>
      <c r="GWP2148" s="626" t="s">
        <v>1236</v>
      </c>
      <c r="GWQ2148" s="626" t="s">
        <v>1236</v>
      </c>
      <c r="GWR2148" s="626" t="s">
        <v>1236</v>
      </c>
      <c r="GWS2148" s="626" t="s">
        <v>1236</v>
      </c>
      <c r="GWT2148" s="626" t="s">
        <v>1236</v>
      </c>
      <c r="GWU2148" s="626" t="s">
        <v>1236</v>
      </c>
      <c r="GWV2148" s="626" t="s">
        <v>1236</v>
      </c>
      <c r="GWW2148" s="626" t="s">
        <v>1236</v>
      </c>
      <c r="GWX2148" s="626" t="s">
        <v>1236</v>
      </c>
      <c r="GWY2148" s="626" t="s">
        <v>1236</v>
      </c>
      <c r="GWZ2148" s="626" t="s">
        <v>1236</v>
      </c>
      <c r="GXA2148" s="626" t="s">
        <v>1236</v>
      </c>
      <c r="GXB2148" s="626" t="s">
        <v>1236</v>
      </c>
      <c r="GXC2148" s="626" t="s">
        <v>1236</v>
      </c>
      <c r="GXD2148" s="626" t="s">
        <v>1236</v>
      </c>
      <c r="GXE2148" s="626" t="s">
        <v>1236</v>
      </c>
      <c r="GXF2148" s="626" t="s">
        <v>1236</v>
      </c>
      <c r="GXG2148" s="626" t="s">
        <v>1236</v>
      </c>
      <c r="GXH2148" s="626" t="s">
        <v>1236</v>
      </c>
      <c r="GXI2148" s="626" t="s">
        <v>1236</v>
      </c>
      <c r="GXJ2148" s="626" t="s">
        <v>1236</v>
      </c>
      <c r="GXK2148" s="626" t="s">
        <v>1236</v>
      </c>
      <c r="GXL2148" s="626" t="s">
        <v>1236</v>
      </c>
      <c r="GXM2148" s="626" t="s">
        <v>1236</v>
      </c>
      <c r="GXN2148" s="626" t="s">
        <v>1236</v>
      </c>
      <c r="GXO2148" s="626" t="s">
        <v>1236</v>
      </c>
      <c r="GXP2148" s="626" t="s">
        <v>1236</v>
      </c>
      <c r="GXQ2148" s="626" t="s">
        <v>1236</v>
      </c>
      <c r="GXR2148" s="626" t="s">
        <v>1236</v>
      </c>
      <c r="GXS2148" s="626" t="s">
        <v>1236</v>
      </c>
      <c r="GXT2148" s="626" t="s">
        <v>1236</v>
      </c>
      <c r="GXU2148" s="626" t="s">
        <v>1236</v>
      </c>
      <c r="GXV2148" s="626" t="s">
        <v>1236</v>
      </c>
      <c r="GXW2148" s="626" t="s">
        <v>1236</v>
      </c>
      <c r="GXX2148" s="626" t="s">
        <v>1236</v>
      </c>
      <c r="GXY2148" s="626" t="s">
        <v>1236</v>
      </c>
      <c r="GXZ2148" s="626" t="s">
        <v>1236</v>
      </c>
      <c r="GYA2148" s="626" t="s">
        <v>1236</v>
      </c>
      <c r="GYB2148" s="626" t="s">
        <v>1236</v>
      </c>
      <c r="GYC2148" s="626" t="s">
        <v>1236</v>
      </c>
      <c r="GYD2148" s="626" t="s">
        <v>1236</v>
      </c>
      <c r="GYE2148" s="626" t="s">
        <v>1236</v>
      </c>
      <c r="GYF2148" s="626" t="s">
        <v>1236</v>
      </c>
      <c r="GYG2148" s="626" t="s">
        <v>1236</v>
      </c>
      <c r="GYH2148" s="626" t="s">
        <v>1236</v>
      </c>
      <c r="GYI2148" s="626" t="s">
        <v>1236</v>
      </c>
      <c r="GYJ2148" s="626" t="s">
        <v>1236</v>
      </c>
      <c r="GYK2148" s="626" t="s">
        <v>1236</v>
      </c>
      <c r="GYL2148" s="626" t="s">
        <v>1236</v>
      </c>
      <c r="GYM2148" s="626" t="s">
        <v>1236</v>
      </c>
      <c r="GYN2148" s="626" t="s">
        <v>1236</v>
      </c>
      <c r="GYO2148" s="626" t="s">
        <v>1236</v>
      </c>
      <c r="GYP2148" s="626" t="s">
        <v>1236</v>
      </c>
      <c r="GYQ2148" s="626" t="s">
        <v>1236</v>
      </c>
      <c r="GYR2148" s="626" t="s">
        <v>1236</v>
      </c>
      <c r="GYS2148" s="626" t="s">
        <v>1236</v>
      </c>
      <c r="GYT2148" s="626" t="s">
        <v>1236</v>
      </c>
      <c r="GYU2148" s="626" t="s">
        <v>1236</v>
      </c>
      <c r="GYV2148" s="626" t="s">
        <v>1236</v>
      </c>
      <c r="GYW2148" s="626" t="s">
        <v>1236</v>
      </c>
      <c r="GYX2148" s="626" t="s">
        <v>1236</v>
      </c>
      <c r="GYY2148" s="626" t="s">
        <v>1236</v>
      </c>
      <c r="GYZ2148" s="626" t="s">
        <v>1236</v>
      </c>
      <c r="GZA2148" s="626" t="s">
        <v>1236</v>
      </c>
      <c r="GZB2148" s="626" t="s">
        <v>1236</v>
      </c>
      <c r="GZC2148" s="626" t="s">
        <v>1236</v>
      </c>
      <c r="GZD2148" s="626" t="s">
        <v>1236</v>
      </c>
      <c r="GZE2148" s="626" t="s">
        <v>1236</v>
      </c>
      <c r="GZF2148" s="626" t="s">
        <v>1236</v>
      </c>
      <c r="GZG2148" s="626" t="s">
        <v>1236</v>
      </c>
      <c r="GZH2148" s="626" t="s">
        <v>1236</v>
      </c>
      <c r="GZI2148" s="626" t="s">
        <v>1236</v>
      </c>
      <c r="GZJ2148" s="626" t="s">
        <v>1236</v>
      </c>
      <c r="GZK2148" s="626" t="s">
        <v>1236</v>
      </c>
      <c r="GZL2148" s="626" t="s">
        <v>1236</v>
      </c>
      <c r="GZM2148" s="626" t="s">
        <v>1236</v>
      </c>
      <c r="GZN2148" s="626" t="s">
        <v>1236</v>
      </c>
      <c r="GZO2148" s="626" t="s">
        <v>1236</v>
      </c>
      <c r="GZP2148" s="626" t="s">
        <v>1236</v>
      </c>
      <c r="GZQ2148" s="626" t="s">
        <v>1236</v>
      </c>
      <c r="GZR2148" s="626" t="s">
        <v>1236</v>
      </c>
      <c r="GZS2148" s="626" t="s">
        <v>1236</v>
      </c>
      <c r="GZT2148" s="626" t="s">
        <v>1236</v>
      </c>
      <c r="GZU2148" s="626" t="s">
        <v>1236</v>
      </c>
      <c r="GZV2148" s="626" t="s">
        <v>1236</v>
      </c>
      <c r="GZW2148" s="626" t="s">
        <v>1236</v>
      </c>
      <c r="GZX2148" s="626" t="s">
        <v>1236</v>
      </c>
      <c r="GZY2148" s="626" t="s">
        <v>1236</v>
      </c>
      <c r="GZZ2148" s="626" t="s">
        <v>1236</v>
      </c>
      <c r="HAA2148" s="626" t="s">
        <v>1236</v>
      </c>
      <c r="HAB2148" s="626" t="s">
        <v>1236</v>
      </c>
      <c r="HAC2148" s="626" t="s">
        <v>1236</v>
      </c>
      <c r="HAD2148" s="626" t="s">
        <v>1236</v>
      </c>
      <c r="HAE2148" s="626" t="s">
        <v>1236</v>
      </c>
      <c r="HAF2148" s="626" t="s">
        <v>1236</v>
      </c>
      <c r="HAG2148" s="626" t="s">
        <v>1236</v>
      </c>
      <c r="HAH2148" s="626" t="s">
        <v>1236</v>
      </c>
      <c r="HAI2148" s="626" t="s">
        <v>1236</v>
      </c>
      <c r="HAJ2148" s="626" t="s">
        <v>1236</v>
      </c>
      <c r="HAK2148" s="626" t="s">
        <v>1236</v>
      </c>
      <c r="HAL2148" s="626" t="s">
        <v>1236</v>
      </c>
      <c r="HAM2148" s="626" t="s">
        <v>1236</v>
      </c>
      <c r="HAN2148" s="626" t="s">
        <v>1236</v>
      </c>
      <c r="HAO2148" s="626" t="s">
        <v>1236</v>
      </c>
      <c r="HAP2148" s="626" t="s">
        <v>1236</v>
      </c>
      <c r="HAQ2148" s="626" t="s">
        <v>1236</v>
      </c>
      <c r="HAR2148" s="626" t="s">
        <v>1236</v>
      </c>
      <c r="HAS2148" s="626" t="s">
        <v>1236</v>
      </c>
      <c r="HAT2148" s="626" t="s">
        <v>1236</v>
      </c>
      <c r="HAU2148" s="626" t="s">
        <v>1236</v>
      </c>
      <c r="HAV2148" s="626" t="s">
        <v>1236</v>
      </c>
      <c r="HAW2148" s="626" t="s">
        <v>1236</v>
      </c>
      <c r="HAX2148" s="626" t="s">
        <v>1236</v>
      </c>
      <c r="HAY2148" s="626" t="s">
        <v>1236</v>
      </c>
      <c r="HAZ2148" s="626" t="s">
        <v>1236</v>
      </c>
      <c r="HBA2148" s="626" t="s">
        <v>1236</v>
      </c>
      <c r="HBB2148" s="626" t="s">
        <v>1236</v>
      </c>
      <c r="HBC2148" s="626" t="s">
        <v>1236</v>
      </c>
      <c r="HBD2148" s="626" t="s">
        <v>1236</v>
      </c>
      <c r="HBE2148" s="626" t="s">
        <v>1236</v>
      </c>
      <c r="HBF2148" s="626" t="s">
        <v>1236</v>
      </c>
      <c r="HBG2148" s="626" t="s">
        <v>1236</v>
      </c>
      <c r="HBH2148" s="626" t="s">
        <v>1236</v>
      </c>
      <c r="HBI2148" s="626" t="s">
        <v>1236</v>
      </c>
      <c r="HBJ2148" s="626" t="s">
        <v>1236</v>
      </c>
      <c r="HBK2148" s="626" t="s">
        <v>1236</v>
      </c>
      <c r="HBL2148" s="626" t="s">
        <v>1236</v>
      </c>
      <c r="HBM2148" s="626" t="s">
        <v>1236</v>
      </c>
      <c r="HBN2148" s="626" t="s">
        <v>1236</v>
      </c>
      <c r="HBO2148" s="626" t="s">
        <v>1236</v>
      </c>
      <c r="HBP2148" s="626" t="s">
        <v>1236</v>
      </c>
      <c r="HBQ2148" s="626" t="s">
        <v>1236</v>
      </c>
      <c r="HBR2148" s="626" t="s">
        <v>1236</v>
      </c>
      <c r="HBS2148" s="626" t="s">
        <v>1236</v>
      </c>
      <c r="HBT2148" s="626" t="s">
        <v>1236</v>
      </c>
      <c r="HBU2148" s="626" t="s">
        <v>1236</v>
      </c>
      <c r="HBV2148" s="626" t="s">
        <v>1236</v>
      </c>
      <c r="HBW2148" s="626" t="s">
        <v>1236</v>
      </c>
      <c r="HBX2148" s="626" t="s">
        <v>1236</v>
      </c>
      <c r="HBY2148" s="626" t="s">
        <v>1236</v>
      </c>
      <c r="HBZ2148" s="626" t="s">
        <v>1236</v>
      </c>
      <c r="HCA2148" s="626" t="s">
        <v>1236</v>
      </c>
      <c r="HCB2148" s="626" t="s">
        <v>1236</v>
      </c>
      <c r="HCC2148" s="626" t="s">
        <v>1236</v>
      </c>
      <c r="HCD2148" s="626" t="s">
        <v>1236</v>
      </c>
      <c r="HCE2148" s="626" t="s">
        <v>1236</v>
      </c>
      <c r="HCF2148" s="626" t="s">
        <v>1236</v>
      </c>
      <c r="HCG2148" s="626" t="s">
        <v>1236</v>
      </c>
      <c r="HCH2148" s="626" t="s">
        <v>1236</v>
      </c>
      <c r="HCI2148" s="626" t="s">
        <v>1236</v>
      </c>
      <c r="HCJ2148" s="626" t="s">
        <v>1236</v>
      </c>
      <c r="HCK2148" s="626" t="s">
        <v>1236</v>
      </c>
      <c r="HCL2148" s="626" t="s">
        <v>1236</v>
      </c>
      <c r="HCM2148" s="626" t="s">
        <v>1236</v>
      </c>
      <c r="HCN2148" s="626" t="s">
        <v>1236</v>
      </c>
      <c r="HCO2148" s="626" t="s">
        <v>1236</v>
      </c>
      <c r="HCP2148" s="626" t="s">
        <v>1236</v>
      </c>
      <c r="HCQ2148" s="626" t="s">
        <v>1236</v>
      </c>
      <c r="HCR2148" s="626" t="s">
        <v>1236</v>
      </c>
      <c r="HCS2148" s="626" t="s">
        <v>1236</v>
      </c>
      <c r="HCT2148" s="626" t="s">
        <v>1236</v>
      </c>
      <c r="HCU2148" s="626" t="s">
        <v>1236</v>
      </c>
      <c r="HCV2148" s="626" t="s">
        <v>1236</v>
      </c>
      <c r="HCW2148" s="626" t="s">
        <v>1236</v>
      </c>
      <c r="HCX2148" s="626" t="s">
        <v>1236</v>
      </c>
      <c r="HCY2148" s="626" t="s">
        <v>1236</v>
      </c>
      <c r="HCZ2148" s="626" t="s">
        <v>1236</v>
      </c>
      <c r="HDA2148" s="626" t="s">
        <v>1236</v>
      </c>
      <c r="HDB2148" s="626" t="s">
        <v>1236</v>
      </c>
      <c r="HDC2148" s="626" t="s">
        <v>1236</v>
      </c>
      <c r="HDD2148" s="626" t="s">
        <v>1236</v>
      </c>
      <c r="HDE2148" s="626" t="s">
        <v>1236</v>
      </c>
      <c r="HDF2148" s="626" t="s">
        <v>1236</v>
      </c>
      <c r="HDG2148" s="626" t="s">
        <v>1236</v>
      </c>
      <c r="HDH2148" s="626" t="s">
        <v>1236</v>
      </c>
      <c r="HDI2148" s="626" t="s">
        <v>1236</v>
      </c>
      <c r="HDJ2148" s="626" t="s">
        <v>1236</v>
      </c>
      <c r="HDK2148" s="626" t="s">
        <v>1236</v>
      </c>
      <c r="HDL2148" s="626" t="s">
        <v>1236</v>
      </c>
      <c r="HDM2148" s="626" t="s">
        <v>1236</v>
      </c>
      <c r="HDN2148" s="626" t="s">
        <v>1236</v>
      </c>
      <c r="HDO2148" s="626" t="s">
        <v>1236</v>
      </c>
      <c r="HDP2148" s="626" t="s">
        <v>1236</v>
      </c>
      <c r="HDQ2148" s="626" t="s">
        <v>1236</v>
      </c>
      <c r="HDR2148" s="626" t="s">
        <v>1236</v>
      </c>
      <c r="HDS2148" s="626" t="s">
        <v>1236</v>
      </c>
      <c r="HDT2148" s="626" t="s">
        <v>1236</v>
      </c>
      <c r="HDU2148" s="626" t="s">
        <v>1236</v>
      </c>
      <c r="HDV2148" s="626" t="s">
        <v>1236</v>
      </c>
      <c r="HDW2148" s="626" t="s">
        <v>1236</v>
      </c>
      <c r="HDX2148" s="626" t="s">
        <v>1236</v>
      </c>
      <c r="HDY2148" s="626" t="s">
        <v>1236</v>
      </c>
      <c r="HDZ2148" s="626" t="s">
        <v>1236</v>
      </c>
      <c r="HEA2148" s="626" t="s">
        <v>1236</v>
      </c>
      <c r="HEB2148" s="626" t="s">
        <v>1236</v>
      </c>
      <c r="HEC2148" s="626" t="s">
        <v>1236</v>
      </c>
      <c r="HED2148" s="626" t="s">
        <v>1236</v>
      </c>
      <c r="HEE2148" s="626" t="s">
        <v>1236</v>
      </c>
      <c r="HEF2148" s="626" t="s">
        <v>1236</v>
      </c>
      <c r="HEG2148" s="626" t="s">
        <v>1236</v>
      </c>
      <c r="HEH2148" s="626" t="s">
        <v>1236</v>
      </c>
      <c r="HEI2148" s="626" t="s">
        <v>1236</v>
      </c>
      <c r="HEJ2148" s="626" t="s">
        <v>1236</v>
      </c>
      <c r="HEK2148" s="626" t="s">
        <v>1236</v>
      </c>
      <c r="HEL2148" s="626" t="s">
        <v>1236</v>
      </c>
      <c r="HEM2148" s="626" t="s">
        <v>1236</v>
      </c>
      <c r="HEN2148" s="626" t="s">
        <v>1236</v>
      </c>
      <c r="HEO2148" s="626" t="s">
        <v>1236</v>
      </c>
      <c r="HEP2148" s="626" t="s">
        <v>1236</v>
      </c>
      <c r="HEQ2148" s="626" t="s">
        <v>1236</v>
      </c>
      <c r="HER2148" s="626" t="s">
        <v>1236</v>
      </c>
      <c r="HES2148" s="626" t="s">
        <v>1236</v>
      </c>
      <c r="HET2148" s="626" t="s">
        <v>1236</v>
      </c>
      <c r="HEU2148" s="626" t="s">
        <v>1236</v>
      </c>
      <c r="HEV2148" s="626" t="s">
        <v>1236</v>
      </c>
      <c r="HEW2148" s="626" t="s">
        <v>1236</v>
      </c>
      <c r="HEX2148" s="626" t="s">
        <v>1236</v>
      </c>
      <c r="HEY2148" s="626" t="s">
        <v>1236</v>
      </c>
      <c r="HEZ2148" s="626" t="s">
        <v>1236</v>
      </c>
      <c r="HFA2148" s="626" t="s">
        <v>1236</v>
      </c>
      <c r="HFB2148" s="626" t="s">
        <v>1236</v>
      </c>
      <c r="HFC2148" s="626" t="s">
        <v>1236</v>
      </c>
      <c r="HFD2148" s="626" t="s">
        <v>1236</v>
      </c>
      <c r="HFE2148" s="626" t="s">
        <v>1236</v>
      </c>
      <c r="HFF2148" s="626" t="s">
        <v>1236</v>
      </c>
      <c r="HFG2148" s="626" t="s">
        <v>1236</v>
      </c>
      <c r="HFH2148" s="626" t="s">
        <v>1236</v>
      </c>
      <c r="HFI2148" s="626" t="s">
        <v>1236</v>
      </c>
      <c r="HFJ2148" s="626" t="s">
        <v>1236</v>
      </c>
      <c r="HFK2148" s="626" t="s">
        <v>1236</v>
      </c>
      <c r="HFL2148" s="626" t="s">
        <v>1236</v>
      </c>
      <c r="HFM2148" s="626" t="s">
        <v>1236</v>
      </c>
      <c r="HFN2148" s="626" t="s">
        <v>1236</v>
      </c>
      <c r="HFO2148" s="626" t="s">
        <v>1236</v>
      </c>
      <c r="HFP2148" s="626" t="s">
        <v>1236</v>
      </c>
      <c r="HFQ2148" s="626" t="s">
        <v>1236</v>
      </c>
      <c r="HFR2148" s="626" t="s">
        <v>1236</v>
      </c>
      <c r="HFS2148" s="626" t="s">
        <v>1236</v>
      </c>
      <c r="HFT2148" s="626" t="s">
        <v>1236</v>
      </c>
      <c r="HFU2148" s="626" t="s">
        <v>1236</v>
      </c>
      <c r="HFV2148" s="626" t="s">
        <v>1236</v>
      </c>
      <c r="HFW2148" s="626" t="s">
        <v>1236</v>
      </c>
      <c r="HFX2148" s="626" t="s">
        <v>1236</v>
      </c>
      <c r="HFY2148" s="626" t="s">
        <v>1236</v>
      </c>
      <c r="HFZ2148" s="626" t="s">
        <v>1236</v>
      </c>
      <c r="HGA2148" s="626" t="s">
        <v>1236</v>
      </c>
      <c r="HGB2148" s="626" t="s">
        <v>1236</v>
      </c>
      <c r="HGC2148" s="626" t="s">
        <v>1236</v>
      </c>
      <c r="HGD2148" s="626" t="s">
        <v>1236</v>
      </c>
      <c r="HGE2148" s="626" t="s">
        <v>1236</v>
      </c>
      <c r="HGF2148" s="626" t="s">
        <v>1236</v>
      </c>
      <c r="HGG2148" s="626" t="s">
        <v>1236</v>
      </c>
      <c r="HGH2148" s="626" t="s">
        <v>1236</v>
      </c>
      <c r="HGI2148" s="626" t="s">
        <v>1236</v>
      </c>
      <c r="HGJ2148" s="626" t="s">
        <v>1236</v>
      </c>
      <c r="HGK2148" s="626" t="s">
        <v>1236</v>
      </c>
      <c r="HGL2148" s="626" t="s">
        <v>1236</v>
      </c>
      <c r="HGM2148" s="626" t="s">
        <v>1236</v>
      </c>
      <c r="HGN2148" s="626" t="s">
        <v>1236</v>
      </c>
      <c r="HGO2148" s="626" t="s">
        <v>1236</v>
      </c>
      <c r="HGP2148" s="626" t="s">
        <v>1236</v>
      </c>
      <c r="HGQ2148" s="626" t="s">
        <v>1236</v>
      </c>
      <c r="HGR2148" s="626" t="s">
        <v>1236</v>
      </c>
      <c r="HGS2148" s="626" t="s">
        <v>1236</v>
      </c>
      <c r="HGT2148" s="626" t="s">
        <v>1236</v>
      </c>
      <c r="HGU2148" s="626" t="s">
        <v>1236</v>
      </c>
      <c r="HGV2148" s="626" t="s">
        <v>1236</v>
      </c>
      <c r="HGW2148" s="626" t="s">
        <v>1236</v>
      </c>
      <c r="HGX2148" s="626" t="s">
        <v>1236</v>
      </c>
      <c r="HGY2148" s="626" t="s">
        <v>1236</v>
      </c>
      <c r="HGZ2148" s="626" t="s">
        <v>1236</v>
      </c>
      <c r="HHA2148" s="626" t="s">
        <v>1236</v>
      </c>
      <c r="HHB2148" s="626" t="s">
        <v>1236</v>
      </c>
      <c r="HHC2148" s="626" t="s">
        <v>1236</v>
      </c>
      <c r="HHD2148" s="626" t="s">
        <v>1236</v>
      </c>
      <c r="HHE2148" s="626" t="s">
        <v>1236</v>
      </c>
      <c r="HHF2148" s="626" t="s">
        <v>1236</v>
      </c>
      <c r="HHG2148" s="626" t="s">
        <v>1236</v>
      </c>
      <c r="HHH2148" s="626" t="s">
        <v>1236</v>
      </c>
      <c r="HHI2148" s="626" t="s">
        <v>1236</v>
      </c>
      <c r="HHJ2148" s="626" t="s">
        <v>1236</v>
      </c>
      <c r="HHK2148" s="626" t="s">
        <v>1236</v>
      </c>
      <c r="HHL2148" s="626" t="s">
        <v>1236</v>
      </c>
      <c r="HHM2148" s="626" t="s">
        <v>1236</v>
      </c>
      <c r="HHN2148" s="626" t="s">
        <v>1236</v>
      </c>
      <c r="HHO2148" s="626" t="s">
        <v>1236</v>
      </c>
      <c r="HHP2148" s="626" t="s">
        <v>1236</v>
      </c>
      <c r="HHQ2148" s="626" t="s">
        <v>1236</v>
      </c>
      <c r="HHR2148" s="626" t="s">
        <v>1236</v>
      </c>
      <c r="HHS2148" s="626" t="s">
        <v>1236</v>
      </c>
      <c r="HHT2148" s="626" t="s">
        <v>1236</v>
      </c>
      <c r="HHU2148" s="626" t="s">
        <v>1236</v>
      </c>
      <c r="HHV2148" s="626" t="s">
        <v>1236</v>
      </c>
      <c r="HHW2148" s="626" t="s">
        <v>1236</v>
      </c>
      <c r="HHX2148" s="626" t="s">
        <v>1236</v>
      </c>
      <c r="HHY2148" s="626" t="s">
        <v>1236</v>
      </c>
      <c r="HHZ2148" s="626" t="s">
        <v>1236</v>
      </c>
      <c r="HIA2148" s="626" t="s">
        <v>1236</v>
      </c>
      <c r="HIB2148" s="626" t="s">
        <v>1236</v>
      </c>
      <c r="HIC2148" s="626" t="s">
        <v>1236</v>
      </c>
      <c r="HID2148" s="626" t="s">
        <v>1236</v>
      </c>
      <c r="HIE2148" s="626" t="s">
        <v>1236</v>
      </c>
      <c r="HIF2148" s="626" t="s">
        <v>1236</v>
      </c>
      <c r="HIG2148" s="626" t="s">
        <v>1236</v>
      </c>
      <c r="HIH2148" s="626" t="s">
        <v>1236</v>
      </c>
      <c r="HII2148" s="626" t="s">
        <v>1236</v>
      </c>
      <c r="HIJ2148" s="626" t="s">
        <v>1236</v>
      </c>
      <c r="HIK2148" s="626" t="s">
        <v>1236</v>
      </c>
      <c r="HIL2148" s="626" t="s">
        <v>1236</v>
      </c>
      <c r="HIM2148" s="626" t="s">
        <v>1236</v>
      </c>
      <c r="HIN2148" s="626" t="s">
        <v>1236</v>
      </c>
      <c r="HIO2148" s="626" t="s">
        <v>1236</v>
      </c>
      <c r="HIP2148" s="626" t="s">
        <v>1236</v>
      </c>
      <c r="HIQ2148" s="626" t="s">
        <v>1236</v>
      </c>
      <c r="HIR2148" s="626" t="s">
        <v>1236</v>
      </c>
      <c r="HIS2148" s="626" t="s">
        <v>1236</v>
      </c>
      <c r="HIT2148" s="626" t="s">
        <v>1236</v>
      </c>
      <c r="HIU2148" s="626" t="s">
        <v>1236</v>
      </c>
      <c r="HIV2148" s="626" t="s">
        <v>1236</v>
      </c>
      <c r="HIW2148" s="626" t="s">
        <v>1236</v>
      </c>
      <c r="HIX2148" s="626" t="s">
        <v>1236</v>
      </c>
      <c r="HIY2148" s="626" t="s">
        <v>1236</v>
      </c>
      <c r="HIZ2148" s="626" t="s">
        <v>1236</v>
      </c>
      <c r="HJA2148" s="626" t="s">
        <v>1236</v>
      </c>
      <c r="HJB2148" s="626" t="s">
        <v>1236</v>
      </c>
      <c r="HJC2148" s="626" t="s">
        <v>1236</v>
      </c>
      <c r="HJD2148" s="626" t="s">
        <v>1236</v>
      </c>
      <c r="HJE2148" s="626" t="s">
        <v>1236</v>
      </c>
      <c r="HJF2148" s="626" t="s">
        <v>1236</v>
      </c>
      <c r="HJG2148" s="626" t="s">
        <v>1236</v>
      </c>
      <c r="HJH2148" s="626" t="s">
        <v>1236</v>
      </c>
      <c r="HJI2148" s="626" t="s">
        <v>1236</v>
      </c>
      <c r="HJJ2148" s="626" t="s">
        <v>1236</v>
      </c>
      <c r="HJK2148" s="626" t="s">
        <v>1236</v>
      </c>
      <c r="HJL2148" s="626" t="s">
        <v>1236</v>
      </c>
      <c r="HJM2148" s="626" t="s">
        <v>1236</v>
      </c>
      <c r="HJN2148" s="626" t="s">
        <v>1236</v>
      </c>
      <c r="HJO2148" s="626" t="s">
        <v>1236</v>
      </c>
      <c r="HJP2148" s="626" t="s">
        <v>1236</v>
      </c>
      <c r="HJQ2148" s="626" t="s">
        <v>1236</v>
      </c>
      <c r="HJR2148" s="626" t="s">
        <v>1236</v>
      </c>
      <c r="HJS2148" s="626" t="s">
        <v>1236</v>
      </c>
      <c r="HJT2148" s="626" t="s">
        <v>1236</v>
      </c>
      <c r="HJU2148" s="626" t="s">
        <v>1236</v>
      </c>
      <c r="HJV2148" s="626" t="s">
        <v>1236</v>
      </c>
      <c r="HJW2148" s="626" t="s">
        <v>1236</v>
      </c>
      <c r="HJX2148" s="626" t="s">
        <v>1236</v>
      </c>
      <c r="HJY2148" s="626" t="s">
        <v>1236</v>
      </c>
      <c r="HJZ2148" s="626" t="s">
        <v>1236</v>
      </c>
      <c r="HKA2148" s="626" t="s">
        <v>1236</v>
      </c>
      <c r="HKB2148" s="626" t="s">
        <v>1236</v>
      </c>
      <c r="HKC2148" s="626" t="s">
        <v>1236</v>
      </c>
      <c r="HKD2148" s="626" t="s">
        <v>1236</v>
      </c>
      <c r="HKE2148" s="626" t="s">
        <v>1236</v>
      </c>
      <c r="HKF2148" s="626" t="s">
        <v>1236</v>
      </c>
      <c r="HKG2148" s="626" t="s">
        <v>1236</v>
      </c>
      <c r="HKH2148" s="626" t="s">
        <v>1236</v>
      </c>
      <c r="HKI2148" s="626" t="s">
        <v>1236</v>
      </c>
      <c r="HKJ2148" s="626" t="s">
        <v>1236</v>
      </c>
      <c r="HKK2148" s="626" t="s">
        <v>1236</v>
      </c>
      <c r="HKL2148" s="626" t="s">
        <v>1236</v>
      </c>
      <c r="HKM2148" s="626" t="s">
        <v>1236</v>
      </c>
      <c r="HKN2148" s="626" t="s">
        <v>1236</v>
      </c>
      <c r="HKO2148" s="626" t="s">
        <v>1236</v>
      </c>
      <c r="HKP2148" s="626" t="s">
        <v>1236</v>
      </c>
      <c r="HKQ2148" s="626" t="s">
        <v>1236</v>
      </c>
      <c r="HKR2148" s="626" t="s">
        <v>1236</v>
      </c>
      <c r="HKS2148" s="626" t="s">
        <v>1236</v>
      </c>
      <c r="HKT2148" s="626" t="s">
        <v>1236</v>
      </c>
      <c r="HKU2148" s="626" t="s">
        <v>1236</v>
      </c>
      <c r="HKV2148" s="626" t="s">
        <v>1236</v>
      </c>
      <c r="HKW2148" s="626" t="s">
        <v>1236</v>
      </c>
      <c r="HKX2148" s="626" t="s">
        <v>1236</v>
      </c>
      <c r="HKY2148" s="626" t="s">
        <v>1236</v>
      </c>
      <c r="HKZ2148" s="626" t="s">
        <v>1236</v>
      </c>
      <c r="HLA2148" s="626" t="s">
        <v>1236</v>
      </c>
      <c r="HLB2148" s="626" t="s">
        <v>1236</v>
      </c>
      <c r="HLC2148" s="626" t="s">
        <v>1236</v>
      </c>
      <c r="HLD2148" s="626" t="s">
        <v>1236</v>
      </c>
      <c r="HLE2148" s="626" t="s">
        <v>1236</v>
      </c>
      <c r="HLF2148" s="626" t="s">
        <v>1236</v>
      </c>
      <c r="HLG2148" s="626" t="s">
        <v>1236</v>
      </c>
      <c r="HLH2148" s="626" t="s">
        <v>1236</v>
      </c>
      <c r="HLI2148" s="626" t="s">
        <v>1236</v>
      </c>
      <c r="HLJ2148" s="626" t="s">
        <v>1236</v>
      </c>
      <c r="HLK2148" s="626" t="s">
        <v>1236</v>
      </c>
      <c r="HLL2148" s="626" t="s">
        <v>1236</v>
      </c>
      <c r="HLM2148" s="626" t="s">
        <v>1236</v>
      </c>
      <c r="HLN2148" s="626" t="s">
        <v>1236</v>
      </c>
      <c r="HLO2148" s="626" t="s">
        <v>1236</v>
      </c>
      <c r="HLP2148" s="626" t="s">
        <v>1236</v>
      </c>
      <c r="HLQ2148" s="626" t="s">
        <v>1236</v>
      </c>
      <c r="HLR2148" s="626" t="s">
        <v>1236</v>
      </c>
      <c r="HLS2148" s="626" t="s">
        <v>1236</v>
      </c>
      <c r="HLT2148" s="626" t="s">
        <v>1236</v>
      </c>
      <c r="HLU2148" s="626" t="s">
        <v>1236</v>
      </c>
      <c r="HLV2148" s="626" t="s">
        <v>1236</v>
      </c>
      <c r="HLW2148" s="626" t="s">
        <v>1236</v>
      </c>
      <c r="HLX2148" s="626" t="s">
        <v>1236</v>
      </c>
      <c r="HLY2148" s="626" t="s">
        <v>1236</v>
      </c>
      <c r="HLZ2148" s="626" t="s">
        <v>1236</v>
      </c>
      <c r="HMA2148" s="626" t="s">
        <v>1236</v>
      </c>
      <c r="HMB2148" s="626" t="s">
        <v>1236</v>
      </c>
      <c r="HMC2148" s="626" t="s">
        <v>1236</v>
      </c>
      <c r="HMD2148" s="626" t="s">
        <v>1236</v>
      </c>
      <c r="HME2148" s="626" t="s">
        <v>1236</v>
      </c>
      <c r="HMF2148" s="626" t="s">
        <v>1236</v>
      </c>
      <c r="HMG2148" s="626" t="s">
        <v>1236</v>
      </c>
      <c r="HMH2148" s="626" t="s">
        <v>1236</v>
      </c>
      <c r="HMI2148" s="626" t="s">
        <v>1236</v>
      </c>
      <c r="HMJ2148" s="626" t="s">
        <v>1236</v>
      </c>
      <c r="HMK2148" s="626" t="s">
        <v>1236</v>
      </c>
      <c r="HML2148" s="626" t="s">
        <v>1236</v>
      </c>
      <c r="HMM2148" s="626" t="s">
        <v>1236</v>
      </c>
      <c r="HMN2148" s="626" t="s">
        <v>1236</v>
      </c>
      <c r="HMO2148" s="626" t="s">
        <v>1236</v>
      </c>
      <c r="HMP2148" s="626" t="s">
        <v>1236</v>
      </c>
      <c r="HMQ2148" s="626" t="s">
        <v>1236</v>
      </c>
      <c r="HMR2148" s="626" t="s">
        <v>1236</v>
      </c>
      <c r="HMS2148" s="626" t="s">
        <v>1236</v>
      </c>
      <c r="HMT2148" s="626" t="s">
        <v>1236</v>
      </c>
      <c r="HMU2148" s="626" t="s">
        <v>1236</v>
      </c>
      <c r="HMV2148" s="626" t="s">
        <v>1236</v>
      </c>
      <c r="HMW2148" s="626" t="s">
        <v>1236</v>
      </c>
      <c r="HMX2148" s="626" t="s">
        <v>1236</v>
      </c>
      <c r="HMY2148" s="626" t="s">
        <v>1236</v>
      </c>
      <c r="HMZ2148" s="626" t="s">
        <v>1236</v>
      </c>
      <c r="HNA2148" s="626" t="s">
        <v>1236</v>
      </c>
      <c r="HNB2148" s="626" t="s">
        <v>1236</v>
      </c>
      <c r="HNC2148" s="626" t="s">
        <v>1236</v>
      </c>
      <c r="HND2148" s="626" t="s">
        <v>1236</v>
      </c>
      <c r="HNE2148" s="626" t="s">
        <v>1236</v>
      </c>
      <c r="HNF2148" s="626" t="s">
        <v>1236</v>
      </c>
      <c r="HNG2148" s="626" t="s">
        <v>1236</v>
      </c>
      <c r="HNH2148" s="626" t="s">
        <v>1236</v>
      </c>
      <c r="HNI2148" s="626" t="s">
        <v>1236</v>
      </c>
      <c r="HNJ2148" s="626" t="s">
        <v>1236</v>
      </c>
      <c r="HNK2148" s="626" t="s">
        <v>1236</v>
      </c>
      <c r="HNL2148" s="626" t="s">
        <v>1236</v>
      </c>
      <c r="HNM2148" s="626" t="s">
        <v>1236</v>
      </c>
      <c r="HNN2148" s="626" t="s">
        <v>1236</v>
      </c>
      <c r="HNO2148" s="626" t="s">
        <v>1236</v>
      </c>
      <c r="HNP2148" s="626" t="s">
        <v>1236</v>
      </c>
      <c r="HNQ2148" s="626" t="s">
        <v>1236</v>
      </c>
      <c r="HNR2148" s="626" t="s">
        <v>1236</v>
      </c>
      <c r="HNS2148" s="626" t="s">
        <v>1236</v>
      </c>
      <c r="HNT2148" s="626" t="s">
        <v>1236</v>
      </c>
      <c r="HNU2148" s="626" t="s">
        <v>1236</v>
      </c>
      <c r="HNV2148" s="626" t="s">
        <v>1236</v>
      </c>
      <c r="HNW2148" s="626" t="s">
        <v>1236</v>
      </c>
      <c r="HNX2148" s="626" t="s">
        <v>1236</v>
      </c>
      <c r="HNY2148" s="626" t="s">
        <v>1236</v>
      </c>
      <c r="HNZ2148" s="626" t="s">
        <v>1236</v>
      </c>
      <c r="HOA2148" s="626" t="s">
        <v>1236</v>
      </c>
      <c r="HOB2148" s="626" t="s">
        <v>1236</v>
      </c>
      <c r="HOC2148" s="626" t="s">
        <v>1236</v>
      </c>
      <c r="HOD2148" s="626" t="s">
        <v>1236</v>
      </c>
      <c r="HOE2148" s="626" t="s">
        <v>1236</v>
      </c>
      <c r="HOF2148" s="626" t="s">
        <v>1236</v>
      </c>
      <c r="HOG2148" s="626" t="s">
        <v>1236</v>
      </c>
      <c r="HOH2148" s="626" t="s">
        <v>1236</v>
      </c>
      <c r="HOI2148" s="626" t="s">
        <v>1236</v>
      </c>
      <c r="HOJ2148" s="626" t="s">
        <v>1236</v>
      </c>
      <c r="HOK2148" s="626" t="s">
        <v>1236</v>
      </c>
      <c r="HOL2148" s="626" t="s">
        <v>1236</v>
      </c>
      <c r="HOM2148" s="626" t="s">
        <v>1236</v>
      </c>
      <c r="HON2148" s="626" t="s">
        <v>1236</v>
      </c>
      <c r="HOO2148" s="626" t="s">
        <v>1236</v>
      </c>
      <c r="HOP2148" s="626" t="s">
        <v>1236</v>
      </c>
      <c r="HOQ2148" s="626" t="s">
        <v>1236</v>
      </c>
      <c r="HOR2148" s="626" t="s">
        <v>1236</v>
      </c>
      <c r="HOS2148" s="626" t="s">
        <v>1236</v>
      </c>
      <c r="HOT2148" s="626" t="s">
        <v>1236</v>
      </c>
      <c r="HOU2148" s="626" t="s">
        <v>1236</v>
      </c>
      <c r="HOV2148" s="626" t="s">
        <v>1236</v>
      </c>
      <c r="HOW2148" s="626" t="s">
        <v>1236</v>
      </c>
      <c r="HOX2148" s="626" t="s">
        <v>1236</v>
      </c>
      <c r="HOY2148" s="626" t="s">
        <v>1236</v>
      </c>
      <c r="HOZ2148" s="626" t="s">
        <v>1236</v>
      </c>
      <c r="HPA2148" s="626" t="s">
        <v>1236</v>
      </c>
      <c r="HPB2148" s="626" t="s">
        <v>1236</v>
      </c>
      <c r="HPC2148" s="626" t="s">
        <v>1236</v>
      </c>
      <c r="HPD2148" s="626" t="s">
        <v>1236</v>
      </c>
      <c r="HPE2148" s="626" t="s">
        <v>1236</v>
      </c>
      <c r="HPF2148" s="626" t="s">
        <v>1236</v>
      </c>
      <c r="HPG2148" s="626" t="s">
        <v>1236</v>
      </c>
      <c r="HPH2148" s="626" t="s">
        <v>1236</v>
      </c>
      <c r="HPI2148" s="626" t="s">
        <v>1236</v>
      </c>
      <c r="HPJ2148" s="626" t="s">
        <v>1236</v>
      </c>
      <c r="HPK2148" s="626" t="s">
        <v>1236</v>
      </c>
      <c r="HPL2148" s="626" t="s">
        <v>1236</v>
      </c>
      <c r="HPM2148" s="626" t="s">
        <v>1236</v>
      </c>
      <c r="HPN2148" s="626" t="s">
        <v>1236</v>
      </c>
      <c r="HPO2148" s="626" t="s">
        <v>1236</v>
      </c>
      <c r="HPP2148" s="626" t="s">
        <v>1236</v>
      </c>
      <c r="HPQ2148" s="626" t="s">
        <v>1236</v>
      </c>
      <c r="HPR2148" s="626" t="s">
        <v>1236</v>
      </c>
      <c r="HPS2148" s="626" t="s">
        <v>1236</v>
      </c>
      <c r="HPT2148" s="626" t="s">
        <v>1236</v>
      </c>
      <c r="HPU2148" s="626" t="s">
        <v>1236</v>
      </c>
      <c r="HPV2148" s="626" t="s">
        <v>1236</v>
      </c>
      <c r="HPW2148" s="626" t="s">
        <v>1236</v>
      </c>
      <c r="HPX2148" s="626" t="s">
        <v>1236</v>
      </c>
      <c r="HPY2148" s="626" t="s">
        <v>1236</v>
      </c>
      <c r="HPZ2148" s="626" t="s">
        <v>1236</v>
      </c>
      <c r="HQA2148" s="626" t="s">
        <v>1236</v>
      </c>
      <c r="HQB2148" s="626" t="s">
        <v>1236</v>
      </c>
      <c r="HQC2148" s="626" t="s">
        <v>1236</v>
      </c>
      <c r="HQD2148" s="626" t="s">
        <v>1236</v>
      </c>
      <c r="HQE2148" s="626" t="s">
        <v>1236</v>
      </c>
      <c r="HQF2148" s="626" t="s">
        <v>1236</v>
      </c>
      <c r="HQG2148" s="626" t="s">
        <v>1236</v>
      </c>
      <c r="HQH2148" s="626" t="s">
        <v>1236</v>
      </c>
      <c r="HQI2148" s="626" t="s">
        <v>1236</v>
      </c>
      <c r="HQJ2148" s="626" t="s">
        <v>1236</v>
      </c>
      <c r="HQK2148" s="626" t="s">
        <v>1236</v>
      </c>
      <c r="HQL2148" s="626" t="s">
        <v>1236</v>
      </c>
      <c r="HQM2148" s="626" t="s">
        <v>1236</v>
      </c>
      <c r="HQN2148" s="626" t="s">
        <v>1236</v>
      </c>
      <c r="HQO2148" s="626" t="s">
        <v>1236</v>
      </c>
      <c r="HQP2148" s="626" t="s">
        <v>1236</v>
      </c>
      <c r="HQQ2148" s="626" t="s">
        <v>1236</v>
      </c>
      <c r="HQR2148" s="626" t="s">
        <v>1236</v>
      </c>
      <c r="HQS2148" s="626" t="s">
        <v>1236</v>
      </c>
      <c r="HQT2148" s="626" t="s">
        <v>1236</v>
      </c>
      <c r="HQU2148" s="626" t="s">
        <v>1236</v>
      </c>
      <c r="HQV2148" s="626" t="s">
        <v>1236</v>
      </c>
      <c r="HQW2148" s="626" t="s">
        <v>1236</v>
      </c>
      <c r="HQX2148" s="626" t="s">
        <v>1236</v>
      </c>
      <c r="HQY2148" s="626" t="s">
        <v>1236</v>
      </c>
      <c r="HQZ2148" s="626" t="s">
        <v>1236</v>
      </c>
      <c r="HRA2148" s="626" t="s">
        <v>1236</v>
      </c>
      <c r="HRB2148" s="626" t="s">
        <v>1236</v>
      </c>
      <c r="HRC2148" s="626" t="s">
        <v>1236</v>
      </c>
      <c r="HRD2148" s="626" t="s">
        <v>1236</v>
      </c>
      <c r="HRE2148" s="626" t="s">
        <v>1236</v>
      </c>
      <c r="HRF2148" s="626" t="s">
        <v>1236</v>
      </c>
      <c r="HRG2148" s="626" t="s">
        <v>1236</v>
      </c>
      <c r="HRH2148" s="626" t="s">
        <v>1236</v>
      </c>
      <c r="HRI2148" s="626" t="s">
        <v>1236</v>
      </c>
      <c r="HRJ2148" s="626" t="s">
        <v>1236</v>
      </c>
      <c r="HRK2148" s="626" t="s">
        <v>1236</v>
      </c>
      <c r="HRL2148" s="626" t="s">
        <v>1236</v>
      </c>
      <c r="HRM2148" s="626" t="s">
        <v>1236</v>
      </c>
      <c r="HRN2148" s="626" t="s">
        <v>1236</v>
      </c>
      <c r="HRO2148" s="626" t="s">
        <v>1236</v>
      </c>
      <c r="HRP2148" s="626" t="s">
        <v>1236</v>
      </c>
      <c r="HRQ2148" s="626" t="s">
        <v>1236</v>
      </c>
      <c r="HRR2148" s="626" t="s">
        <v>1236</v>
      </c>
      <c r="HRS2148" s="626" t="s">
        <v>1236</v>
      </c>
      <c r="HRT2148" s="626" t="s">
        <v>1236</v>
      </c>
      <c r="HRU2148" s="626" t="s">
        <v>1236</v>
      </c>
      <c r="HRV2148" s="626" t="s">
        <v>1236</v>
      </c>
      <c r="HRW2148" s="626" t="s">
        <v>1236</v>
      </c>
      <c r="HRX2148" s="626" t="s">
        <v>1236</v>
      </c>
      <c r="HRY2148" s="626" t="s">
        <v>1236</v>
      </c>
      <c r="HRZ2148" s="626" t="s">
        <v>1236</v>
      </c>
      <c r="HSA2148" s="626" t="s">
        <v>1236</v>
      </c>
      <c r="HSB2148" s="626" t="s">
        <v>1236</v>
      </c>
      <c r="HSC2148" s="626" t="s">
        <v>1236</v>
      </c>
      <c r="HSD2148" s="626" t="s">
        <v>1236</v>
      </c>
      <c r="HSE2148" s="626" t="s">
        <v>1236</v>
      </c>
      <c r="HSF2148" s="626" t="s">
        <v>1236</v>
      </c>
      <c r="HSG2148" s="626" t="s">
        <v>1236</v>
      </c>
      <c r="HSH2148" s="626" t="s">
        <v>1236</v>
      </c>
      <c r="HSI2148" s="626" t="s">
        <v>1236</v>
      </c>
      <c r="HSJ2148" s="626" t="s">
        <v>1236</v>
      </c>
      <c r="HSK2148" s="626" t="s">
        <v>1236</v>
      </c>
      <c r="HSL2148" s="626" t="s">
        <v>1236</v>
      </c>
      <c r="HSM2148" s="626" t="s">
        <v>1236</v>
      </c>
      <c r="HSN2148" s="626" t="s">
        <v>1236</v>
      </c>
      <c r="HSO2148" s="626" t="s">
        <v>1236</v>
      </c>
      <c r="HSP2148" s="626" t="s">
        <v>1236</v>
      </c>
      <c r="HSQ2148" s="626" t="s">
        <v>1236</v>
      </c>
      <c r="HSR2148" s="626" t="s">
        <v>1236</v>
      </c>
      <c r="HSS2148" s="626" t="s">
        <v>1236</v>
      </c>
      <c r="HST2148" s="626" t="s">
        <v>1236</v>
      </c>
      <c r="HSU2148" s="626" t="s">
        <v>1236</v>
      </c>
      <c r="HSV2148" s="626" t="s">
        <v>1236</v>
      </c>
      <c r="HSW2148" s="626" t="s">
        <v>1236</v>
      </c>
      <c r="HSX2148" s="626" t="s">
        <v>1236</v>
      </c>
      <c r="HSY2148" s="626" t="s">
        <v>1236</v>
      </c>
      <c r="HSZ2148" s="626" t="s">
        <v>1236</v>
      </c>
      <c r="HTA2148" s="626" t="s">
        <v>1236</v>
      </c>
      <c r="HTB2148" s="626" t="s">
        <v>1236</v>
      </c>
      <c r="HTC2148" s="626" t="s">
        <v>1236</v>
      </c>
      <c r="HTD2148" s="626" t="s">
        <v>1236</v>
      </c>
      <c r="HTE2148" s="626" t="s">
        <v>1236</v>
      </c>
      <c r="HTF2148" s="626" t="s">
        <v>1236</v>
      </c>
      <c r="HTG2148" s="626" t="s">
        <v>1236</v>
      </c>
      <c r="HTH2148" s="626" t="s">
        <v>1236</v>
      </c>
      <c r="HTI2148" s="626" t="s">
        <v>1236</v>
      </c>
      <c r="HTJ2148" s="626" t="s">
        <v>1236</v>
      </c>
      <c r="HTK2148" s="626" t="s">
        <v>1236</v>
      </c>
      <c r="HTL2148" s="626" t="s">
        <v>1236</v>
      </c>
      <c r="HTM2148" s="626" t="s">
        <v>1236</v>
      </c>
      <c r="HTN2148" s="626" t="s">
        <v>1236</v>
      </c>
      <c r="HTO2148" s="626" t="s">
        <v>1236</v>
      </c>
      <c r="HTP2148" s="626" t="s">
        <v>1236</v>
      </c>
      <c r="HTQ2148" s="626" t="s">
        <v>1236</v>
      </c>
      <c r="HTR2148" s="626" t="s">
        <v>1236</v>
      </c>
      <c r="HTS2148" s="626" t="s">
        <v>1236</v>
      </c>
      <c r="HTT2148" s="626" t="s">
        <v>1236</v>
      </c>
      <c r="HTU2148" s="626" t="s">
        <v>1236</v>
      </c>
      <c r="HTV2148" s="626" t="s">
        <v>1236</v>
      </c>
      <c r="HTW2148" s="626" t="s">
        <v>1236</v>
      </c>
      <c r="HTX2148" s="626" t="s">
        <v>1236</v>
      </c>
      <c r="HTY2148" s="626" t="s">
        <v>1236</v>
      </c>
      <c r="HTZ2148" s="626" t="s">
        <v>1236</v>
      </c>
      <c r="HUA2148" s="626" t="s">
        <v>1236</v>
      </c>
      <c r="HUB2148" s="626" t="s">
        <v>1236</v>
      </c>
      <c r="HUC2148" s="626" t="s">
        <v>1236</v>
      </c>
      <c r="HUD2148" s="626" t="s">
        <v>1236</v>
      </c>
      <c r="HUE2148" s="626" t="s">
        <v>1236</v>
      </c>
      <c r="HUF2148" s="626" t="s">
        <v>1236</v>
      </c>
      <c r="HUG2148" s="626" t="s">
        <v>1236</v>
      </c>
      <c r="HUH2148" s="626" t="s">
        <v>1236</v>
      </c>
      <c r="HUI2148" s="626" t="s">
        <v>1236</v>
      </c>
      <c r="HUJ2148" s="626" t="s">
        <v>1236</v>
      </c>
      <c r="HUK2148" s="626" t="s">
        <v>1236</v>
      </c>
      <c r="HUL2148" s="626" t="s">
        <v>1236</v>
      </c>
      <c r="HUM2148" s="626" t="s">
        <v>1236</v>
      </c>
      <c r="HUN2148" s="626" t="s">
        <v>1236</v>
      </c>
      <c r="HUO2148" s="626" t="s">
        <v>1236</v>
      </c>
      <c r="HUP2148" s="626" t="s">
        <v>1236</v>
      </c>
      <c r="HUQ2148" s="626" t="s">
        <v>1236</v>
      </c>
      <c r="HUR2148" s="626" t="s">
        <v>1236</v>
      </c>
      <c r="HUS2148" s="626" t="s">
        <v>1236</v>
      </c>
      <c r="HUT2148" s="626" t="s">
        <v>1236</v>
      </c>
      <c r="HUU2148" s="626" t="s">
        <v>1236</v>
      </c>
      <c r="HUV2148" s="626" t="s">
        <v>1236</v>
      </c>
      <c r="HUW2148" s="626" t="s">
        <v>1236</v>
      </c>
      <c r="HUX2148" s="626" t="s">
        <v>1236</v>
      </c>
      <c r="HUY2148" s="626" t="s">
        <v>1236</v>
      </c>
      <c r="HUZ2148" s="626" t="s">
        <v>1236</v>
      </c>
      <c r="HVA2148" s="626" t="s">
        <v>1236</v>
      </c>
      <c r="HVB2148" s="626" t="s">
        <v>1236</v>
      </c>
      <c r="HVC2148" s="626" t="s">
        <v>1236</v>
      </c>
      <c r="HVD2148" s="626" t="s">
        <v>1236</v>
      </c>
      <c r="HVE2148" s="626" t="s">
        <v>1236</v>
      </c>
      <c r="HVF2148" s="626" t="s">
        <v>1236</v>
      </c>
      <c r="HVG2148" s="626" t="s">
        <v>1236</v>
      </c>
      <c r="HVH2148" s="626" t="s">
        <v>1236</v>
      </c>
      <c r="HVI2148" s="626" t="s">
        <v>1236</v>
      </c>
      <c r="HVJ2148" s="626" t="s">
        <v>1236</v>
      </c>
      <c r="HVK2148" s="626" t="s">
        <v>1236</v>
      </c>
      <c r="HVL2148" s="626" t="s">
        <v>1236</v>
      </c>
      <c r="HVM2148" s="626" t="s">
        <v>1236</v>
      </c>
      <c r="HVN2148" s="626" t="s">
        <v>1236</v>
      </c>
      <c r="HVO2148" s="626" t="s">
        <v>1236</v>
      </c>
      <c r="HVP2148" s="626" t="s">
        <v>1236</v>
      </c>
      <c r="HVQ2148" s="626" t="s">
        <v>1236</v>
      </c>
      <c r="HVR2148" s="626" t="s">
        <v>1236</v>
      </c>
      <c r="HVS2148" s="626" t="s">
        <v>1236</v>
      </c>
      <c r="HVT2148" s="626" t="s">
        <v>1236</v>
      </c>
      <c r="HVU2148" s="626" t="s">
        <v>1236</v>
      </c>
      <c r="HVV2148" s="626" t="s">
        <v>1236</v>
      </c>
      <c r="HVW2148" s="626" t="s">
        <v>1236</v>
      </c>
      <c r="HVX2148" s="626" t="s">
        <v>1236</v>
      </c>
      <c r="HVY2148" s="626" t="s">
        <v>1236</v>
      </c>
      <c r="HVZ2148" s="626" t="s">
        <v>1236</v>
      </c>
      <c r="HWA2148" s="626" t="s">
        <v>1236</v>
      </c>
      <c r="HWB2148" s="626" t="s">
        <v>1236</v>
      </c>
      <c r="HWC2148" s="626" t="s">
        <v>1236</v>
      </c>
      <c r="HWD2148" s="626" t="s">
        <v>1236</v>
      </c>
      <c r="HWE2148" s="626" t="s">
        <v>1236</v>
      </c>
      <c r="HWF2148" s="626" t="s">
        <v>1236</v>
      </c>
      <c r="HWG2148" s="626" t="s">
        <v>1236</v>
      </c>
      <c r="HWH2148" s="626" t="s">
        <v>1236</v>
      </c>
      <c r="HWI2148" s="626" t="s">
        <v>1236</v>
      </c>
      <c r="HWJ2148" s="626" t="s">
        <v>1236</v>
      </c>
      <c r="HWK2148" s="626" t="s">
        <v>1236</v>
      </c>
      <c r="HWL2148" s="626" t="s">
        <v>1236</v>
      </c>
      <c r="HWM2148" s="626" t="s">
        <v>1236</v>
      </c>
      <c r="HWN2148" s="626" t="s">
        <v>1236</v>
      </c>
      <c r="HWO2148" s="626" t="s">
        <v>1236</v>
      </c>
      <c r="HWP2148" s="626" t="s">
        <v>1236</v>
      </c>
      <c r="HWQ2148" s="626" t="s">
        <v>1236</v>
      </c>
      <c r="HWR2148" s="626" t="s">
        <v>1236</v>
      </c>
      <c r="HWS2148" s="626" t="s">
        <v>1236</v>
      </c>
      <c r="HWT2148" s="626" t="s">
        <v>1236</v>
      </c>
      <c r="HWU2148" s="626" t="s">
        <v>1236</v>
      </c>
      <c r="HWV2148" s="626" t="s">
        <v>1236</v>
      </c>
      <c r="HWW2148" s="626" t="s">
        <v>1236</v>
      </c>
      <c r="HWX2148" s="626" t="s">
        <v>1236</v>
      </c>
      <c r="HWY2148" s="626" t="s">
        <v>1236</v>
      </c>
      <c r="HWZ2148" s="626" t="s">
        <v>1236</v>
      </c>
      <c r="HXA2148" s="626" t="s">
        <v>1236</v>
      </c>
      <c r="HXB2148" s="626" t="s">
        <v>1236</v>
      </c>
      <c r="HXC2148" s="626" t="s">
        <v>1236</v>
      </c>
      <c r="HXD2148" s="626" t="s">
        <v>1236</v>
      </c>
      <c r="HXE2148" s="626" t="s">
        <v>1236</v>
      </c>
      <c r="HXF2148" s="626" t="s">
        <v>1236</v>
      </c>
      <c r="HXG2148" s="626" t="s">
        <v>1236</v>
      </c>
      <c r="HXH2148" s="626" t="s">
        <v>1236</v>
      </c>
      <c r="HXI2148" s="626" t="s">
        <v>1236</v>
      </c>
      <c r="HXJ2148" s="626" t="s">
        <v>1236</v>
      </c>
      <c r="HXK2148" s="626" t="s">
        <v>1236</v>
      </c>
      <c r="HXL2148" s="626" t="s">
        <v>1236</v>
      </c>
      <c r="HXM2148" s="626" t="s">
        <v>1236</v>
      </c>
      <c r="HXN2148" s="626" t="s">
        <v>1236</v>
      </c>
      <c r="HXO2148" s="626" t="s">
        <v>1236</v>
      </c>
      <c r="HXP2148" s="626" t="s">
        <v>1236</v>
      </c>
      <c r="HXQ2148" s="626" t="s">
        <v>1236</v>
      </c>
      <c r="HXR2148" s="626" t="s">
        <v>1236</v>
      </c>
      <c r="HXS2148" s="626" t="s">
        <v>1236</v>
      </c>
      <c r="HXT2148" s="626" t="s">
        <v>1236</v>
      </c>
      <c r="HXU2148" s="626" t="s">
        <v>1236</v>
      </c>
      <c r="HXV2148" s="626" t="s">
        <v>1236</v>
      </c>
      <c r="HXW2148" s="626" t="s">
        <v>1236</v>
      </c>
      <c r="HXX2148" s="626" t="s">
        <v>1236</v>
      </c>
      <c r="HXY2148" s="626" t="s">
        <v>1236</v>
      </c>
      <c r="HXZ2148" s="626" t="s">
        <v>1236</v>
      </c>
      <c r="HYA2148" s="626" t="s">
        <v>1236</v>
      </c>
      <c r="HYB2148" s="626" t="s">
        <v>1236</v>
      </c>
      <c r="HYC2148" s="626" t="s">
        <v>1236</v>
      </c>
      <c r="HYD2148" s="626" t="s">
        <v>1236</v>
      </c>
      <c r="HYE2148" s="626" t="s">
        <v>1236</v>
      </c>
      <c r="HYF2148" s="626" t="s">
        <v>1236</v>
      </c>
      <c r="HYG2148" s="626" t="s">
        <v>1236</v>
      </c>
      <c r="HYH2148" s="626" t="s">
        <v>1236</v>
      </c>
      <c r="HYI2148" s="626" t="s">
        <v>1236</v>
      </c>
      <c r="HYJ2148" s="626" t="s">
        <v>1236</v>
      </c>
      <c r="HYK2148" s="626" t="s">
        <v>1236</v>
      </c>
      <c r="HYL2148" s="626" t="s">
        <v>1236</v>
      </c>
      <c r="HYM2148" s="626" t="s">
        <v>1236</v>
      </c>
      <c r="HYN2148" s="626" t="s">
        <v>1236</v>
      </c>
      <c r="HYO2148" s="626" t="s">
        <v>1236</v>
      </c>
      <c r="HYP2148" s="626" t="s">
        <v>1236</v>
      </c>
      <c r="HYQ2148" s="626" t="s">
        <v>1236</v>
      </c>
      <c r="HYR2148" s="626" t="s">
        <v>1236</v>
      </c>
      <c r="HYS2148" s="626" t="s">
        <v>1236</v>
      </c>
      <c r="HYT2148" s="626" t="s">
        <v>1236</v>
      </c>
      <c r="HYU2148" s="626" t="s">
        <v>1236</v>
      </c>
      <c r="HYV2148" s="626" t="s">
        <v>1236</v>
      </c>
      <c r="HYW2148" s="626" t="s">
        <v>1236</v>
      </c>
      <c r="HYX2148" s="626" t="s">
        <v>1236</v>
      </c>
      <c r="HYY2148" s="626" t="s">
        <v>1236</v>
      </c>
      <c r="HYZ2148" s="626" t="s">
        <v>1236</v>
      </c>
      <c r="HZA2148" s="626" t="s">
        <v>1236</v>
      </c>
      <c r="HZB2148" s="626" t="s">
        <v>1236</v>
      </c>
      <c r="HZC2148" s="626" t="s">
        <v>1236</v>
      </c>
      <c r="HZD2148" s="626" t="s">
        <v>1236</v>
      </c>
      <c r="HZE2148" s="626" t="s">
        <v>1236</v>
      </c>
      <c r="HZF2148" s="626" t="s">
        <v>1236</v>
      </c>
      <c r="HZG2148" s="626" t="s">
        <v>1236</v>
      </c>
      <c r="HZH2148" s="626" t="s">
        <v>1236</v>
      </c>
      <c r="HZI2148" s="626" t="s">
        <v>1236</v>
      </c>
      <c r="HZJ2148" s="626" t="s">
        <v>1236</v>
      </c>
      <c r="HZK2148" s="626" t="s">
        <v>1236</v>
      </c>
      <c r="HZL2148" s="626" t="s">
        <v>1236</v>
      </c>
      <c r="HZM2148" s="626" t="s">
        <v>1236</v>
      </c>
      <c r="HZN2148" s="626" t="s">
        <v>1236</v>
      </c>
      <c r="HZO2148" s="626" t="s">
        <v>1236</v>
      </c>
      <c r="HZP2148" s="626" t="s">
        <v>1236</v>
      </c>
      <c r="HZQ2148" s="626" t="s">
        <v>1236</v>
      </c>
      <c r="HZR2148" s="626" t="s">
        <v>1236</v>
      </c>
      <c r="HZS2148" s="626" t="s">
        <v>1236</v>
      </c>
      <c r="HZT2148" s="626" t="s">
        <v>1236</v>
      </c>
      <c r="HZU2148" s="626" t="s">
        <v>1236</v>
      </c>
      <c r="HZV2148" s="626" t="s">
        <v>1236</v>
      </c>
      <c r="HZW2148" s="626" t="s">
        <v>1236</v>
      </c>
      <c r="HZX2148" s="626" t="s">
        <v>1236</v>
      </c>
      <c r="HZY2148" s="626" t="s">
        <v>1236</v>
      </c>
      <c r="HZZ2148" s="626" t="s">
        <v>1236</v>
      </c>
      <c r="IAA2148" s="626" t="s">
        <v>1236</v>
      </c>
      <c r="IAB2148" s="626" t="s">
        <v>1236</v>
      </c>
      <c r="IAC2148" s="626" t="s">
        <v>1236</v>
      </c>
      <c r="IAD2148" s="626" t="s">
        <v>1236</v>
      </c>
      <c r="IAE2148" s="626" t="s">
        <v>1236</v>
      </c>
      <c r="IAF2148" s="626" t="s">
        <v>1236</v>
      </c>
      <c r="IAG2148" s="626" t="s">
        <v>1236</v>
      </c>
      <c r="IAH2148" s="626" t="s">
        <v>1236</v>
      </c>
      <c r="IAI2148" s="626" t="s">
        <v>1236</v>
      </c>
      <c r="IAJ2148" s="626" t="s">
        <v>1236</v>
      </c>
      <c r="IAK2148" s="626" t="s">
        <v>1236</v>
      </c>
      <c r="IAL2148" s="626" t="s">
        <v>1236</v>
      </c>
      <c r="IAM2148" s="626" t="s">
        <v>1236</v>
      </c>
      <c r="IAN2148" s="626" t="s">
        <v>1236</v>
      </c>
      <c r="IAO2148" s="626" t="s">
        <v>1236</v>
      </c>
      <c r="IAP2148" s="626" t="s">
        <v>1236</v>
      </c>
      <c r="IAQ2148" s="626" t="s">
        <v>1236</v>
      </c>
      <c r="IAR2148" s="626" t="s">
        <v>1236</v>
      </c>
      <c r="IAS2148" s="626" t="s">
        <v>1236</v>
      </c>
      <c r="IAT2148" s="626" t="s">
        <v>1236</v>
      </c>
      <c r="IAU2148" s="626" t="s">
        <v>1236</v>
      </c>
      <c r="IAV2148" s="626" t="s">
        <v>1236</v>
      </c>
      <c r="IAW2148" s="626" t="s">
        <v>1236</v>
      </c>
      <c r="IAX2148" s="626" t="s">
        <v>1236</v>
      </c>
      <c r="IAY2148" s="626" t="s">
        <v>1236</v>
      </c>
      <c r="IAZ2148" s="626" t="s">
        <v>1236</v>
      </c>
      <c r="IBA2148" s="626" t="s">
        <v>1236</v>
      </c>
      <c r="IBB2148" s="626" t="s">
        <v>1236</v>
      </c>
      <c r="IBC2148" s="626" t="s">
        <v>1236</v>
      </c>
      <c r="IBD2148" s="626" t="s">
        <v>1236</v>
      </c>
      <c r="IBE2148" s="626" t="s">
        <v>1236</v>
      </c>
      <c r="IBF2148" s="626" t="s">
        <v>1236</v>
      </c>
      <c r="IBG2148" s="626" t="s">
        <v>1236</v>
      </c>
      <c r="IBH2148" s="626" t="s">
        <v>1236</v>
      </c>
      <c r="IBI2148" s="626" t="s">
        <v>1236</v>
      </c>
      <c r="IBJ2148" s="626" t="s">
        <v>1236</v>
      </c>
      <c r="IBK2148" s="626" t="s">
        <v>1236</v>
      </c>
      <c r="IBL2148" s="626" t="s">
        <v>1236</v>
      </c>
      <c r="IBM2148" s="626" t="s">
        <v>1236</v>
      </c>
      <c r="IBN2148" s="626" t="s">
        <v>1236</v>
      </c>
      <c r="IBO2148" s="626" t="s">
        <v>1236</v>
      </c>
      <c r="IBP2148" s="626" t="s">
        <v>1236</v>
      </c>
      <c r="IBQ2148" s="626" t="s">
        <v>1236</v>
      </c>
      <c r="IBR2148" s="626" t="s">
        <v>1236</v>
      </c>
      <c r="IBS2148" s="626" t="s">
        <v>1236</v>
      </c>
      <c r="IBT2148" s="626" t="s">
        <v>1236</v>
      </c>
      <c r="IBU2148" s="626" t="s">
        <v>1236</v>
      </c>
      <c r="IBV2148" s="626" t="s">
        <v>1236</v>
      </c>
      <c r="IBW2148" s="626" t="s">
        <v>1236</v>
      </c>
      <c r="IBX2148" s="626" t="s">
        <v>1236</v>
      </c>
      <c r="IBY2148" s="626" t="s">
        <v>1236</v>
      </c>
      <c r="IBZ2148" s="626" t="s">
        <v>1236</v>
      </c>
      <c r="ICA2148" s="626" t="s">
        <v>1236</v>
      </c>
      <c r="ICB2148" s="626" t="s">
        <v>1236</v>
      </c>
      <c r="ICC2148" s="626" t="s">
        <v>1236</v>
      </c>
      <c r="ICD2148" s="626" t="s">
        <v>1236</v>
      </c>
      <c r="ICE2148" s="626" t="s">
        <v>1236</v>
      </c>
      <c r="ICF2148" s="626" t="s">
        <v>1236</v>
      </c>
      <c r="ICG2148" s="626" t="s">
        <v>1236</v>
      </c>
      <c r="ICH2148" s="626" t="s">
        <v>1236</v>
      </c>
      <c r="ICI2148" s="626" t="s">
        <v>1236</v>
      </c>
      <c r="ICJ2148" s="626" t="s">
        <v>1236</v>
      </c>
      <c r="ICK2148" s="626" t="s">
        <v>1236</v>
      </c>
      <c r="ICL2148" s="626" t="s">
        <v>1236</v>
      </c>
      <c r="ICM2148" s="626" t="s">
        <v>1236</v>
      </c>
      <c r="ICN2148" s="626" t="s">
        <v>1236</v>
      </c>
      <c r="ICO2148" s="626" t="s">
        <v>1236</v>
      </c>
      <c r="ICP2148" s="626" t="s">
        <v>1236</v>
      </c>
      <c r="ICQ2148" s="626" t="s">
        <v>1236</v>
      </c>
      <c r="ICR2148" s="626" t="s">
        <v>1236</v>
      </c>
      <c r="ICS2148" s="626" t="s">
        <v>1236</v>
      </c>
      <c r="ICT2148" s="626" t="s">
        <v>1236</v>
      </c>
      <c r="ICU2148" s="626" t="s">
        <v>1236</v>
      </c>
      <c r="ICV2148" s="626" t="s">
        <v>1236</v>
      </c>
      <c r="ICW2148" s="626" t="s">
        <v>1236</v>
      </c>
      <c r="ICX2148" s="626" t="s">
        <v>1236</v>
      </c>
      <c r="ICY2148" s="626" t="s">
        <v>1236</v>
      </c>
      <c r="ICZ2148" s="626" t="s">
        <v>1236</v>
      </c>
      <c r="IDA2148" s="626" t="s">
        <v>1236</v>
      </c>
      <c r="IDB2148" s="626" t="s">
        <v>1236</v>
      </c>
      <c r="IDC2148" s="626" t="s">
        <v>1236</v>
      </c>
      <c r="IDD2148" s="626" t="s">
        <v>1236</v>
      </c>
      <c r="IDE2148" s="626" t="s">
        <v>1236</v>
      </c>
      <c r="IDF2148" s="626" t="s">
        <v>1236</v>
      </c>
      <c r="IDG2148" s="626" t="s">
        <v>1236</v>
      </c>
      <c r="IDH2148" s="626" t="s">
        <v>1236</v>
      </c>
      <c r="IDI2148" s="626" t="s">
        <v>1236</v>
      </c>
      <c r="IDJ2148" s="626" t="s">
        <v>1236</v>
      </c>
      <c r="IDK2148" s="626" t="s">
        <v>1236</v>
      </c>
      <c r="IDL2148" s="626" t="s">
        <v>1236</v>
      </c>
      <c r="IDM2148" s="626" t="s">
        <v>1236</v>
      </c>
      <c r="IDN2148" s="626" t="s">
        <v>1236</v>
      </c>
      <c r="IDO2148" s="626" t="s">
        <v>1236</v>
      </c>
      <c r="IDP2148" s="626" t="s">
        <v>1236</v>
      </c>
      <c r="IDQ2148" s="626" t="s">
        <v>1236</v>
      </c>
      <c r="IDR2148" s="626" t="s">
        <v>1236</v>
      </c>
      <c r="IDS2148" s="626" t="s">
        <v>1236</v>
      </c>
      <c r="IDT2148" s="626" t="s">
        <v>1236</v>
      </c>
      <c r="IDU2148" s="626" t="s">
        <v>1236</v>
      </c>
      <c r="IDV2148" s="626" t="s">
        <v>1236</v>
      </c>
      <c r="IDW2148" s="626" t="s">
        <v>1236</v>
      </c>
      <c r="IDX2148" s="626" t="s">
        <v>1236</v>
      </c>
      <c r="IDY2148" s="626" t="s">
        <v>1236</v>
      </c>
      <c r="IDZ2148" s="626" t="s">
        <v>1236</v>
      </c>
      <c r="IEA2148" s="626" t="s">
        <v>1236</v>
      </c>
      <c r="IEB2148" s="626" t="s">
        <v>1236</v>
      </c>
      <c r="IEC2148" s="626" t="s">
        <v>1236</v>
      </c>
      <c r="IED2148" s="626" t="s">
        <v>1236</v>
      </c>
      <c r="IEE2148" s="626" t="s">
        <v>1236</v>
      </c>
      <c r="IEF2148" s="626" t="s">
        <v>1236</v>
      </c>
      <c r="IEG2148" s="626" t="s">
        <v>1236</v>
      </c>
      <c r="IEH2148" s="626" t="s">
        <v>1236</v>
      </c>
      <c r="IEI2148" s="626" t="s">
        <v>1236</v>
      </c>
      <c r="IEJ2148" s="626" t="s">
        <v>1236</v>
      </c>
      <c r="IEK2148" s="626" t="s">
        <v>1236</v>
      </c>
      <c r="IEL2148" s="626" t="s">
        <v>1236</v>
      </c>
      <c r="IEM2148" s="626" t="s">
        <v>1236</v>
      </c>
      <c r="IEN2148" s="626" t="s">
        <v>1236</v>
      </c>
      <c r="IEO2148" s="626" t="s">
        <v>1236</v>
      </c>
      <c r="IEP2148" s="626" t="s">
        <v>1236</v>
      </c>
      <c r="IEQ2148" s="626" t="s">
        <v>1236</v>
      </c>
      <c r="IER2148" s="626" t="s">
        <v>1236</v>
      </c>
      <c r="IES2148" s="626" t="s">
        <v>1236</v>
      </c>
      <c r="IET2148" s="626" t="s">
        <v>1236</v>
      </c>
      <c r="IEU2148" s="626" t="s">
        <v>1236</v>
      </c>
      <c r="IEV2148" s="626" t="s">
        <v>1236</v>
      </c>
      <c r="IEW2148" s="626" t="s">
        <v>1236</v>
      </c>
      <c r="IEX2148" s="626" t="s">
        <v>1236</v>
      </c>
      <c r="IEY2148" s="626" t="s">
        <v>1236</v>
      </c>
      <c r="IEZ2148" s="626" t="s">
        <v>1236</v>
      </c>
      <c r="IFA2148" s="626" t="s">
        <v>1236</v>
      </c>
      <c r="IFB2148" s="626" t="s">
        <v>1236</v>
      </c>
      <c r="IFC2148" s="626" t="s">
        <v>1236</v>
      </c>
      <c r="IFD2148" s="626" t="s">
        <v>1236</v>
      </c>
      <c r="IFE2148" s="626" t="s">
        <v>1236</v>
      </c>
      <c r="IFF2148" s="626" t="s">
        <v>1236</v>
      </c>
      <c r="IFG2148" s="626" t="s">
        <v>1236</v>
      </c>
      <c r="IFH2148" s="626" t="s">
        <v>1236</v>
      </c>
      <c r="IFI2148" s="626" t="s">
        <v>1236</v>
      </c>
      <c r="IFJ2148" s="626" t="s">
        <v>1236</v>
      </c>
      <c r="IFK2148" s="626" t="s">
        <v>1236</v>
      </c>
      <c r="IFL2148" s="626" t="s">
        <v>1236</v>
      </c>
      <c r="IFM2148" s="626" t="s">
        <v>1236</v>
      </c>
      <c r="IFN2148" s="626" t="s">
        <v>1236</v>
      </c>
      <c r="IFO2148" s="626" t="s">
        <v>1236</v>
      </c>
      <c r="IFP2148" s="626" t="s">
        <v>1236</v>
      </c>
      <c r="IFQ2148" s="626" t="s">
        <v>1236</v>
      </c>
      <c r="IFR2148" s="626" t="s">
        <v>1236</v>
      </c>
      <c r="IFS2148" s="626" t="s">
        <v>1236</v>
      </c>
      <c r="IFT2148" s="626" t="s">
        <v>1236</v>
      </c>
      <c r="IFU2148" s="626" t="s">
        <v>1236</v>
      </c>
      <c r="IFV2148" s="626" t="s">
        <v>1236</v>
      </c>
      <c r="IFW2148" s="626" t="s">
        <v>1236</v>
      </c>
      <c r="IFX2148" s="626" t="s">
        <v>1236</v>
      </c>
      <c r="IFY2148" s="626" t="s">
        <v>1236</v>
      </c>
      <c r="IFZ2148" s="626" t="s">
        <v>1236</v>
      </c>
      <c r="IGA2148" s="626" t="s">
        <v>1236</v>
      </c>
      <c r="IGB2148" s="626" t="s">
        <v>1236</v>
      </c>
      <c r="IGC2148" s="626" t="s">
        <v>1236</v>
      </c>
      <c r="IGD2148" s="626" t="s">
        <v>1236</v>
      </c>
      <c r="IGE2148" s="626" t="s">
        <v>1236</v>
      </c>
      <c r="IGF2148" s="626" t="s">
        <v>1236</v>
      </c>
      <c r="IGG2148" s="626" t="s">
        <v>1236</v>
      </c>
      <c r="IGH2148" s="626" t="s">
        <v>1236</v>
      </c>
      <c r="IGI2148" s="626" t="s">
        <v>1236</v>
      </c>
      <c r="IGJ2148" s="626" t="s">
        <v>1236</v>
      </c>
      <c r="IGK2148" s="626" t="s">
        <v>1236</v>
      </c>
      <c r="IGL2148" s="626" t="s">
        <v>1236</v>
      </c>
      <c r="IGM2148" s="626" t="s">
        <v>1236</v>
      </c>
      <c r="IGN2148" s="626" t="s">
        <v>1236</v>
      </c>
      <c r="IGO2148" s="626" t="s">
        <v>1236</v>
      </c>
      <c r="IGP2148" s="626" t="s">
        <v>1236</v>
      </c>
      <c r="IGQ2148" s="626" t="s">
        <v>1236</v>
      </c>
      <c r="IGR2148" s="626" t="s">
        <v>1236</v>
      </c>
      <c r="IGS2148" s="626" t="s">
        <v>1236</v>
      </c>
      <c r="IGT2148" s="626" t="s">
        <v>1236</v>
      </c>
      <c r="IGU2148" s="626" t="s">
        <v>1236</v>
      </c>
      <c r="IGV2148" s="626" t="s">
        <v>1236</v>
      </c>
      <c r="IGW2148" s="626" t="s">
        <v>1236</v>
      </c>
      <c r="IGX2148" s="626" t="s">
        <v>1236</v>
      </c>
      <c r="IGY2148" s="626" t="s">
        <v>1236</v>
      </c>
      <c r="IGZ2148" s="626" t="s">
        <v>1236</v>
      </c>
      <c r="IHA2148" s="626" t="s">
        <v>1236</v>
      </c>
      <c r="IHB2148" s="626" t="s">
        <v>1236</v>
      </c>
      <c r="IHC2148" s="626" t="s">
        <v>1236</v>
      </c>
      <c r="IHD2148" s="626" t="s">
        <v>1236</v>
      </c>
      <c r="IHE2148" s="626" t="s">
        <v>1236</v>
      </c>
      <c r="IHF2148" s="626" t="s">
        <v>1236</v>
      </c>
      <c r="IHG2148" s="626" t="s">
        <v>1236</v>
      </c>
      <c r="IHH2148" s="626" t="s">
        <v>1236</v>
      </c>
      <c r="IHI2148" s="626" t="s">
        <v>1236</v>
      </c>
      <c r="IHJ2148" s="626" t="s">
        <v>1236</v>
      </c>
      <c r="IHK2148" s="626" t="s">
        <v>1236</v>
      </c>
      <c r="IHL2148" s="626" t="s">
        <v>1236</v>
      </c>
      <c r="IHM2148" s="626" t="s">
        <v>1236</v>
      </c>
      <c r="IHN2148" s="626" t="s">
        <v>1236</v>
      </c>
      <c r="IHO2148" s="626" t="s">
        <v>1236</v>
      </c>
      <c r="IHP2148" s="626" t="s">
        <v>1236</v>
      </c>
      <c r="IHQ2148" s="626" t="s">
        <v>1236</v>
      </c>
      <c r="IHR2148" s="626" t="s">
        <v>1236</v>
      </c>
      <c r="IHS2148" s="626" t="s">
        <v>1236</v>
      </c>
      <c r="IHT2148" s="626" t="s">
        <v>1236</v>
      </c>
      <c r="IHU2148" s="626" t="s">
        <v>1236</v>
      </c>
      <c r="IHV2148" s="626" t="s">
        <v>1236</v>
      </c>
      <c r="IHW2148" s="626" t="s">
        <v>1236</v>
      </c>
      <c r="IHX2148" s="626" t="s">
        <v>1236</v>
      </c>
      <c r="IHY2148" s="626" t="s">
        <v>1236</v>
      </c>
      <c r="IHZ2148" s="626" t="s">
        <v>1236</v>
      </c>
      <c r="IIA2148" s="626" t="s">
        <v>1236</v>
      </c>
      <c r="IIB2148" s="626" t="s">
        <v>1236</v>
      </c>
      <c r="IIC2148" s="626" t="s">
        <v>1236</v>
      </c>
      <c r="IID2148" s="626" t="s">
        <v>1236</v>
      </c>
      <c r="IIE2148" s="626" t="s">
        <v>1236</v>
      </c>
      <c r="IIF2148" s="626" t="s">
        <v>1236</v>
      </c>
      <c r="IIG2148" s="626" t="s">
        <v>1236</v>
      </c>
      <c r="IIH2148" s="626" t="s">
        <v>1236</v>
      </c>
      <c r="III2148" s="626" t="s">
        <v>1236</v>
      </c>
      <c r="IIJ2148" s="626" t="s">
        <v>1236</v>
      </c>
      <c r="IIK2148" s="626" t="s">
        <v>1236</v>
      </c>
      <c r="IIL2148" s="626" t="s">
        <v>1236</v>
      </c>
      <c r="IIM2148" s="626" t="s">
        <v>1236</v>
      </c>
      <c r="IIN2148" s="626" t="s">
        <v>1236</v>
      </c>
      <c r="IIO2148" s="626" t="s">
        <v>1236</v>
      </c>
      <c r="IIP2148" s="626" t="s">
        <v>1236</v>
      </c>
      <c r="IIQ2148" s="626" t="s">
        <v>1236</v>
      </c>
      <c r="IIR2148" s="626" t="s">
        <v>1236</v>
      </c>
      <c r="IIS2148" s="626" t="s">
        <v>1236</v>
      </c>
      <c r="IIT2148" s="626" t="s">
        <v>1236</v>
      </c>
      <c r="IIU2148" s="626" t="s">
        <v>1236</v>
      </c>
      <c r="IIV2148" s="626" t="s">
        <v>1236</v>
      </c>
      <c r="IIW2148" s="626" t="s">
        <v>1236</v>
      </c>
      <c r="IIX2148" s="626" t="s">
        <v>1236</v>
      </c>
      <c r="IIY2148" s="626" t="s">
        <v>1236</v>
      </c>
      <c r="IIZ2148" s="626" t="s">
        <v>1236</v>
      </c>
      <c r="IJA2148" s="626" t="s">
        <v>1236</v>
      </c>
      <c r="IJB2148" s="626" t="s">
        <v>1236</v>
      </c>
      <c r="IJC2148" s="626" t="s">
        <v>1236</v>
      </c>
      <c r="IJD2148" s="626" t="s">
        <v>1236</v>
      </c>
      <c r="IJE2148" s="626" t="s">
        <v>1236</v>
      </c>
      <c r="IJF2148" s="626" t="s">
        <v>1236</v>
      </c>
      <c r="IJG2148" s="626" t="s">
        <v>1236</v>
      </c>
      <c r="IJH2148" s="626" t="s">
        <v>1236</v>
      </c>
      <c r="IJI2148" s="626" t="s">
        <v>1236</v>
      </c>
      <c r="IJJ2148" s="626" t="s">
        <v>1236</v>
      </c>
      <c r="IJK2148" s="626" t="s">
        <v>1236</v>
      </c>
      <c r="IJL2148" s="626" t="s">
        <v>1236</v>
      </c>
      <c r="IJM2148" s="626" t="s">
        <v>1236</v>
      </c>
      <c r="IJN2148" s="626" t="s">
        <v>1236</v>
      </c>
      <c r="IJO2148" s="626" t="s">
        <v>1236</v>
      </c>
      <c r="IJP2148" s="626" t="s">
        <v>1236</v>
      </c>
      <c r="IJQ2148" s="626" t="s">
        <v>1236</v>
      </c>
      <c r="IJR2148" s="626" t="s">
        <v>1236</v>
      </c>
      <c r="IJS2148" s="626" t="s">
        <v>1236</v>
      </c>
      <c r="IJT2148" s="626" t="s">
        <v>1236</v>
      </c>
      <c r="IJU2148" s="626" t="s">
        <v>1236</v>
      </c>
      <c r="IJV2148" s="626" t="s">
        <v>1236</v>
      </c>
      <c r="IJW2148" s="626" t="s">
        <v>1236</v>
      </c>
      <c r="IJX2148" s="626" t="s">
        <v>1236</v>
      </c>
      <c r="IJY2148" s="626" t="s">
        <v>1236</v>
      </c>
      <c r="IJZ2148" s="626" t="s">
        <v>1236</v>
      </c>
      <c r="IKA2148" s="626" t="s">
        <v>1236</v>
      </c>
      <c r="IKB2148" s="626" t="s">
        <v>1236</v>
      </c>
      <c r="IKC2148" s="626" t="s">
        <v>1236</v>
      </c>
      <c r="IKD2148" s="626" t="s">
        <v>1236</v>
      </c>
      <c r="IKE2148" s="626" t="s">
        <v>1236</v>
      </c>
      <c r="IKF2148" s="626" t="s">
        <v>1236</v>
      </c>
      <c r="IKG2148" s="626" t="s">
        <v>1236</v>
      </c>
      <c r="IKH2148" s="626" t="s">
        <v>1236</v>
      </c>
      <c r="IKI2148" s="626" t="s">
        <v>1236</v>
      </c>
      <c r="IKJ2148" s="626" t="s">
        <v>1236</v>
      </c>
      <c r="IKK2148" s="626" t="s">
        <v>1236</v>
      </c>
      <c r="IKL2148" s="626" t="s">
        <v>1236</v>
      </c>
      <c r="IKM2148" s="626" t="s">
        <v>1236</v>
      </c>
      <c r="IKN2148" s="626" t="s">
        <v>1236</v>
      </c>
      <c r="IKO2148" s="626" t="s">
        <v>1236</v>
      </c>
      <c r="IKP2148" s="626" t="s">
        <v>1236</v>
      </c>
      <c r="IKQ2148" s="626" t="s">
        <v>1236</v>
      </c>
      <c r="IKR2148" s="626" t="s">
        <v>1236</v>
      </c>
      <c r="IKS2148" s="626" t="s">
        <v>1236</v>
      </c>
      <c r="IKT2148" s="626" t="s">
        <v>1236</v>
      </c>
      <c r="IKU2148" s="626" t="s">
        <v>1236</v>
      </c>
      <c r="IKV2148" s="626" t="s">
        <v>1236</v>
      </c>
      <c r="IKW2148" s="626" t="s">
        <v>1236</v>
      </c>
      <c r="IKX2148" s="626" t="s">
        <v>1236</v>
      </c>
      <c r="IKY2148" s="626" t="s">
        <v>1236</v>
      </c>
      <c r="IKZ2148" s="626" t="s">
        <v>1236</v>
      </c>
      <c r="ILA2148" s="626" t="s">
        <v>1236</v>
      </c>
      <c r="ILB2148" s="626" t="s">
        <v>1236</v>
      </c>
      <c r="ILC2148" s="626" t="s">
        <v>1236</v>
      </c>
      <c r="ILD2148" s="626" t="s">
        <v>1236</v>
      </c>
      <c r="ILE2148" s="626" t="s">
        <v>1236</v>
      </c>
      <c r="ILF2148" s="626" t="s">
        <v>1236</v>
      </c>
      <c r="ILG2148" s="626" t="s">
        <v>1236</v>
      </c>
      <c r="ILH2148" s="626" t="s">
        <v>1236</v>
      </c>
      <c r="ILI2148" s="626" t="s">
        <v>1236</v>
      </c>
      <c r="ILJ2148" s="626" t="s">
        <v>1236</v>
      </c>
      <c r="ILK2148" s="626" t="s">
        <v>1236</v>
      </c>
      <c r="ILL2148" s="626" t="s">
        <v>1236</v>
      </c>
      <c r="ILM2148" s="626" t="s">
        <v>1236</v>
      </c>
      <c r="ILN2148" s="626" t="s">
        <v>1236</v>
      </c>
      <c r="ILO2148" s="626" t="s">
        <v>1236</v>
      </c>
      <c r="ILP2148" s="626" t="s">
        <v>1236</v>
      </c>
      <c r="ILQ2148" s="626" t="s">
        <v>1236</v>
      </c>
      <c r="ILR2148" s="626" t="s">
        <v>1236</v>
      </c>
      <c r="ILS2148" s="626" t="s">
        <v>1236</v>
      </c>
      <c r="ILT2148" s="626" t="s">
        <v>1236</v>
      </c>
      <c r="ILU2148" s="626" t="s">
        <v>1236</v>
      </c>
      <c r="ILV2148" s="626" t="s">
        <v>1236</v>
      </c>
      <c r="ILW2148" s="626" t="s">
        <v>1236</v>
      </c>
      <c r="ILX2148" s="626" t="s">
        <v>1236</v>
      </c>
      <c r="ILY2148" s="626" t="s">
        <v>1236</v>
      </c>
      <c r="ILZ2148" s="626" t="s">
        <v>1236</v>
      </c>
      <c r="IMA2148" s="626" t="s">
        <v>1236</v>
      </c>
      <c r="IMB2148" s="626" t="s">
        <v>1236</v>
      </c>
      <c r="IMC2148" s="626" t="s">
        <v>1236</v>
      </c>
      <c r="IMD2148" s="626" t="s">
        <v>1236</v>
      </c>
      <c r="IME2148" s="626" t="s">
        <v>1236</v>
      </c>
      <c r="IMF2148" s="626" t="s">
        <v>1236</v>
      </c>
      <c r="IMG2148" s="626" t="s">
        <v>1236</v>
      </c>
      <c r="IMH2148" s="626" t="s">
        <v>1236</v>
      </c>
      <c r="IMI2148" s="626" t="s">
        <v>1236</v>
      </c>
      <c r="IMJ2148" s="626" t="s">
        <v>1236</v>
      </c>
      <c r="IMK2148" s="626" t="s">
        <v>1236</v>
      </c>
      <c r="IML2148" s="626" t="s">
        <v>1236</v>
      </c>
      <c r="IMM2148" s="626" t="s">
        <v>1236</v>
      </c>
      <c r="IMN2148" s="626" t="s">
        <v>1236</v>
      </c>
      <c r="IMO2148" s="626" t="s">
        <v>1236</v>
      </c>
      <c r="IMP2148" s="626" t="s">
        <v>1236</v>
      </c>
      <c r="IMQ2148" s="626" t="s">
        <v>1236</v>
      </c>
      <c r="IMR2148" s="626" t="s">
        <v>1236</v>
      </c>
      <c r="IMS2148" s="626" t="s">
        <v>1236</v>
      </c>
      <c r="IMT2148" s="626" t="s">
        <v>1236</v>
      </c>
      <c r="IMU2148" s="626" t="s">
        <v>1236</v>
      </c>
      <c r="IMV2148" s="626" t="s">
        <v>1236</v>
      </c>
      <c r="IMW2148" s="626" t="s">
        <v>1236</v>
      </c>
      <c r="IMX2148" s="626" t="s">
        <v>1236</v>
      </c>
      <c r="IMY2148" s="626" t="s">
        <v>1236</v>
      </c>
      <c r="IMZ2148" s="626" t="s">
        <v>1236</v>
      </c>
      <c r="INA2148" s="626" t="s">
        <v>1236</v>
      </c>
      <c r="INB2148" s="626" t="s">
        <v>1236</v>
      </c>
      <c r="INC2148" s="626" t="s">
        <v>1236</v>
      </c>
      <c r="IND2148" s="626" t="s">
        <v>1236</v>
      </c>
      <c r="INE2148" s="626" t="s">
        <v>1236</v>
      </c>
      <c r="INF2148" s="626" t="s">
        <v>1236</v>
      </c>
      <c r="ING2148" s="626" t="s">
        <v>1236</v>
      </c>
      <c r="INH2148" s="626" t="s">
        <v>1236</v>
      </c>
      <c r="INI2148" s="626" t="s">
        <v>1236</v>
      </c>
      <c r="INJ2148" s="626" t="s">
        <v>1236</v>
      </c>
      <c r="INK2148" s="626" t="s">
        <v>1236</v>
      </c>
      <c r="INL2148" s="626" t="s">
        <v>1236</v>
      </c>
      <c r="INM2148" s="626" t="s">
        <v>1236</v>
      </c>
      <c r="INN2148" s="626" t="s">
        <v>1236</v>
      </c>
      <c r="INO2148" s="626" t="s">
        <v>1236</v>
      </c>
      <c r="INP2148" s="626" t="s">
        <v>1236</v>
      </c>
      <c r="INQ2148" s="626" t="s">
        <v>1236</v>
      </c>
      <c r="INR2148" s="626" t="s">
        <v>1236</v>
      </c>
      <c r="INS2148" s="626" t="s">
        <v>1236</v>
      </c>
      <c r="INT2148" s="626" t="s">
        <v>1236</v>
      </c>
      <c r="INU2148" s="626" t="s">
        <v>1236</v>
      </c>
      <c r="INV2148" s="626" t="s">
        <v>1236</v>
      </c>
      <c r="INW2148" s="626" t="s">
        <v>1236</v>
      </c>
      <c r="INX2148" s="626" t="s">
        <v>1236</v>
      </c>
      <c r="INY2148" s="626" t="s">
        <v>1236</v>
      </c>
      <c r="INZ2148" s="626" t="s">
        <v>1236</v>
      </c>
      <c r="IOA2148" s="626" t="s">
        <v>1236</v>
      </c>
      <c r="IOB2148" s="626" t="s">
        <v>1236</v>
      </c>
      <c r="IOC2148" s="626" t="s">
        <v>1236</v>
      </c>
      <c r="IOD2148" s="626" t="s">
        <v>1236</v>
      </c>
      <c r="IOE2148" s="626" t="s">
        <v>1236</v>
      </c>
      <c r="IOF2148" s="626" t="s">
        <v>1236</v>
      </c>
      <c r="IOG2148" s="626" t="s">
        <v>1236</v>
      </c>
      <c r="IOH2148" s="626" t="s">
        <v>1236</v>
      </c>
      <c r="IOI2148" s="626" t="s">
        <v>1236</v>
      </c>
      <c r="IOJ2148" s="626" t="s">
        <v>1236</v>
      </c>
      <c r="IOK2148" s="626" t="s">
        <v>1236</v>
      </c>
      <c r="IOL2148" s="626" t="s">
        <v>1236</v>
      </c>
      <c r="IOM2148" s="626" t="s">
        <v>1236</v>
      </c>
      <c r="ION2148" s="626" t="s">
        <v>1236</v>
      </c>
      <c r="IOO2148" s="626" t="s">
        <v>1236</v>
      </c>
      <c r="IOP2148" s="626" t="s">
        <v>1236</v>
      </c>
      <c r="IOQ2148" s="626" t="s">
        <v>1236</v>
      </c>
      <c r="IOR2148" s="626" t="s">
        <v>1236</v>
      </c>
      <c r="IOS2148" s="626" t="s">
        <v>1236</v>
      </c>
      <c r="IOT2148" s="626" t="s">
        <v>1236</v>
      </c>
      <c r="IOU2148" s="626" t="s">
        <v>1236</v>
      </c>
      <c r="IOV2148" s="626" t="s">
        <v>1236</v>
      </c>
      <c r="IOW2148" s="626" t="s">
        <v>1236</v>
      </c>
      <c r="IOX2148" s="626" t="s">
        <v>1236</v>
      </c>
      <c r="IOY2148" s="626" t="s">
        <v>1236</v>
      </c>
      <c r="IOZ2148" s="626" t="s">
        <v>1236</v>
      </c>
      <c r="IPA2148" s="626" t="s">
        <v>1236</v>
      </c>
      <c r="IPB2148" s="626" t="s">
        <v>1236</v>
      </c>
      <c r="IPC2148" s="626" t="s">
        <v>1236</v>
      </c>
      <c r="IPD2148" s="626" t="s">
        <v>1236</v>
      </c>
      <c r="IPE2148" s="626" t="s">
        <v>1236</v>
      </c>
      <c r="IPF2148" s="626" t="s">
        <v>1236</v>
      </c>
      <c r="IPG2148" s="626" t="s">
        <v>1236</v>
      </c>
      <c r="IPH2148" s="626" t="s">
        <v>1236</v>
      </c>
      <c r="IPI2148" s="626" t="s">
        <v>1236</v>
      </c>
      <c r="IPJ2148" s="626" t="s">
        <v>1236</v>
      </c>
      <c r="IPK2148" s="626" t="s">
        <v>1236</v>
      </c>
      <c r="IPL2148" s="626" t="s">
        <v>1236</v>
      </c>
      <c r="IPM2148" s="626" t="s">
        <v>1236</v>
      </c>
      <c r="IPN2148" s="626" t="s">
        <v>1236</v>
      </c>
      <c r="IPO2148" s="626" t="s">
        <v>1236</v>
      </c>
      <c r="IPP2148" s="626" t="s">
        <v>1236</v>
      </c>
      <c r="IPQ2148" s="626" t="s">
        <v>1236</v>
      </c>
      <c r="IPR2148" s="626" t="s">
        <v>1236</v>
      </c>
      <c r="IPS2148" s="626" t="s">
        <v>1236</v>
      </c>
      <c r="IPT2148" s="626" t="s">
        <v>1236</v>
      </c>
      <c r="IPU2148" s="626" t="s">
        <v>1236</v>
      </c>
      <c r="IPV2148" s="626" t="s">
        <v>1236</v>
      </c>
      <c r="IPW2148" s="626" t="s">
        <v>1236</v>
      </c>
      <c r="IPX2148" s="626" t="s">
        <v>1236</v>
      </c>
      <c r="IPY2148" s="626" t="s">
        <v>1236</v>
      </c>
      <c r="IPZ2148" s="626" t="s">
        <v>1236</v>
      </c>
      <c r="IQA2148" s="626" t="s">
        <v>1236</v>
      </c>
      <c r="IQB2148" s="626" t="s">
        <v>1236</v>
      </c>
      <c r="IQC2148" s="626" t="s">
        <v>1236</v>
      </c>
      <c r="IQD2148" s="626" t="s">
        <v>1236</v>
      </c>
      <c r="IQE2148" s="626" t="s">
        <v>1236</v>
      </c>
      <c r="IQF2148" s="626" t="s">
        <v>1236</v>
      </c>
      <c r="IQG2148" s="626" t="s">
        <v>1236</v>
      </c>
      <c r="IQH2148" s="626" t="s">
        <v>1236</v>
      </c>
      <c r="IQI2148" s="626" t="s">
        <v>1236</v>
      </c>
      <c r="IQJ2148" s="626" t="s">
        <v>1236</v>
      </c>
      <c r="IQK2148" s="626" t="s">
        <v>1236</v>
      </c>
      <c r="IQL2148" s="626" t="s">
        <v>1236</v>
      </c>
      <c r="IQM2148" s="626" t="s">
        <v>1236</v>
      </c>
      <c r="IQN2148" s="626" t="s">
        <v>1236</v>
      </c>
      <c r="IQO2148" s="626" t="s">
        <v>1236</v>
      </c>
      <c r="IQP2148" s="626" t="s">
        <v>1236</v>
      </c>
      <c r="IQQ2148" s="626" t="s">
        <v>1236</v>
      </c>
      <c r="IQR2148" s="626" t="s">
        <v>1236</v>
      </c>
      <c r="IQS2148" s="626" t="s">
        <v>1236</v>
      </c>
      <c r="IQT2148" s="626" t="s">
        <v>1236</v>
      </c>
      <c r="IQU2148" s="626" t="s">
        <v>1236</v>
      </c>
      <c r="IQV2148" s="626" t="s">
        <v>1236</v>
      </c>
      <c r="IQW2148" s="626" t="s">
        <v>1236</v>
      </c>
      <c r="IQX2148" s="626" t="s">
        <v>1236</v>
      </c>
      <c r="IQY2148" s="626" t="s">
        <v>1236</v>
      </c>
      <c r="IQZ2148" s="626" t="s">
        <v>1236</v>
      </c>
      <c r="IRA2148" s="626" t="s">
        <v>1236</v>
      </c>
      <c r="IRB2148" s="626" t="s">
        <v>1236</v>
      </c>
      <c r="IRC2148" s="626" t="s">
        <v>1236</v>
      </c>
      <c r="IRD2148" s="626" t="s">
        <v>1236</v>
      </c>
      <c r="IRE2148" s="626" t="s">
        <v>1236</v>
      </c>
      <c r="IRF2148" s="626" t="s">
        <v>1236</v>
      </c>
      <c r="IRG2148" s="626" t="s">
        <v>1236</v>
      </c>
      <c r="IRH2148" s="626" t="s">
        <v>1236</v>
      </c>
      <c r="IRI2148" s="626" t="s">
        <v>1236</v>
      </c>
      <c r="IRJ2148" s="626" t="s">
        <v>1236</v>
      </c>
      <c r="IRK2148" s="626" t="s">
        <v>1236</v>
      </c>
      <c r="IRL2148" s="626" t="s">
        <v>1236</v>
      </c>
      <c r="IRM2148" s="626" t="s">
        <v>1236</v>
      </c>
      <c r="IRN2148" s="626" t="s">
        <v>1236</v>
      </c>
      <c r="IRO2148" s="626" t="s">
        <v>1236</v>
      </c>
      <c r="IRP2148" s="626" t="s">
        <v>1236</v>
      </c>
      <c r="IRQ2148" s="626" t="s">
        <v>1236</v>
      </c>
      <c r="IRR2148" s="626" t="s">
        <v>1236</v>
      </c>
      <c r="IRS2148" s="626" t="s">
        <v>1236</v>
      </c>
      <c r="IRT2148" s="626" t="s">
        <v>1236</v>
      </c>
      <c r="IRU2148" s="626" t="s">
        <v>1236</v>
      </c>
      <c r="IRV2148" s="626" t="s">
        <v>1236</v>
      </c>
      <c r="IRW2148" s="626" t="s">
        <v>1236</v>
      </c>
      <c r="IRX2148" s="626" t="s">
        <v>1236</v>
      </c>
      <c r="IRY2148" s="626" t="s">
        <v>1236</v>
      </c>
      <c r="IRZ2148" s="626" t="s">
        <v>1236</v>
      </c>
      <c r="ISA2148" s="626" t="s">
        <v>1236</v>
      </c>
      <c r="ISB2148" s="626" t="s">
        <v>1236</v>
      </c>
      <c r="ISC2148" s="626" t="s">
        <v>1236</v>
      </c>
      <c r="ISD2148" s="626" t="s">
        <v>1236</v>
      </c>
      <c r="ISE2148" s="626" t="s">
        <v>1236</v>
      </c>
      <c r="ISF2148" s="626" t="s">
        <v>1236</v>
      </c>
      <c r="ISG2148" s="626" t="s">
        <v>1236</v>
      </c>
      <c r="ISH2148" s="626" t="s">
        <v>1236</v>
      </c>
      <c r="ISI2148" s="626" t="s">
        <v>1236</v>
      </c>
      <c r="ISJ2148" s="626" t="s">
        <v>1236</v>
      </c>
      <c r="ISK2148" s="626" t="s">
        <v>1236</v>
      </c>
      <c r="ISL2148" s="626" t="s">
        <v>1236</v>
      </c>
      <c r="ISM2148" s="626" t="s">
        <v>1236</v>
      </c>
      <c r="ISN2148" s="626" t="s">
        <v>1236</v>
      </c>
      <c r="ISO2148" s="626" t="s">
        <v>1236</v>
      </c>
      <c r="ISP2148" s="626" t="s">
        <v>1236</v>
      </c>
      <c r="ISQ2148" s="626" t="s">
        <v>1236</v>
      </c>
      <c r="ISR2148" s="626" t="s">
        <v>1236</v>
      </c>
      <c r="ISS2148" s="626" t="s">
        <v>1236</v>
      </c>
      <c r="IST2148" s="626" t="s">
        <v>1236</v>
      </c>
      <c r="ISU2148" s="626" t="s">
        <v>1236</v>
      </c>
      <c r="ISV2148" s="626" t="s">
        <v>1236</v>
      </c>
      <c r="ISW2148" s="626" t="s">
        <v>1236</v>
      </c>
      <c r="ISX2148" s="626" t="s">
        <v>1236</v>
      </c>
      <c r="ISY2148" s="626" t="s">
        <v>1236</v>
      </c>
      <c r="ISZ2148" s="626" t="s">
        <v>1236</v>
      </c>
      <c r="ITA2148" s="626" t="s">
        <v>1236</v>
      </c>
      <c r="ITB2148" s="626" t="s">
        <v>1236</v>
      </c>
      <c r="ITC2148" s="626" t="s">
        <v>1236</v>
      </c>
      <c r="ITD2148" s="626" t="s">
        <v>1236</v>
      </c>
      <c r="ITE2148" s="626" t="s">
        <v>1236</v>
      </c>
      <c r="ITF2148" s="626" t="s">
        <v>1236</v>
      </c>
      <c r="ITG2148" s="626" t="s">
        <v>1236</v>
      </c>
      <c r="ITH2148" s="626" t="s">
        <v>1236</v>
      </c>
      <c r="ITI2148" s="626" t="s">
        <v>1236</v>
      </c>
      <c r="ITJ2148" s="626" t="s">
        <v>1236</v>
      </c>
      <c r="ITK2148" s="626" t="s">
        <v>1236</v>
      </c>
      <c r="ITL2148" s="626" t="s">
        <v>1236</v>
      </c>
      <c r="ITM2148" s="626" t="s">
        <v>1236</v>
      </c>
      <c r="ITN2148" s="626" t="s">
        <v>1236</v>
      </c>
      <c r="ITO2148" s="626" t="s">
        <v>1236</v>
      </c>
      <c r="ITP2148" s="626" t="s">
        <v>1236</v>
      </c>
      <c r="ITQ2148" s="626" t="s">
        <v>1236</v>
      </c>
      <c r="ITR2148" s="626" t="s">
        <v>1236</v>
      </c>
      <c r="ITS2148" s="626" t="s">
        <v>1236</v>
      </c>
      <c r="ITT2148" s="626" t="s">
        <v>1236</v>
      </c>
      <c r="ITU2148" s="626" t="s">
        <v>1236</v>
      </c>
      <c r="ITV2148" s="626" t="s">
        <v>1236</v>
      </c>
      <c r="ITW2148" s="626" t="s">
        <v>1236</v>
      </c>
      <c r="ITX2148" s="626" t="s">
        <v>1236</v>
      </c>
      <c r="ITY2148" s="626" t="s">
        <v>1236</v>
      </c>
      <c r="ITZ2148" s="626" t="s">
        <v>1236</v>
      </c>
      <c r="IUA2148" s="626" t="s">
        <v>1236</v>
      </c>
      <c r="IUB2148" s="626" t="s">
        <v>1236</v>
      </c>
      <c r="IUC2148" s="626" t="s">
        <v>1236</v>
      </c>
      <c r="IUD2148" s="626" t="s">
        <v>1236</v>
      </c>
      <c r="IUE2148" s="626" t="s">
        <v>1236</v>
      </c>
      <c r="IUF2148" s="626" t="s">
        <v>1236</v>
      </c>
      <c r="IUG2148" s="626" t="s">
        <v>1236</v>
      </c>
      <c r="IUH2148" s="626" t="s">
        <v>1236</v>
      </c>
      <c r="IUI2148" s="626" t="s">
        <v>1236</v>
      </c>
      <c r="IUJ2148" s="626" t="s">
        <v>1236</v>
      </c>
      <c r="IUK2148" s="626" t="s">
        <v>1236</v>
      </c>
      <c r="IUL2148" s="626" t="s">
        <v>1236</v>
      </c>
      <c r="IUM2148" s="626" t="s">
        <v>1236</v>
      </c>
      <c r="IUN2148" s="626" t="s">
        <v>1236</v>
      </c>
      <c r="IUO2148" s="626" t="s">
        <v>1236</v>
      </c>
      <c r="IUP2148" s="626" t="s">
        <v>1236</v>
      </c>
      <c r="IUQ2148" s="626" t="s">
        <v>1236</v>
      </c>
      <c r="IUR2148" s="626" t="s">
        <v>1236</v>
      </c>
      <c r="IUS2148" s="626" t="s">
        <v>1236</v>
      </c>
      <c r="IUT2148" s="626" t="s">
        <v>1236</v>
      </c>
      <c r="IUU2148" s="626" t="s">
        <v>1236</v>
      </c>
      <c r="IUV2148" s="626" t="s">
        <v>1236</v>
      </c>
      <c r="IUW2148" s="626" t="s">
        <v>1236</v>
      </c>
      <c r="IUX2148" s="626" t="s">
        <v>1236</v>
      </c>
      <c r="IUY2148" s="626" t="s">
        <v>1236</v>
      </c>
      <c r="IUZ2148" s="626" t="s">
        <v>1236</v>
      </c>
      <c r="IVA2148" s="626" t="s">
        <v>1236</v>
      </c>
      <c r="IVB2148" s="626" t="s">
        <v>1236</v>
      </c>
      <c r="IVC2148" s="626" t="s">
        <v>1236</v>
      </c>
      <c r="IVD2148" s="626" t="s">
        <v>1236</v>
      </c>
      <c r="IVE2148" s="626" t="s">
        <v>1236</v>
      </c>
      <c r="IVF2148" s="626" t="s">
        <v>1236</v>
      </c>
      <c r="IVG2148" s="626" t="s">
        <v>1236</v>
      </c>
      <c r="IVH2148" s="626" t="s">
        <v>1236</v>
      </c>
      <c r="IVI2148" s="626" t="s">
        <v>1236</v>
      </c>
      <c r="IVJ2148" s="626" t="s">
        <v>1236</v>
      </c>
      <c r="IVK2148" s="626" t="s">
        <v>1236</v>
      </c>
      <c r="IVL2148" s="626" t="s">
        <v>1236</v>
      </c>
      <c r="IVM2148" s="626" t="s">
        <v>1236</v>
      </c>
      <c r="IVN2148" s="626" t="s">
        <v>1236</v>
      </c>
      <c r="IVO2148" s="626" t="s">
        <v>1236</v>
      </c>
      <c r="IVP2148" s="626" t="s">
        <v>1236</v>
      </c>
      <c r="IVQ2148" s="626" t="s">
        <v>1236</v>
      </c>
      <c r="IVR2148" s="626" t="s">
        <v>1236</v>
      </c>
      <c r="IVS2148" s="626" t="s">
        <v>1236</v>
      </c>
      <c r="IVT2148" s="626" t="s">
        <v>1236</v>
      </c>
      <c r="IVU2148" s="626" t="s">
        <v>1236</v>
      </c>
      <c r="IVV2148" s="626" t="s">
        <v>1236</v>
      </c>
      <c r="IVW2148" s="626" t="s">
        <v>1236</v>
      </c>
      <c r="IVX2148" s="626" t="s">
        <v>1236</v>
      </c>
      <c r="IVY2148" s="626" t="s">
        <v>1236</v>
      </c>
      <c r="IVZ2148" s="626" t="s">
        <v>1236</v>
      </c>
      <c r="IWA2148" s="626" t="s">
        <v>1236</v>
      </c>
      <c r="IWB2148" s="626" t="s">
        <v>1236</v>
      </c>
      <c r="IWC2148" s="626" t="s">
        <v>1236</v>
      </c>
      <c r="IWD2148" s="626" t="s">
        <v>1236</v>
      </c>
      <c r="IWE2148" s="626" t="s">
        <v>1236</v>
      </c>
      <c r="IWF2148" s="626" t="s">
        <v>1236</v>
      </c>
      <c r="IWG2148" s="626" t="s">
        <v>1236</v>
      </c>
      <c r="IWH2148" s="626" t="s">
        <v>1236</v>
      </c>
      <c r="IWI2148" s="626" t="s">
        <v>1236</v>
      </c>
      <c r="IWJ2148" s="626" t="s">
        <v>1236</v>
      </c>
      <c r="IWK2148" s="626" t="s">
        <v>1236</v>
      </c>
      <c r="IWL2148" s="626" t="s">
        <v>1236</v>
      </c>
      <c r="IWM2148" s="626" t="s">
        <v>1236</v>
      </c>
      <c r="IWN2148" s="626" t="s">
        <v>1236</v>
      </c>
      <c r="IWO2148" s="626" t="s">
        <v>1236</v>
      </c>
      <c r="IWP2148" s="626" t="s">
        <v>1236</v>
      </c>
      <c r="IWQ2148" s="626" t="s">
        <v>1236</v>
      </c>
      <c r="IWR2148" s="626" t="s">
        <v>1236</v>
      </c>
      <c r="IWS2148" s="626" t="s">
        <v>1236</v>
      </c>
      <c r="IWT2148" s="626" t="s">
        <v>1236</v>
      </c>
      <c r="IWU2148" s="626" t="s">
        <v>1236</v>
      </c>
      <c r="IWV2148" s="626" t="s">
        <v>1236</v>
      </c>
      <c r="IWW2148" s="626" t="s">
        <v>1236</v>
      </c>
      <c r="IWX2148" s="626" t="s">
        <v>1236</v>
      </c>
      <c r="IWY2148" s="626" t="s">
        <v>1236</v>
      </c>
      <c r="IWZ2148" s="626" t="s">
        <v>1236</v>
      </c>
      <c r="IXA2148" s="626" t="s">
        <v>1236</v>
      </c>
      <c r="IXB2148" s="626" t="s">
        <v>1236</v>
      </c>
      <c r="IXC2148" s="626" t="s">
        <v>1236</v>
      </c>
      <c r="IXD2148" s="626" t="s">
        <v>1236</v>
      </c>
      <c r="IXE2148" s="626" t="s">
        <v>1236</v>
      </c>
      <c r="IXF2148" s="626" t="s">
        <v>1236</v>
      </c>
      <c r="IXG2148" s="626" t="s">
        <v>1236</v>
      </c>
      <c r="IXH2148" s="626" t="s">
        <v>1236</v>
      </c>
      <c r="IXI2148" s="626" t="s">
        <v>1236</v>
      </c>
      <c r="IXJ2148" s="626" t="s">
        <v>1236</v>
      </c>
      <c r="IXK2148" s="626" t="s">
        <v>1236</v>
      </c>
      <c r="IXL2148" s="626" t="s">
        <v>1236</v>
      </c>
      <c r="IXM2148" s="626" t="s">
        <v>1236</v>
      </c>
      <c r="IXN2148" s="626" t="s">
        <v>1236</v>
      </c>
      <c r="IXO2148" s="626" t="s">
        <v>1236</v>
      </c>
      <c r="IXP2148" s="626" t="s">
        <v>1236</v>
      </c>
      <c r="IXQ2148" s="626" t="s">
        <v>1236</v>
      </c>
      <c r="IXR2148" s="626" t="s">
        <v>1236</v>
      </c>
      <c r="IXS2148" s="626" t="s">
        <v>1236</v>
      </c>
      <c r="IXT2148" s="626" t="s">
        <v>1236</v>
      </c>
      <c r="IXU2148" s="626" t="s">
        <v>1236</v>
      </c>
      <c r="IXV2148" s="626" t="s">
        <v>1236</v>
      </c>
      <c r="IXW2148" s="626" t="s">
        <v>1236</v>
      </c>
      <c r="IXX2148" s="626" t="s">
        <v>1236</v>
      </c>
      <c r="IXY2148" s="626" t="s">
        <v>1236</v>
      </c>
      <c r="IXZ2148" s="626" t="s">
        <v>1236</v>
      </c>
      <c r="IYA2148" s="626" t="s">
        <v>1236</v>
      </c>
      <c r="IYB2148" s="626" t="s">
        <v>1236</v>
      </c>
      <c r="IYC2148" s="626" t="s">
        <v>1236</v>
      </c>
      <c r="IYD2148" s="626" t="s">
        <v>1236</v>
      </c>
      <c r="IYE2148" s="626" t="s">
        <v>1236</v>
      </c>
      <c r="IYF2148" s="626" t="s">
        <v>1236</v>
      </c>
      <c r="IYG2148" s="626" t="s">
        <v>1236</v>
      </c>
      <c r="IYH2148" s="626" t="s">
        <v>1236</v>
      </c>
      <c r="IYI2148" s="626" t="s">
        <v>1236</v>
      </c>
      <c r="IYJ2148" s="626" t="s">
        <v>1236</v>
      </c>
      <c r="IYK2148" s="626" t="s">
        <v>1236</v>
      </c>
      <c r="IYL2148" s="626" t="s">
        <v>1236</v>
      </c>
      <c r="IYM2148" s="626" t="s">
        <v>1236</v>
      </c>
      <c r="IYN2148" s="626" t="s">
        <v>1236</v>
      </c>
      <c r="IYO2148" s="626" t="s">
        <v>1236</v>
      </c>
      <c r="IYP2148" s="626" t="s">
        <v>1236</v>
      </c>
      <c r="IYQ2148" s="626" t="s">
        <v>1236</v>
      </c>
      <c r="IYR2148" s="626" t="s">
        <v>1236</v>
      </c>
      <c r="IYS2148" s="626" t="s">
        <v>1236</v>
      </c>
      <c r="IYT2148" s="626" t="s">
        <v>1236</v>
      </c>
      <c r="IYU2148" s="626" t="s">
        <v>1236</v>
      </c>
      <c r="IYV2148" s="626" t="s">
        <v>1236</v>
      </c>
      <c r="IYW2148" s="626" t="s">
        <v>1236</v>
      </c>
      <c r="IYX2148" s="626" t="s">
        <v>1236</v>
      </c>
      <c r="IYY2148" s="626" t="s">
        <v>1236</v>
      </c>
      <c r="IYZ2148" s="626" t="s">
        <v>1236</v>
      </c>
      <c r="IZA2148" s="626" t="s">
        <v>1236</v>
      </c>
      <c r="IZB2148" s="626" t="s">
        <v>1236</v>
      </c>
      <c r="IZC2148" s="626" t="s">
        <v>1236</v>
      </c>
      <c r="IZD2148" s="626" t="s">
        <v>1236</v>
      </c>
      <c r="IZE2148" s="626" t="s">
        <v>1236</v>
      </c>
      <c r="IZF2148" s="626" t="s">
        <v>1236</v>
      </c>
      <c r="IZG2148" s="626" t="s">
        <v>1236</v>
      </c>
      <c r="IZH2148" s="626" t="s">
        <v>1236</v>
      </c>
      <c r="IZI2148" s="626" t="s">
        <v>1236</v>
      </c>
      <c r="IZJ2148" s="626" t="s">
        <v>1236</v>
      </c>
      <c r="IZK2148" s="626" t="s">
        <v>1236</v>
      </c>
      <c r="IZL2148" s="626" t="s">
        <v>1236</v>
      </c>
      <c r="IZM2148" s="626" t="s">
        <v>1236</v>
      </c>
      <c r="IZN2148" s="626" t="s">
        <v>1236</v>
      </c>
      <c r="IZO2148" s="626" t="s">
        <v>1236</v>
      </c>
      <c r="IZP2148" s="626" t="s">
        <v>1236</v>
      </c>
      <c r="IZQ2148" s="626" t="s">
        <v>1236</v>
      </c>
      <c r="IZR2148" s="626" t="s">
        <v>1236</v>
      </c>
      <c r="IZS2148" s="626" t="s">
        <v>1236</v>
      </c>
      <c r="IZT2148" s="626" t="s">
        <v>1236</v>
      </c>
      <c r="IZU2148" s="626" t="s">
        <v>1236</v>
      </c>
      <c r="IZV2148" s="626" t="s">
        <v>1236</v>
      </c>
      <c r="IZW2148" s="626" t="s">
        <v>1236</v>
      </c>
      <c r="IZX2148" s="626" t="s">
        <v>1236</v>
      </c>
      <c r="IZY2148" s="626" t="s">
        <v>1236</v>
      </c>
      <c r="IZZ2148" s="626" t="s">
        <v>1236</v>
      </c>
      <c r="JAA2148" s="626" t="s">
        <v>1236</v>
      </c>
      <c r="JAB2148" s="626" t="s">
        <v>1236</v>
      </c>
      <c r="JAC2148" s="626" t="s">
        <v>1236</v>
      </c>
      <c r="JAD2148" s="626" t="s">
        <v>1236</v>
      </c>
      <c r="JAE2148" s="626" t="s">
        <v>1236</v>
      </c>
      <c r="JAF2148" s="626" t="s">
        <v>1236</v>
      </c>
      <c r="JAG2148" s="626" t="s">
        <v>1236</v>
      </c>
      <c r="JAH2148" s="626" t="s">
        <v>1236</v>
      </c>
      <c r="JAI2148" s="626" t="s">
        <v>1236</v>
      </c>
      <c r="JAJ2148" s="626" t="s">
        <v>1236</v>
      </c>
      <c r="JAK2148" s="626" t="s">
        <v>1236</v>
      </c>
      <c r="JAL2148" s="626" t="s">
        <v>1236</v>
      </c>
      <c r="JAM2148" s="626" t="s">
        <v>1236</v>
      </c>
      <c r="JAN2148" s="626" t="s">
        <v>1236</v>
      </c>
      <c r="JAO2148" s="626" t="s">
        <v>1236</v>
      </c>
      <c r="JAP2148" s="626" t="s">
        <v>1236</v>
      </c>
      <c r="JAQ2148" s="626" t="s">
        <v>1236</v>
      </c>
      <c r="JAR2148" s="626" t="s">
        <v>1236</v>
      </c>
      <c r="JAS2148" s="626" t="s">
        <v>1236</v>
      </c>
      <c r="JAT2148" s="626" t="s">
        <v>1236</v>
      </c>
      <c r="JAU2148" s="626" t="s">
        <v>1236</v>
      </c>
      <c r="JAV2148" s="626" t="s">
        <v>1236</v>
      </c>
      <c r="JAW2148" s="626" t="s">
        <v>1236</v>
      </c>
      <c r="JAX2148" s="626" t="s">
        <v>1236</v>
      </c>
      <c r="JAY2148" s="626" t="s">
        <v>1236</v>
      </c>
      <c r="JAZ2148" s="626" t="s">
        <v>1236</v>
      </c>
      <c r="JBA2148" s="626" t="s">
        <v>1236</v>
      </c>
      <c r="JBB2148" s="626" t="s">
        <v>1236</v>
      </c>
      <c r="JBC2148" s="626" t="s">
        <v>1236</v>
      </c>
      <c r="JBD2148" s="626" t="s">
        <v>1236</v>
      </c>
      <c r="JBE2148" s="626" t="s">
        <v>1236</v>
      </c>
      <c r="JBF2148" s="626" t="s">
        <v>1236</v>
      </c>
      <c r="JBG2148" s="626" t="s">
        <v>1236</v>
      </c>
      <c r="JBH2148" s="626" t="s">
        <v>1236</v>
      </c>
      <c r="JBI2148" s="626" t="s">
        <v>1236</v>
      </c>
      <c r="JBJ2148" s="626" t="s">
        <v>1236</v>
      </c>
      <c r="JBK2148" s="626" t="s">
        <v>1236</v>
      </c>
      <c r="JBL2148" s="626" t="s">
        <v>1236</v>
      </c>
      <c r="JBM2148" s="626" t="s">
        <v>1236</v>
      </c>
      <c r="JBN2148" s="626" t="s">
        <v>1236</v>
      </c>
      <c r="JBO2148" s="626" t="s">
        <v>1236</v>
      </c>
      <c r="JBP2148" s="626" t="s">
        <v>1236</v>
      </c>
      <c r="JBQ2148" s="626" t="s">
        <v>1236</v>
      </c>
      <c r="JBR2148" s="626" t="s">
        <v>1236</v>
      </c>
      <c r="JBS2148" s="626" t="s">
        <v>1236</v>
      </c>
      <c r="JBT2148" s="626" t="s">
        <v>1236</v>
      </c>
      <c r="JBU2148" s="626" t="s">
        <v>1236</v>
      </c>
      <c r="JBV2148" s="626" t="s">
        <v>1236</v>
      </c>
      <c r="JBW2148" s="626" t="s">
        <v>1236</v>
      </c>
      <c r="JBX2148" s="626" t="s">
        <v>1236</v>
      </c>
      <c r="JBY2148" s="626" t="s">
        <v>1236</v>
      </c>
      <c r="JBZ2148" s="626" t="s">
        <v>1236</v>
      </c>
      <c r="JCA2148" s="626" t="s">
        <v>1236</v>
      </c>
      <c r="JCB2148" s="626" t="s">
        <v>1236</v>
      </c>
      <c r="JCC2148" s="626" t="s">
        <v>1236</v>
      </c>
      <c r="JCD2148" s="626" t="s">
        <v>1236</v>
      </c>
      <c r="JCE2148" s="626" t="s">
        <v>1236</v>
      </c>
      <c r="JCF2148" s="626" t="s">
        <v>1236</v>
      </c>
      <c r="JCG2148" s="626" t="s">
        <v>1236</v>
      </c>
      <c r="JCH2148" s="626" t="s">
        <v>1236</v>
      </c>
      <c r="JCI2148" s="626" t="s">
        <v>1236</v>
      </c>
      <c r="JCJ2148" s="626" t="s">
        <v>1236</v>
      </c>
      <c r="JCK2148" s="626" t="s">
        <v>1236</v>
      </c>
      <c r="JCL2148" s="626" t="s">
        <v>1236</v>
      </c>
      <c r="JCM2148" s="626" t="s">
        <v>1236</v>
      </c>
      <c r="JCN2148" s="626" t="s">
        <v>1236</v>
      </c>
      <c r="JCO2148" s="626" t="s">
        <v>1236</v>
      </c>
      <c r="JCP2148" s="626" t="s">
        <v>1236</v>
      </c>
      <c r="JCQ2148" s="626" t="s">
        <v>1236</v>
      </c>
      <c r="JCR2148" s="626" t="s">
        <v>1236</v>
      </c>
      <c r="JCS2148" s="626" t="s">
        <v>1236</v>
      </c>
      <c r="JCT2148" s="626" t="s">
        <v>1236</v>
      </c>
      <c r="JCU2148" s="626" t="s">
        <v>1236</v>
      </c>
      <c r="JCV2148" s="626" t="s">
        <v>1236</v>
      </c>
      <c r="JCW2148" s="626" t="s">
        <v>1236</v>
      </c>
      <c r="JCX2148" s="626" t="s">
        <v>1236</v>
      </c>
      <c r="JCY2148" s="626" t="s">
        <v>1236</v>
      </c>
      <c r="JCZ2148" s="626" t="s">
        <v>1236</v>
      </c>
      <c r="JDA2148" s="626" t="s">
        <v>1236</v>
      </c>
      <c r="JDB2148" s="626" t="s">
        <v>1236</v>
      </c>
      <c r="JDC2148" s="626" t="s">
        <v>1236</v>
      </c>
      <c r="JDD2148" s="626" t="s">
        <v>1236</v>
      </c>
      <c r="JDE2148" s="626" t="s">
        <v>1236</v>
      </c>
      <c r="JDF2148" s="626" t="s">
        <v>1236</v>
      </c>
      <c r="JDG2148" s="626" t="s">
        <v>1236</v>
      </c>
      <c r="JDH2148" s="626" t="s">
        <v>1236</v>
      </c>
      <c r="JDI2148" s="626" t="s">
        <v>1236</v>
      </c>
      <c r="JDJ2148" s="626" t="s">
        <v>1236</v>
      </c>
      <c r="JDK2148" s="626" t="s">
        <v>1236</v>
      </c>
      <c r="JDL2148" s="626" t="s">
        <v>1236</v>
      </c>
      <c r="JDM2148" s="626" t="s">
        <v>1236</v>
      </c>
      <c r="JDN2148" s="626" t="s">
        <v>1236</v>
      </c>
      <c r="JDO2148" s="626" t="s">
        <v>1236</v>
      </c>
      <c r="JDP2148" s="626" t="s">
        <v>1236</v>
      </c>
      <c r="JDQ2148" s="626" t="s">
        <v>1236</v>
      </c>
      <c r="JDR2148" s="626" t="s">
        <v>1236</v>
      </c>
      <c r="JDS2148" s="626" t="s">
        <v>1236</v>
      </c>
      <c r="JDT2148" s="626" t="s">
        <v>1236</v>
      </c>
      <c r="JDU2148" s="626" t="s">
        <v>1236</v>
      </c>
      <c r="JDV2148" s="626" t="s">
        <v>1236</v>
      </c>
      <c r="JDW2148" s="626" t="s">
        <v>1236</v>
      </c>
      <c r="JDX2148" s="626" t="s">
        <v>1236</v>
      </c>
      <c r="JDY2148" s="626" t="s">
        <v>1236</v>
      </c>
      <c r="JDZ2148" s="626" t="s">
        <v>1236</v>
      </c>
      <c r="JEA2148" s="626" t="s">
        <v>1236</v>
      </c>
      <c r="JEB2148" s="626" t="s">
        <v>1236</v>
      </c>
      <c r="JEC2148" s="626" t="s">
        <v>1236</v>
      </c>
      <c r="JED2148" s="626" t="s">
        <v>1236</v>
      </c>
      <c r="JEE2148" s="626" t="s">
        <v>1236</v>
      </c>
      <c r="JEF2148" s="626" t="s">
        <v>1236</v>
      </c>
      <c r="JEG2148" s="626" t="s">
        <v>1236</v>
      </c>
      <c r="JEH2148" s="626" t="s">
        <v>1236</v>
      </c>
      <c r="JEI2148" s="626" t="s">
        <v>1236</v>
      </c>
      <c r="JEJ2148" s="626" t="s">
        <v>1236</v>
      </c>
      <c r="JEK2148" s="626" t="s">
        <v>1236</v>
      </c>
      <c r="JEL2148" s="626" t="s">
        <v>1236</v>
      </c>
      <c r="JEM2148" s="626" t="s">
        <v>1236</v>
      </c>
      <c r="JEN2148" s="626" t="s">
        <v>1236</v>
      </c>
      <c r="JEO2148" s="626" t="s">
        <v>1236</v>
      </c>
      <c r="JEP2148" s="626" t="s">
        <v>1236</v>
      </c>
      <c r="JEQ2148" s="626" t="s">
        <v>1236</v>
      </c>
      <c r="JER2148" s="626" t="s">
        <v>1236</v>
      </c>
      <c r="JES2148" s="626" t="s">
        <v>1236</v>
      </c>
      <c r="JET2148" s="626" t="s">
        <v>1236</v>
      </c>
      <c r="JEU2148" s="626" t="s">
        <v>1236</v>
      </c>
      <c r="JEV2148" s="626" t="s">
        <v>1236</v>
      </c>
      <c r="JEW2148" s="626" t="s">
        <v>1236</v>
      </c>
      <c r="JEX2148" s="626" t="s">
        <v>1236</v>
      </c>
      <c r="JEY2148" s="626" t="s">
        <v>1236</v>
      </c>
      <c r="JEZ2148" s="626" t="s">
        <v>1236</v>
      </c>
      <c r="JFA2148" s="626" t="s">
        <v>1236</v>
      </c>
      <c r="JFB2148" s="626" t="s">
        <v>1236</v>
      </c>
      <c r="JFC2148" s="626" t="s">
        <v>1236</v>
      </c>
      <c r="JFD2148" s="626" t="s">
        <v>1236</v>
      </c>
      <c r="JFE2148" s="626" t="s">
        <v>1236</v>
      </c>
      <c r="JFF2148" s="626" t="s">
        <v>1236</v>
      </c>
      <c r="JFG2148" s="626" t="s">
        <v>1236</v>
      </c>
      <c r="JFH2148" s="626" t="s">
        <v>1236</v>
      </c>
      <c r="JFI2148" s="626" t="s">
        <v>1236</v>
      </c>
      <c r="JFJ2148" s="626" t="s">
        <v>1236</v>
      </c>
      <c r="JFK2148" s="626" t="s">
        <v>1236</v>
      </c>
      <c r="JFL2148" s="626" t="s">
        <v>1236</v>
      </c>
      <c r="JFM2148" s="626" t="s">
        <v>1236</v>
      </c>
      <c r="JFN2148" s="626" t="s">
        <v>1236</v>
      </c>
      <c r="JFO2148" s="626" t="s">
        <v>1236</v>
      </c>
      <c r="JFP2148" s="626" t="s">
        <v>1236</v>
      </c>
      <c r="JFQ2148" s="626" t="s">
        <v>1236</v>
      </c>
      <c r="JFR2148" s="626" t="s">
        <v>1236</v>
      </c>
      <c r="JFS2148" s="626" t="s">
        <v>1236</v>
      </c>
      <c r="JFT2148" s="626" t="s">
        <v>1236</v>
      </c>
      <c r="JFU2148" s="626" t="s">
        <v>1236</v>
      </c>
      <c r="JFV2148" s="626" t="s">
        <v>1236</v>
      </c>
      <c r="JFW2148" s="626" t="s">
        <v>1236</v>
      </c>
      <c r="JFX2148" s="626" t="s">
        <v>1236</v>
      </c>
      <c r="JFY2148" s="626" t="s">
        <v>1236</v>
      </c>
      <c r="JFZ2148" s="626" t="s">
        <v>1236</v>
      </c>
      <c r="JGA2148" s="626" t="s">
        <v>1236</v>
      </c>
      <c r="JGB2148" s="626" t="s">
        <v>1236</v>
      </c>
      <c r="JGC2148" s="626" t="s">
        <v>1236</v>
      </c>
      <c r="JGD2148" s="626" t="s">
        <v>1236</v>
      </c>
      <c r="JGE2148" s="626" t="s">
        <v>1236</v>
      </c>
      <c r="JGF2148" s="626" t="s">
        <v>1236</v>
      </c>
      <c r="JGG2148" s="626" t="s">
        <v>1236</v>
      </c>
      <c r="JGH2148" s="626" t="s">
        <v>1236</v>
      </c>
      <c r="JGI2148" s="626" t="s">
        <v>1236</v>
      </c>
      <c r="JGJ2148" s="626" t="s">
        <v>1236</v>
      </c>
      <c r="JGK2148" s="626" t="s">
        <v>1236</v>
      </c>
      <c r="JGL2148" s="626" t="s">
        <v>1236</v>
      </c>
      <c r="JGM2148" s="626" t="s">
        <v>1236</v>
      </c>
      <c r="JGN2148" s="626" t="s">
        <v>1236</v>
      </c>
      <c r="JGO2148" s="626" t="s">
        <v>1236</v>
      </c>
      <c r="JGP2148" s="626" t="s">
        <v>1236</v>
      </c>
      <c r="JGQ2148" s="626" t="s">
        <v>1236</v>
      </c>
      <c r="JGR2148" s="626" t="s">
        <v>1236</v>
      </c>
      <c r="JGS2148" s="626" t="s">
        <v>1236</v>
      </c>
      <c r="JGT2148" s="626" t="s">
        <v>1236</v>
      </c>
      <c r="JGU2148" s="626" t="s">
        <v>1236</v>
      </c>
      <c r="JGV2148" s="626" t="s">
        <v>1236</v>
      </c>
      <c r="JGW2148" s="626" t="s">
        <v>1236</v>
      </c>
      <c r="JGX2148" s="626" t="s">
        <v>1236</v>
      </c>
      <c r="JGY2148" s="626" t="s">
        <v>1236</v>
      </c>
      <c r="JGZ2148" s="626" t="s">
        <v>1236</v>
      </c>
      <c r="JHA2148" s="626" t="s">
        <v>1236</v>
      </c>
      <c r="JHB2148" s="626" t="s">
        <v>1236</v>
      </c>
      <c r="JHC2148" s="626" t="s">
        <v>1236</v>
      </c>
      <c r="JHD2148" s="626" t="s">
        <v>1236</v>
      </c>
      <c r="JHE2148" s="626" t="s">
        <v>1236</v>
      </c>
      <c r="JHF2148" s="626" t="s">
        <v>1236</v>
      </c>
      <c r="JHG2148" s="626" t="s">
        <v>1236</v>
      </c>
      <c r="JHH2148" s="626" t="s">
        <v>1236</v>
      </c>
      <c r="JHI2148" s="626" t="s">
        <v>1236</v>
      </c>
      <c r="JHJ2148" s="626" t="s">
        <v>1236</v>
      </c>
      <c r="JHK2148" s="626" t="s">
        <v>1236</v>
      </c>
      <c r="JHL2148" s="626" t="s">
        <v>1236</v>
      </c>
      <c r="JHM2148" s="626" t="s">
        <v>1236</v>
      </c>
      <c r="JHN2148" s="626" t="s">
        <v>1236</v>
      </c>
      <c r="JHO2148" s="626" t="s">
        <v>1236</v>
      </c>
      <c r="JHP2148" s="626" t="s">
        <v>1236</v>
      </c>
      <c r="JHQ2148" s="626" t="s">
        <v>1236</v>
      </c>
      <c r="JHR2148" s="626" t="s">
        <v>1236</v>
      </c>
      <c r="JHS2148" s="626" t="s">
        <v>1236</v>
      </c>
      <c r="JHT2148" s="626" t="s">
        <v>1236</v>
      </c>
      <c r="JHU2148" s="626" t="s">
        <v>1236</v>
      </c>
      <c r="JHV2148" s="626" t="s">
        <v>1236</v>
      </c>
      <c r="JHW2148" s="626" t="s">
        <v>1236</v>
      </c>
      <c r="JHX2148" s="626" t="s">
        <v>1236</v>
      </c>
      <c r="JHY2148" s="626" t="s">
        <v>1236</v>
      </c>
      <c r="JHZ2148" s="626" t="s">
        <v>1236</v>
      </c>
      <c r="JIA2148" s="626" t="s">
        <v>1236</v>
      </c>
      <c r="JIB2148" s="626" t="s">
        <v>1236</v>
      </c>
      <c r="JIC2148" s="626" t="s">
        <v>1236</v>
      </c>
      <c r="JID2148" s="626" t="s">
        <v>1236</v>
      </c>
      <c r="JIE2148" s="626" t="s">
        <v>1236</v>
      </c>
      <c r="JIF2148" s="626" t="s">
        <v>1236</v>
      </c>
      <c r="JIG2148" s="626" t="s">
        <v>1236</v>
      </c>
      <c r="JIH2148" s="626" t="s">
        <v>1236</v>
      </c>
      <c r="JII2148" s="626" t="s">
        <v>1236</v>
      </c>
      <c r="JIJ2148" s="626" t="s">
        <v>1236</v>
      </c>
      <c r="JIK2148" s="626" t="s">
        <v>1236</v>
      </c>
      <c r="JIL2148" s="626" t="s">
        <v>1236</v>
      </c>
      <c r="JIM2148" s="626" t="s">
        <v>1236</v>
      </c>
      <c r="JIN2148" s="626" t="s">
        <v>1236</v>
      </c>
      <c r="JIO2148" s="626" t="s">
        <v>1236</v>
      </c>
      <c r="JIP2148" s="626" t="s">
        <v>1236</v>
      </c>
      <c r="JIQ2148" s="626" t="s">
        <v>1236</v>
      </c>
      <c r="JIR2148" s="626" t="s">
        <v>1236</v>
      </c>
      <c r="JIS2148" s="626" t="s">
        <v>1236</v>
      </c>
      <c r="JIT2148" s="626" t="s">
        <v>1236</v>
      </c>
      <c r="JIU2148" s="626" t="s">
        <v>1236</v>
      </c>
      <c r="JIV2148" s="626" t="s">
        <v>1236</v>
      </c>
      <c r="JIW2148" s="626" t="s">
        <v>1236</v>
      </c>
      <c r="JIX2148" s="626" t="s">
        <v>1236</v>
      </c>
      <c r="JIY2148" s="626" t="s">
        <v>1236</v>
      </c>
      <c r="JIZ2148" s="626" t="s">
        <v>1236</v>
      </c>
      <c r="JJA2148" s="626" t="s">
        <v>1236</v>
      </c>
      <c r="JJB2148" s="626" t="s">
        <v>1236</v>
      </c>
      <c r="JJC2148" s="626" t="s">
        <v>1236</v>
      </c>
      <c r="JJD2148" s="626" t="s">
        <v>1236</v>
      </c>
      <c r="JJE2148" s="626" t="s">
        <v>1236</v>
      </c>
      <c r="JJF2148" s="626" t="s">
        <v>1236</v>
      </c>
      <c r="JJG2148" s="626" t="s">
        <v>1236</v>
      </c>
      <c r="JJH2148" s="626" t="s">
        <v>1236</v>
      </c>
      <c r="JJI2148" s="626" t="s">
        <v>1236</v>
      </c>
      <c r="JJJ2148" s="626" t="s">
        <v>1236</v>
      </c>
      <c r="JJK2148" s="626" t="s">
        <v>1236</v>
      </c>
      <c r="JJL2148" s="626" t="s">
        <v>1236</v>
      </c>
      <c r="JJM2148" s="626" t="s">
        <v>1236</v>
      </c>
      <c r="JJN2148" s="626" t="s">
        <v>1236</v>
      </c>
      <c r="JJO2148" s="626" t="s">
        <v>1236</v>
      </c>
      <c r="JJP2148" s="626" t="s">
        <v>1236</v>
      </c>
      <c r="JJQ2148" s="626" t="s">
        <v>1236</v>
      </c>
      <c r="JJR2148" s="626" t="s">
        <v>1236</v>
      </c>
      <c r="JJS2148" s="626" t="s">
        <v>1236</v>
      </c>
      <c r="JJT2148" s="626" t="s">
        <v>1236</v>
      </c>
      <c r="JJU2148" s="626" t="s">
        <v>1236</v>
      </c>
      <c r="JJV2148" s="626" t="s">
        <v>1236</v>
      </c>
      <c r="JJW2148" s="626" t="s">
        <v>1236</v>
      </c>
      <c r="JJX2148" s="626" t="s">
        <v>1236</v>
      </c>
      <c r="JJY2148" s="626" t="s">
        <v>1236</v>
      </c>
      <c r="JJZ2148" s="626" t="s">
        <v>1236</v>
      </c>
      <c r="JKA2148" s="626" t="s">
        <v>1236</v>
      </c>
      <c r="JKB2148" s="626" t="s">
        <v>1236</v>
      </c>
      <c r="JKC2148" s="626" t="s">
        <v>1236</v>
      </c>
      <c r="JKD2148" s="626" t="s">
        <v>1236</v>
      </c>
      <c r="JKE2148" s="626" t="s">
        <v>1236</v>
      </c>
      <c r="JKF2148" s="626" t="s">
        <v>1236</v>
      </c>
      <c r="JKG2148" s="626" t="s">
        <v>1236</v>
      </c>
      <c r="JKH2148" s="626" t="s">
        <v>1236</v>
      </c>
      <c r="JKI2148" s="626" t="s">
        <v>1236</v>
      </c>
      <c r="JKJ2148" s="626" t="s">
        <v>1236</v>
      </c>
      <c r="JKK2148" s="626" t="s">
        <v>1236</v>
      </c>
      <c r="JKL2148" s="626" t="s">
        <v>1236</v>
      </c>
      <c r="JKM2148" s="626" t="s">
        <v>1236</v>
      </c>
      <c r="JKN2148" s="626" t="s">
        <v>1236</v>
      </c>
      <c r="JKO2148" s="626" t="s">
        <v>1236</v>
      </c>
      <c r="JKP2148" s="626" t="s">
        <v>1236</v>
      </c>
      <c r="JKQ2148" s="626" t="s">
        <v>1236</v>
      </c>
      <c r="JKR2148" s="626" t="s">
        <v>1236</v>
      </c>
      <c r="JKS2148" s="626" t="s">
        <v>1236</v>
      </c>
      <c r="JKT2148" s="626" t="s">
        <v>1236</v>
      </c>
      <c r="JKU2148" s="626" t="s">
        <v>1236</v>
      </c>
      <c r="JKV2148" s="626" t="s">
        <v>1236</v>
      </c>
      <c r="JKW2148" s="626" t="s">
        <v>1236</v>
      </c>
      <c r="JKX2148" s="626" t="s">
        <v>1236</v>
      </c>
      <c r="JKY2148" s="626" t="s">
        <v>1236</v>
      </c>
      <c r="JKZ2148" s="626" t="s">
        <v>1236</v>
      </c>
      <c r="JLA2148" s="626" t="s">
        <v>1236</v>
      </c>
      <c r="JLB2148" s="626" t="s">
        <v>1236</v>
      </c>
      <c r="JLC2148" s="626" t="s">
        <v>1236</v>
      </c>
      <c r="JLD2148" s="626" t="s">
        <v>1236</v>
      </c>
      <c r="JLE2148" s="626" t="s">
        <v>1236</v>
      </c>
      <c r="JLF2148" s="626" t="s">
        <v>1236</v>
      </c>
      <c r="JLG2148" s="626" t="s">
        <v>1236</v>
      </c>
      <c r="JLH2148" s="626" t="s">
        <v>1236</v>
      </c>
      <c r="JLI2148" s="626" t="s">
        <v>1236</v>
      </c>
      <c r="JLJ2148" s="626" t="s">
        <v>1236</v>
      </c>
      <c r="JLK2148" s="626" t="s">
        <v>1236</v>
      </c>
      <c r="JLL2148" s="626" t="s">
        <v>1236</v>
      </c>
      <c r="JLM2148" s="626" t="s">
        <v>1236</v>
      </c>
      <c r="JLN2148" s="626" t="s">
        <v>1236</v>
      </c>
      <c r="JLO2148" s="626" t="s">
        <v>1236</v>
      </c>
      <c r="JLP2148" s="626" t="s">
        <v>1236</v>
      </c>
      <c r="JLQ2148" s="626" t="s">
        <v>1236</v>
      </c>
      <c r="JLR2148" s="626" t="s">
        <v>1236</v>
      </c>
      <c r="JLS2148" s="626" t="s">
        <v>1236</v>
      </c>
      <c r="JLT2148" s="626" t="s">
        <v>1236</v>
      </c>
      <c r="JLU2148" s="626" t="s">
        <v>1236</v>
      </c>
      <c r="JLV2148" s="626" t="s">
        <v>1236</v>
      </c>
      <c r="JLW2148" s="626" t="s">
        <v>1236</v>
      </c>
      <c r="JLX2148" s="626" t="s">
        <v>1236</v>
      </c>
      <c r="JLY2148" s="626" t="s">
        <v>1236</v>
      </c>
      <c r="JLZ2148" s="626" t="s">
        <v>1236</v>
      </c>
      <c r="JMA2148" s="626" t="s">
        <v>1236</v>
      </c>
      <c r="JMB2148" s="626" t="s">
        <v>1236</v>
      </c>
      <c r="JMC2148" s="626" t="s">
        <v>1236</v>
      </c>
      <c r="JMD2148" s="626" t="s">
        <v>1236</v>
      </c>
      <c r="JME2148" s="626" t="s">
        <v>1236</v>
      </c>
      <c r="JMF2148" s="626" t="s">
        <v>1236</v>
      </c>
      <c r="JMG2148" s="626" t="s">
        <v>1236</v>
      </c>
      <c r="JMH2148" s="626" t="s">
        <v>1236</v>
      </c>
      <c r="JMI2148" s="626" t="s">
        <v>1236</v>
      </c>
      <c r="JMJ2148" s="626" t="s">
        <v>1236</v>
      </c>
      <c r="JMK2148" s="626" t="s">
        <v>1236</v>
      </c>
      <c r="JML2148" s="626" t="s">
        <v>1236</v>
      </c>
      <c r="JMM2148" s="626" t="s">
        <v>1236</v>
      </c>
      <c r="JMN2148" s="626" t="s">
        <v>1236</v>
      </c>
      <c r="JMO2148" s="626" t="s">
        <v>1236</v>
      </c>
      <c r="JMP2148" s="626" t="s">
        <v>1236</v>
      </c>
      <c r="JMQ2148" s="626" t="s">
        <v>1236</v>
      </c>
      <c r="JMR2148" s="626" t="s">
        <v>1236</v>
      </c>
      <c r="JMS2148" s="626" t="s">
        <v>1236</v>
      </c>
      <c r="JMT2148" s="626" t="s">
        <v>1236</v>
      </c>
      <c r="JMU2148" s="626" t="s">
        <v>1236</v>
      </c>
      <c r="JMV2148" s="626" t="s">
        <v>1236</v>
      </c>
      <c r="JMW2148" s="626" t="s">
        <v>1236</v>
      </c>
      <c r="JMX2148" s="626" t="s">
        <v>1236</v>
      </c>
      <c r="JMY2148" s="626" t="s">
        <v>1236</v>
      </c>
      <c r="JMZ2148" s="626" t="s">
        <v>1236</v>
      </c>
      <c r="JNA2148" s="626" t="s">
        <v>1236</v>
      </c>
      <c r="JNB2148" s="626" t="s">
        <v>1236</v>
      </c>
      <c r="JNC2148" s="626" t="s">
        <v>1236</v>
      </c>
      <c r="JND2148" s="626" t="s">
        <v>1236</v>
      </c>
      <c r="JNE2148" s="626" t="s">
        <v>1236</v>
      </c>
      <c r="JNF2148" s="626" t="s">
        <v>1236</v>
      </c>
      <c r="JNG2148" s="626" t="s">
        <v>1236</v>
      </c>
      <c r="JNH2148" s="626" t="s">
        <v>1236</v>
      </c>
      <c r="JNI2148" s="626" t="s">
        <v>1236</v>
      </c>
      <c r="JNJ2148" s="626" t="s">
        <v>1236</v>
      </c>
      <c r="JNK2148" s="626" t="s">
        <v>1236</v>
      </c>
      <c r="JNL2148" s="626" t="s">
        <v>1236</v>
      </c>
      <c r="JNM2148" s="626" t="s">
        <v>1236</v>
      </c>
      <c r="JNN2148" s="626" t="s">
        <v>1236</v>
      </c>
      <c r="JNO2148" s="626" t="s">
        <v>1236</v>
      </c>
      <c r="JNP2148" s="626" t="s">
        <v>1236</v>
      </c>
      <c r="JNQ2148" s="626" t="s">
        <v>1236</v>
      </c>
      <c r="JNR2148" s="626" t="s">
        <v>1236</v>
      </c>
      <c r="JNS2148" s="626" t="s">
        <v>1236</v>
      </c>
      <c r="JNT2148" s="626" t="s">
        <v>1236</v>
      </c>
      <c r="JNU2148" s="626" t="s">
        <v>1236</v>
      </c>
      <c r="JNV2148" s="626" t="s">
        <v>1236</v>
      </c>
      <c r="JNW2148" s="626" t="s">
        <v>1236</v>
      </c>
      <c r="JNX2148" s="626" t="s">
        <v>1236</v>
      </c>
      <c r="JNY2148" s="626" t="s">
        <v>1236</v>
      </c>
      <c r="JNZ2148" s="626" t="s">
        <v>1236</v>
      </c>
      <c r="JOA2148" s="626" t="s">
        <v>1236</v>
      </c>
      <c r="JOB2148" s="626" t="s">
        <v>1236</v>
      </c>
      <c r="JOC2148" s="626" t="s">
        <v>1236</v>
      </c>
      <c r="JOD2148" s="626" t="s">
        <v>1236</v>
      </c>
      <c r="JOE2148" s="626" t="s">
        <v>1236</v>
      </c>
      <c r="JOF2148" s="626" t="s">
        <v>1236</v>
      </c>
      <c r="JOG2148" s="626" t="s">
        <v>1236</v>
      </c>
      <c r="JOH2148" s="626" t="s">
        <v>1236</v>
      </c>
      <c r="JOI2148" s="626" t="s">
        <v>1236</v>
      </c>
      <c r="JOJ2148" s="626" t="s">
        <v>1236</v>
      </c>
      <c r="JOK2148" s="626" t="s">
        <v>1236</v>
      </c>
      <c r="JOL2148" s="626" t="s">
        <v>1236</v>
      </c>
      <c r="JOM2148" s="626" t="s">
        <v>1236</v>
      </c>
      <c r="JON2148" s="626" t="s">
        <v>1236</v>
      </c>
      <c r="JOO2148" s="626" t="s">
        <v>1236</v>
      </c>
      <c r="JOP2148" s="626" t="s">
        <v>1236</v>
      </c>
      <c r="JOQ2148" s="626" t="s">
        <v>1236</v>
      </c>
      <c r="JOR2148" s="626" t="s">
        <v>1236</v>
      </c>
      <c r="JOS2148" s="626" t="s">
        <v>1236</v>
      </c>
      <c r="JOT2148" s="626" t="s">
        <v>1236</v>
      </c>
      <c r="JOU2148" s="626" t="s">
        <v>1236</v>
      </c>
      <c r="JOV2148" s="626" t="s">
        <v>1236</v>
      </c>
      <c r="JOW2148" s="626" t="s">
        <v>1236</v>
      </c>
      <c r="JOX2148" s="626" t="s">
        <v>1236</v>
      </c>
      <c r="JOY2148" s="626" t="s">
        <v>1236</v>
      </c>
      <c r="JOZ2148" s="626" t="s">
        <v>1236</v>
      </c>
      <c r="JPA2148" s="626" t="s">
        <v>1236</v>
      </c>
      <c r="JPB2148" s="626" t="s">
        <v>1236</v>
      </c>
      <c r="JPC2148" s="626" t="s">
        <v>1236</v>
      </c>
      <c r="JPD2148" s="626" t="s">
        <v>1236</v>
      </c>
      <c r="JPE2148" s="626" t="s">
        <v>1236</v>
      </c>
      <c r="JPF2148" s="626" t="s">
        <v>1236</v>
      </c>
      <c r="JPG2148" s="626" t="s">
        <v>1236</v>
      </c>
      <c r="JPH2148" s="626" t="s">
        <v>1236</v>
      </c>
      <c r="JPI2148" s="626" t="s">
        <v>1236</v>
      </c>
      <c r="JPJ2148" s="626" t="s">
        <v>1236</v>
      </c>
      <c r="JPK2148" s="626" t="s">
        <v>1236</v>
      </c>
      <c r="JPL2148" s="626" t="s">
        <v>1236</v>
      </c>
      <c r="JPM2148" s="626" t="s">
        <v>1236</v>
      </c>
      <c r="JPN2148" s="626" t="s">
        <v>1236</v>
      </c>
      <c r="JPO2148" s="626" t="s">
        <v>1236</v>
      </c>
      <c r="JPP2148" s="626" t="s">
        <v>1236</v>
      </c>
      <c r="JPQ2148" s="626" t="s">
        <v>1236</v>
      </c>
      <c r="JPR2148" s="626" t="s">
        <v>1236</v>
      </c>
      <c r="JPS2148" s="626" t="s">
        <v>1236</v>
      </c>
      <c r="JPT2148" s="626" t="s">
        <v>1236</v>
      </c>
      <c r="JPU2148" s="626" t="s">
        <v>1236</v>
      </c>
      <c r="JPV2148" s="626" t="s">
        <v>1236</v>
      </c>
      <c r="JPW2148" s="626" t="s">
        <v>1236</v>
      </c>
      <c r="JPX2148" s="626" t="s">
        <v>1236</v>
      </c>
      <c r="JPY2148" s="626" t="s">
        <v>1236</v>
      </c>
      <c r="JPZ2148" s="626" t="s">
        <v>1236</v>
      </c>
      <c r="JQA2148" s="626" t="s">
        <v>1236</v>
      </c>
      <c r="JQB2148" s="626" t="s">
        <v>1236</v>
      </c>
      <c r="JQC2148" s="626" t="s">
        <v>1236</v>
      </c>
      <c r="JQD2148" s="626" t="s">
        <v>1236</v>
      </c>
      <c r="JQE2148" s="626" t="s">
        <v>1236</v>
      </c>
      <c r="JQF2148" s="626" t="s">
        <v>1236</v>
      </c>
      <c r="JQG2148" s="626" t="s">
        <v>1236</v>
      </c>
      <c r="JQH2148" s="626" t="s">
        <v>1236</v>
      </c>
      <c r="JQI2148" s="626" t="s">
        <v>1236</v>
      </c>
      <c r="JQJ2148" s="626" t="s">
        <v>1236</v>
      </c>
      <c r="JQK2148" s="626" t="s">
        <v>1236</v>
      </c>
      <c r="JQL2148" s="626" t="s">
        <v>1236</v>
      </c>
      <c r="JQM2148" s="626" t="s">
        <v>1236</v>
      </c>
      <c r="JQN2148" s="626" t="s">
        <v>1236</v>
      </c>
      <c r="JQO2148" s="626" t="s">
        <v>1236</v>
      </c>
      <c r="JQP2148" s="626" t="s">
        <v>1236</v>
      </c>
      <c r="JQQ2148" s="626" t="s">
        <v>1236</v>
      </c>
      <c r="JQR2148" s="626" t="s">
        <v>1236</v>
      </c>
      <c r="JQS2148" s="626" t="s">
        <v>1236</v>
      </c>
      <c r="JQT2148" s="626" t="s">
        <v>1236</v>
      </c>
      <c r="JQU2148" s="626" t="s">
        <v>1236</v>
      </c>
      <c r="JQV2148" s="626" t="s">
        <v>1236</v>
      </c>
      <c r="JQW2148" s="626" t="s">
        <v>1236</v>
      </c>
      <c r="JQX2148" s="626" t="s">
        <v>1236</v>
      </c>
      <c r="JQY2148" s="626" t="s">
        <v>1236</v>
      </c>
      <c r="JQZ2148" s="626" t="s">
        <v>1236</v>
      </c>
      <c r="JRA2148" s="626" t="s">
        <v>1236</v>
      </c>
      <c r="JRB2148" s="626" t="s">
        <v>1236</v>
      </c>
      <c r="JRC2148" s="626" t="s">
        <v>1236</v>
      </c>
      <c r="JRD2148" s="626" t="s">
        <v>1236</v>
      </c>
      <c r="JRE2148" s="626" t="s">
        <v>1236</v>
      </c>
      <c r="JRF2148" s="626" t="s">
        <v>1236</v>
      </c>
      <c r="JRG2148" s="626" t="s">
        <v>1236</v>
      </c>
      <c r="JRH2148" s="626" t="s">
        <v>1236</v>
      </c>
      <c r="JRI2148" s="626" t="s">
        <v>1236</v>
      </c>
      <c r="JRJ2148" s="626" t="s">
        <v>1236</v>
      </c>
      <c r="JRK2148" s="626" t="s">
        <v>1236</v>
      </c>
      <c r="JRL2148" s="626" t="s">
        <v>1236</v>
      </c>
      <c r="JRM2148" s="626" t="s">
        <v>1236</v>
      </c>
      <c r="JRN2148" s="626" t="s">
        <v>1236</v>
      </c>
      <c r="JRO2148" s="626" t="s">
        <v>1236</v>
      </c>
      <c r="JRP2148" s="626" t="s">
        <v>1236</v>
      </c>
      <c r="JRQ2148" s="626" t="s">
        <v>1236</v>
      </c>
      <c r="JRR2148" s="626" t="s">
        <v>1236</v>
      </c>
      <c r="JRS2148" s="626" t="s">
        <v>1236</v>
      </c>
      <c r="JRT2148" s="626" t="s">
        <v>1236</v>
      </c>
      <c r="JRU2148" s="626" t="s">
        <v>1236</v>
      </c>
      <c r="JRV2148" s="626" t="s">
        <v>1236</v>
      </c>
      <c r="JRW2148" s="626" t="s">
        <v>1236</v>
      </c>
      <c r="JRX2148" s="626" t="s">
        <v>1236</v>
      </c>
      <c r="JRY2148" s="626" t="s">
        <v>1236</v>
      </c>
      <c r="JRZ2148" s="626" t="s">
        <v>1236</v>
      </c>
      <c r="JSA2148" s="626" t="s">
        <v>1236</v>
      </c>
      <c r="JSB2148" s="626" t="s">
        <v>1236</v>
      </c>
      <c r="JSC2148" s="626" t="s">
        <v>1236</v>
      </c>
      <c r="JSD2148" s="626" t="s">
        <v>1236</v>
      </c>
      <c r="JSE2148" s="626" t="s">
        <v>1236</v>
      </c>
      <c r="JSF2148" s="626" t="s">
        <v>1236</v>
      </c>
      <c r="JSG2148" s="626" t="s">
        <v>1236</v>
      </c>
      <c r="JSH2148" s="626" t="s">
        <v>1236</v>
      </c>
      <c r="JSI2148" s="626" t="s">
        <v>1236</v>
      </c>
      <c r="JSJ2148" s="626" t="s">
        <v>1236</v>
      </c>
      <c r="JSK2148" s="626" t="s">
        <v>1236</v>
      </c>
      <c r="JSL2148" s="626" t="s">
        <v>1236</v>
      </c>
      <c r="JSM2148" s="626" t="s">
        <v>1236</v>
      </c>
      <c r="JSN2148" s="626" t="s">
        <v>1236</v>
      </c>
      <c r="JSO2148" s="626" t="s">
        <v>1236</v>
      </c>
      <c r="JSP2148" s="626" t="s">
        <v>1236</v>
      </c>
      <c r="JSQ2148" s="626" t="s">
        <v>1236</v>
      </c>
      <c r="JSR2148" s="626" t="s">
        <v>1236</v>
      </c>
      <c r="JSS2148" s="626" t="s">
        <v>1236</v>
      </c>
      <c r="JST2148" s="626" t="s">
        <v>1236</v>
      </c>
      <c r="JSU2148" s="626" t="s">
        <v>1236</v>
      </c>
      <c r="JSV2148" s="626" t="s">
        <v>1236</v>
      </c>
      <c r="JSW2148" s="626" t="s">
        <v>1236</v>
      </c>
      <c r="JSX2148" s="626" t="s">
        <v>1236</v>
      </c>
      <c r="JSY2148" s="626" t="s">
        <v>1236</v>
      </c>
      <c r="JSZ2148" s="626" t="s">
        <v>1236</v>
      </c>
      <c r="JTA2148" s="626" t="s">
        <v>1236</v>
      </c>
      <c r="JTB2148" s="626" t="s">
        <v>1236</v>
      </c>
      <c r="JTC2148" s="626" t="s">
        <v>1236</v>
      </c>
      <c r="JTD2148" s="626" t="s">
        <v>1236</v>
      </c>
      <c r="JTE2148" s="626" t="s">
        <v>1236</v>
      </c>
      <c r="JTF2148" s="626" t="s">
        <v>1236</v>
      </c>
      <c r="JTG2148" s="626" t="s">
        <v>1236</v>
      </c>
      <c r="JTH2148" s="626" t="s">
        <v>1236</v>
      </c>
      <c r="JTI2148" s="626" t="s">
        <v>1236</v>
      </c>
      <c r="JTJ2148" s="626" t="s">
        <v>1236</v>
      </c>
      <c r="JTK2148" s="626" t="s">
        <v>1236</v>
      </c>
      <c r="JTL2148" s="626" t="s">
        <v>1236</v>
      </c>
      <c r="JTM2148" s="626" t="s">
        <v>1236</v>
      </c>
      <c r="JTN2148" s="626" t="s">
        <v>1236</v>
      </c>
      <c r="JTO2148" s="626" t="s">
        <v>1236</v>
      </c>
      <c r="JTP2148" s="626" t="s">
        <v>1236</v>
      </c>
      <c r="JTQ2148" s="626" t="s">
        <v>1236</v>
      </c>
      <c r="JTR2148" s="626" t="s">
        <v>1236</v>
      </c>
      <c r="JTS2148" s="626" t="s">
        <v>1236</v>
      </c>
      <c r="JTT2148" s="626" t="s">
        <v>1236</v>
      </c>
      <c r="JTU2148" s="626" t="s">
        <v>1236</v>
      </c>
      <c r="JTV2148" s="626" t="s">
        <v>1236</v>
      </c>
      <c r="JTW2148" s="626" t="s">
        <v>1236</v>
      </c>
      <c r="JTX2148" s="626" t="s">
        <v>1236</v>
      </c>
      <c r="JTY2148" s="626" t="s">
        <v>1236</v>
      </c>
      <c r="JTZ2148" s="626" t="s">
        <v>1236</v>
      </c>
      <c r="JUA2148" s="626" t="s">
        <v>1236</v>
      </c>
      <c r="JUB2148" s="626" t="s">
        <v>1236</v>
      </c>
      <c r="JUC2148" s="626" t="s">
        <v>1236</v>
      </c>
      <c r="JUD2148" s="626" t="s">
        <v>1236</v>
      </c>
      <c r="JUE2148" s="626" t="s">
        <v>1236</v>
      </c>
      <c r="JUF2148" s="626" t="s">
        <v>1236</v>
      </c>
      <c r="JUG2148" s="626" t="s">
        <v>1236</v>
      </c>
      <c r="JUH2148" s="626" t="s">
        <v>1236</v>
      </c>
      <c r="JUI2148" s="626" t="s">
        <v>1236</v>
      </c>
      <c r="JUJ2148" s="626" t="s">
        <v>1236</v>
      </c>
      <c r="JUK2148" s="626" t="s">
        <v>1236</v>
      </c>
      <c r="JUL2148" s="626" t="s">
        <v>1236</v>
      </c>
      <c r="JUM2148" s="626" t="s">
        <v>1236</v>
      </c>
      <c r="JUN2148" s="626" t="s">
        <v>1236</v>
      </c>
      <c r="JUO2148" s="626" t="s">
        <v>1236</v>
      </c>
      <c r="JUP2148" s="626" t="s">
        <v>1236</v>
      </c>
      <c r="JUQ2148" s="626" t="s">
        <v>1236</v>
      </c>
      <c r="JUR2148" s="626" t="s">
        <v>1236</v>
      </c>
      <c r="JUS2148" s="626" t="s">
        <v>1236</v>
      </c>
      <c r="JUT2148" s="626" t="s">
        <v>1236</v>
      </c>
      <c r="JUU2148" s="626" t="s">
        <v>1236</v>
      </c>
      <c r="JUV2148" s="626" t="s">
        <v>1236</v>
      </c>
      <c r="JUW2148" s="626" t="s">
        <v>1236</v>
      </c>
      <c r="JUX2148" s="626" t="s">
        <v>1236</v>
      </c>
      <c r="JUY2148" s="626" t="s">
        <v>1236</v>
      </c>
      <c r="JUZ2148" s="626" t="s">
        <v>1236</v>
      </c>
      <c r="JVA2148" s="626" t="s">
        <v>1236</v>
      </c>
      <c r="JVB2148" s="626" t="s">
        <v>1236</v>
      </c>
      <c r="JVC2148" s="626" t="s">
        <v>1236</v>
      </c>
      <c r="JVD2148" s="626" t="s">
        <v>1236</v>
      </c>
      <c r="JVE2148" s="626" t="s">
        <v>1236</v>
      </c>
      <c r="JVF2148" s="626" t="s">
        <v>1236</v>
      </c>
      <c r="JVG2148" s="626" t="s">
        <v>1236</v>
      </c>
      <c r="JVH2148" s="626" t="s">
        <v>1236</v>
      </c>
      <c r="JVI2148" s="626" t="s">
        <v>1236</v>
      </c>
      <c r="JVJ2148" s="626" t="s">
        <v>1236</v>
      </c>
      <c r="JVK2148" s="626" t="s">
        <v>1236</v>
      </c>
      <c r="JVL2148" s="626" t="s">
        <v>1236</v>
      </c>
      <c r="JVM2148" s="626" t="s">
        <v>1236</v>
      </c>
      <c r="JVN2148" s="626" t="s">
        <v>1236</v>
      </c>
      <c r="JVO2148" s="626" t="s">
        <v>1236</v>
      </c>
      <c r="JVP2148" s="626" t="s">
        <v>1236</v>
      </c>
      <c r="JVQ2148" s="626" t="s">
        <v>1236</v>
      </c>
      <c r="JVR2148" s="626" t="s">
        <v>1236</v>
      </c>
      <c r="JVS2148" s="626" t="s">
        <v>1236</v>
      </c>
      <c r="JVT2148" s="626" t="s">
        <v>1236</v>
      </c>
      <c r="JVU2148" s="626" t="s">
        <v>1236</v>
      </c>
      <c r="JVV2148" s="626" t="s">
        <v>1236</v>
      </c>
      <c r="JVW2148" s="626" t="s">
        <v>1236</v>
      </c>
      <c r="JVX2148" s="626" t="s">
        <v>1236</v>
      </c>
      <c r="JVY2148" s="626" t="s">
        <v>1236</v>
      </c>
      <c r="JVZ2148" s="626" t="s">
        <v>1236</v>
      </c>
      <c r="JWA2148" s="626" t="s">
        <v>1236</v>
      </c>
      <c r="JWB2148" s="626" t="s">
        <v>1236</v>
      </c>
      <c r="JWC2148" s="626" t="s">
        <v>1236</v>
      </c>
      <c r="JWD2148" s="626" t="s">
        <v>1236</v>
      </c>
      <c r="JWE2148" s="626" t="s">
        <v>1236</v>
      </c>
      <c r="JWF2148" s="626" t="s">
        <v>1236</v>
      </c>
      <c r="JWG2148" s="626" t="s">
        <v>1236</v>
      </c>
      <c r="JWH2148" s="626" t="s">
        <v>1236</v>
      </c>
      <c r="JWI2148" s="626" t="s">
        <v>1236</v>
      </c>
      <c r="JWJ2148" s="626" t="s">
        <v>1236</v>
      </c>
      <c r="JWK2148" s="626" t="s">
        <v>1236</v>
      </c>
      <c r="JWL2148" s="626" t="s">
        <v>1236</v>
      </c>
      <c r="JWM2148" s="626" t="s">
        <v>1236</v>
      </c>
      <c r="JWN2148" s="626" t="s">
        <v>1236</v>
      </c>
      <c r="JWO2148" s="626" t="s">
        <v>1236</v>
      </c>
      <c r="JWP2148" s="626" t="s">
        <v>1236</v>
      </c>
      <c r="JWQ2148" s="626" t="s">
        <v>1236</v>
      </c>
      <c r="JWR2148" s="626" t="s">
        <v>1236</v>
      </c>
      <c r="JWS2148" s="626" t="s">
        <v>1236</v>
      </c>
      <c r="JWT2148" s="626" t="s">
        <v>1236</v>
      </c>
      <c r="JWU2148" s="626" t="s">
        <v>1236</v>
      </c>
      <c r="JWV2148" s="626" t="s">
        <v>1236</v>
      </c>
      <c r="JWW2148" s="626" t="s">
        <v>1236</v>
      </c>
      <c r="JWX2148" s="626" t="s">
        <v>1236</v>
      </c>
      <c r="JWY2148" s="626" t="s">
        <v>1236</v>
      </c>
      <c r="JWZ2148" s="626" t="s">
        <v>1236</v>
      </c>
      <c r="JXA2148" s="626" t="s">
        <v>1236</v>
      </c>
      <c r="JXB2148" s="626" t="s">
        <v>1236</v>
      </c>
      <c r="JXC2148" s="626" t="s">
        <v>1236</v>
      </c>
      <c r="JXD2148" s="626" t="s">
        <v>1236</v>
      </c>
      <c r="JXE2148" s="626" t="s">
        <v>1236</v>
      </c>
      <c r="JXF2148" s="626" t="s">
        <v>1236</v>
      </c>
      <c r="JXG2148" s="626" t="s">
        <v>1236</v>
      </c>
      <c r="JXH2148" s="626" t="s">
        <v>1236</v>
      </c>
      <c r="JXI2148" s="626" t="s">
        <v>1236</v>
      </c>
      <c r="JXJ2148" s="626" t="s">
        <v>1236</v>
      </c>
      <c r="JXK2148" s="626" t="s">
        <v>1236</v>
      </c>
      <c r="JXL2148" s="626" t="s">
        <v>1236</v>
      </c>
      <c r="JXM2148" s="626" t="s">
        <v>1236</v>
      </c>
      <c r="JXN2148" s="626" t="s">
        <v>1236</v>
      </c>
      <c r="JXO2148" s="626" t="s">
        <v>1236</v>
      </c>
      <c r="JXP2148" s="626" t="s">
        <v>1236</v>
      </c>
      <c r="JXQ2148" s="626" t="s">
        <v>1236</v>
      </c>
      <c r="JXR2148" s="626" t="s">
        <v>1236</v>
      </c>
      <c r="JXS2148" s="626" t="s">
        <v>1236</v>
      </c>
      <c r="JXT2148" s="626" t="s">
        <v>1236</v>
      </c>
      <c r="JXU2148" s="626" t="s">
        <v>1236</v>
      </c>
      <c r="JXV2148" s="626" t="s">
        <v>1236</v>
      </c>
      <c r="JXW2148" s="626" t="s">
        <v>1236</v>
      </c>
      <c r="JXX2148" s="626" t="s">
        <v>1236</v>
      </c>
      <c r="JXY2148" s="626" t="s">
        <v>1236</v>
      </c>
      <c r="JXZ2148" s="626" t="s">
        <v>1236</v>
      </c>
      <c r="JYA2148" s="626" t="s">
        <v>1236</v>
      </c>
      <c r="JYB2148" s="626" t="s">
        <v>1236</v>
      </c>
      <c r="JYC2148" s="626" t="s">
        <v>1236</v>
      </c>
      <c r="JYD2148" s="626" t="s">
        <v>1236</v>
      </c>
      <c r="JYE2148" s="626" t="s">
        <v>1236</v>
      </c>
      <c r="JYF2148" s="626" t="s">
        <v>1236</v>
      </c>
      <c r="JYG2148" s="626" t="s">
        <v>1236</v>
      </c>
      <c r="JYH2148" s="626" t="s">
        <v>1236</v>
      </c>
      <c r="JYI2148" s="626" t="s">
        <v>1236</v>
      </c>
      <c r="JYJ2148" s="626" t="s">
        <v>1236</v>
      </c>
      <c r="JYK2148" s="626" t="s">
        <v>1236</v>
      </c>
      <c r="JYL2148" s="626" t="s">
        <v>1236</v>
      </c>
      <c r="JYM2148" s="626" t="s">
        <v>1236</v>
      </c>
      <c r="JYN2148" s="626" t="s">
        <v>1236</v>
      </c>
      <c r="JYO2148" s="626" t="s">
        <v>1236</v>
      </c>
      <c r="JYP2148" s="626" t="s">
        <v>1236</v>
      </c>
      <c r="JYQ2148" s="626" t="s">
        <v>1236</v>
      </c>
      <c r="JYR2148" s="626" t="s">
        <v>1236</v>
      </c>
      <c r="JYS2148" s="626" t="s">
        <v>1236</v>
      </c>
      <c r="JYT2148" s="626" t="s">
        <v>1236</v>
      </c>
      <c r="JYU2148" s="626" t="s">
        <v>1236</v>
      </c>
      <c r="JYV2148" s="626" t="s">
        <v>1236</v>
      </c>
      <c r="JYW2148" s="626" t="s">
        <v>1236</v>
      </c>
      <c r="JYX2148" s="626" t="s">
        <v>1236</v>
      </c>
      <c r="JYY2148" s="626" t="s">
        <v>1236</v>
      </c>
      <c r="JYZ2148" s="626" t="s">
        <v>1236</v>
      </c>
      <c r="JZA2148" s="626" t="s">
        <v>1236</v>
      </c>
      <c r="JZB2148" s="626" t="s">
        <v>1236</v>
      </c>
      <c r="JZC2148" s="626" t="s">
        <v>1236</v>
      </c>
      <c r="JZD2148" s="626" t="s">
        <v>1236</v>
      </c>
      <c r="JZE2148" s="626" t="s">
        <v>1236</v>
      </c>
      <c r="JZF2148" s="626" t="s">
        <v>1236</v>
      </c>
      <c r="JZG2148" s="626" t="s">
        <v>1236</v>
      </c>
      <c r="JZH2148" s="626" t="s">
        <v>1236</v>
      </c>
      <c r="JZI2148" s="626" t="s">
        <v>1236</v>
      </c>
      <c r="JZJ2148" s="626" t="s">
        <v>1236</v>
      </c>
      <c r="JZK2148" s="626" t="s">
        <v>1236</v>
      </c>
      <c r="JZL2148" s="626" t="s">
        <v>1236</v>
      </c>
      <c r="JZM2148" s="626" t="s">
        <v>1236</v>
      </c>
      <c r="JZN2148" s="626" t="s">
        <v>1236</v>
      </c>
      <c r="JZO2148" s="626" t="s">
        <v>1236</v>
      </c>
      <c r="JZP2148" s="626" t="s">
        <v>1236</v>
      </c>
      <c r="JZQ2148" s="626" t="s">
        <v>1236</v>
      </c>
      <c r="JZR2148" s="626" t="s">
        <v>1236</v>
      </c>
      <c r="JZS2148" s="626" t="s">
        <v>1236</v>
      </c>
      <c r="JZT2148" s="626" t="s">
        <v>1236</v>
      </c>
      <c r="JZU2148" s="626" t="s">
        <v>1236</v>
      </c>
      <c r="JZV2148" s="626" t="s">
        <v>1236</v>
      </c>
      <c r="JZW2148" s="626" t="s">
        <v>1236</v>
      </c>
      <c r="JZX2148" s="626" t="s">
        <v>1236</v>
      </c>
      <c r="JZY2148" s="626" t="s">
        <v>1236</v>
      </c>
      <c r="JZZ2148" s="626" t="s">
        <v>1236</v>
      </c>
      <c r="KAA2148" s="626" t="s">
        <v>1236</v>
      </c>
      <c r="KAB2148" s="626" t="s">
        <v>1236</v>
      </c>
      <c r="KAC2148" s="626" t="s">
        <v>1236</v>
      </c>
      <c r="KAD2148" s="626" t="s">
        <v>1236</v>
      </c>
      <c r="KAE2148" s="626" t="s">
        <v>1236</v>
      </c>
      <c r="KAF2148" s="626" t="s">
        <v>1236</v>
      </c>
      <c r="KAG2148" s="626" t="s">
        <v>1236</v>
      </c>
      <c r="KAH2148" s="626" t="s">
        <v>1236</v>
      </c>
      <c r="KAI2148" s="626" t="s">
        <v>1236</v>
      </c>
      <c r="KAJ2148" s="626" t="s">
        <v>1236</v>
      </c>
      <c r="KAK2148" s="626" t="s">
        <v>1236</v>
      </c>
      <c r="KAL2148" s="626" t="s">
        <v>1236</v>
      </c>
      <c r="KAM2148" s="626" t="s">
        <v>1236</v>
      </c>
      <c r="KAN2148" s="626" t="s">
        <v>1236</v>
      </c>
      <c r="KAO2148" s="626" t="s">
        <v>1236</v>
      </c>
      <c r="KAP2148" s="626" t="s">
        <v>1236</v>
      </c>
      <c r="KAQ2148" s="626" t="s">
        <v>1236</v>
      </c>
      <c r="KAR2148" s="626" t="s">
        <v>1236</v>
      </c>
      <c r="KAS2148" s="626" t="s">
        <v>1236</v>
      </c>
      <c r="KAT2148" s="626" t="s">
        <v>1236</v>
      </c>
      <c r="KAU2148" s="626" t="s">
        <v>1236</v>
      </c>
      <c r="KAV2148" s="626" t="s">
        <v>1236</v>
      </c>
      <c r="KAW2148" s="626" t="s">
        <v>1236</v>
      </c>
      <c r="KAX2148" s="626" t="s">
        <v>1236</v>
      </c>
      <c r="KAY2148" s="626" t="s">
        <v>1236</v>
      </c>
      <c r="KAZ2148" s="626" t="s">
        <v>1236</v>
      </c>
      <c r="KBA2148" s="626" t="s">
        <v>1236</v>
      </c>
      <c r="KBB2148" s="626" t="s">
        <v>1236</v>
      </c>
      <c r="KBC2148" s="626" t="s">
        <v>1236</v>
      </c>
      <c r="KBD2148" s="626" t="s">
        <v>1236</v>
      </c>
      <c r="KBE2148" s="626" t="s">
        <v>1236</v>
      </c>
      <c r="KBF2148" s="626" t="s">
        <v>1236</v>
      </c>
      <c r="KBG2148" s="626" t="s">
        <v>1236</v>
      </c>
      <c r="KBH2148" s="626" t="s">
        <v>1236</v>
      </c>
      <c r="KBI2148" s="626" t="s">
        <v>1236</v>
      </c>
      <c r="KBJ2148" s="626" t="s">
        <v>1236</v>
      </c>
      <c r="KBK2148" s="626" t="s">
        <v>1236</v>
      </c>
      <c r="KBL2148" s="626" t="s">
        <v>1236</v>
      </c>
      <c r="KBM2148" s="626" t="s">
        <v>1236</v>
      </c>
      <c r="KBN2148" s="626" t="s">
        <v>1236</v>
      </c>
      <c r="KBO2148" s="626" t="s">
        <v>1236</v>
      </c>
      <c r="KBP2148" s="626" t="s">
        <v>1236</v>
      </c>
      <c r="KBQ2148" s="626" t="s">
        <v>1236</v>
      </c>
      <c r="KBR2148" s="626" t="s">
        <v>1236</v>
      </c>
      <c r="KBS2148" s="626" t="s">
        <v>1236</v>
      </c>
      <c r="KBT2148" s="626" t="s">
        <v>1236</v>
      </c>
      <c r="KBU2148" s="626" t="s">
        <v>1236</v>
      </c>
      <c r="KBV2148" s="626" t="s">
        <v>1236</v>
      </c>
      <c r="KBW2148" s="626" t="s">
        <v>1236</v>
      </c>
      <c r="KBX2148" s="626" t="s">
        <v>1236</v>
      </c>
      <c r="KBY2148" s="626" t="s">
        <v>1236</v>
      </c>
      <c r="KBZ2148" s="626" t="s">
        <v>1236</v>
      </c>
      <c r="KCA2148" s="626" t="s">
        <v>1236</v>
      </c>
      <c r="KCB2148" s="626" t="s">
        <v>1236</v>
      </c>
      <c r="KCC2148" s="626" t="s">
        <v>1236</v>
      </c>
      <c r="KCD2148" s="626" t="s">
        <v>1236</v>
      </c>
      <c r="KCE2148" s="626" t="s">
        <v>1236</v>
      </c>
      <c r="KCF2148" s="626" t="s">
        <v>1236</v>
      </c>
      <c r="KCG2148" s="626" t="s">
        <v>1236</v>
      </c>
      <c r="KCH2148" s="626" t="s">
        <v>1236</v>
      </c>
      <c r="KCI2148" s="626" t="s">
        <v>1236</v>
      </c>
      <c r="KCJ2148" s="626" t="s">
        <v>1236</v>
      </c>
      <c r="KCK2148" s="626" t="s">
        <v>1236</v>
      </c>
      <c r="KCL2148" s="626" t="s">
        <v>1236</v>
      </c>
      <c r="KCM2148" s="626" t="s">
        <v>1236</v>
      </c>
      <c r="KCN2148" s="626" t="s">
        <v>1236</v>
      </c>
      <c r="KCO2148" s="626" t="s">
        <v>1236</v>
      </c>
      <c r="KCP2148" s="626" t="s">
        <v>1236</v>
      </c>
      <c r="KCQ2148" s="626" t="s">
        <v>1236</v>
      </c>
      <c r="KCR2148" s="626" t="s">
        <v>1236</v>
      </c>
      <c r="KCS2148" s="626" t="s">
        <v>1236</v>
      </c>
      <c r="KCT2148" s="626" t="s">
        <v>1236</v>
      </c>
      <c r="KCU2148" s="626" t="s">
        <v>1236</v>
      </c>
      <c r="KCV2148" s="626" t="s">
        <v>1236</v>
      </c>
      <c r="KCW2148" s="626" t="s">
        <v>1236</v>
      </c>
      <c r="KCX2148" s="626" t="s">
        <v>1236</v>
      </c>
      <c r="KCY2148" s="626" t="s">
        <v>1236</v>
      </c>
      <c r="KCZ2148" s="626" t="s">
        <v>1236</v>
      </c>
      <c r="KDA2148" s="626" t="s">
        <v>1236</v>
      </c>
      <c r="KDB2148" s="626" t="s">
        <v>1236</v>
      </c>
      <c r="KDC2148" s="626" t="s">
        <v>1236</v>
      </c>
      <c r="KDD2148" s="626" t="s">
        <v>1236</v>
      </c>
      <c r="KDE2148" s="626" t="s">
        <v>1236</v>
      </c>
      <c r="KDF2148" s="626" t="s">
        <v>1236</v>
      </c>
      <c r="KDG2148" s="626" t="s">
        <v>1236</v>
      </c>
      <c r="KDH2148" s="626" t="s">
        <v>1236</v>
      </c>
      <c r="KDI2148" s="626" t="s">
        <v>1236</v>
      </c>
      <c r="KDJ2148" s="626" t="s">
        <v>1236</v>
      </c>
      <c r="KDK2148" s="626" t="s">
        <v>1236</v>
      </c>
      <c r="KDL2148" s="626" t="s">
        <v>1236</v>
      </c>
      <c r="KDM2148" s="626" t="s">
        <v>1236</v>
      </c>
      <c r="KDN2148" s="626" t="s">
        <v>1236</v>
      </c>
      <c r="KDO2148" s="626" t="s">
        <v>1236</v>
      </c>
      <c r="KDP2148" s="626" t="s">
        <v>1236</v>
      </c>
      <c r="KDQ2148" s="626" t="s">
        <v>1236</v>
      </c>
      <c r="KDR2148" s="626" t="s">
        <v>1236</v>
      </c>
      <c r="KDS2148" s="626" t="s">
        <v>1236</v>
      </c>
      <c r="KDT2148" s="626" t="s">
        <v>1236</v>
      </c>
      <c r="KDU2148" s="626" t="s">
        <v>1236</v>
      </c>
      <c r="KDV2148" s="626" t="s">
        <v>1236</v>
      </c>
      <c r="KDW2148" s="626" t="s">
        <v>1236</v>
      </c>
      <c r="KDX2148" s="626" t="s">
        <v>1236</v>
      </c>
      <c r="KDY2148" s="626" t="s">
        <v>1236</v>
      </c>
      <c r="KDZ2148" s="626" t="s">
        <v>1236</v>
      </c>
      <c r="KEA2148" s="626" t="s">
        <v>1236</v>
      </c>
      <c r="KEB2148" s="626" t="s">
        <v>1236</v>
      </c>
      <c r="KEC2148" s="626" t="s">
        <v>1236</v>
      </c>
      <c r="KED2148" s="626" t="s">
        <v>1236</v>
      </c>
      <c r="KEE2148" s="626" t="s">
        <v>1236</v>
      </c>
      <c r="KEF2148" s="626" t="s">
        <v>1236</v>
      </c>
      <c r="KEG2148" s="626" t="s">
        <v>1236</v>
      </c>
      <c r="KEH2148" s="626" t="s">
        <v>1236</v>
      </c>
      <c r="KEI2148" s="626" t="s">
        <v>1236</v>
      </c>
      <c r="KEJ2148" s="626" t="s">
        <v>1236</v>
      </c>
      <c r="KEK2148" s="626" t="s">
        <v>1236</v>
      </c>
      <c r="KEL2148" s="626" t="s">
        <v>1236</v>
      </c>
      <c r="KEM2148" s="626" t="s">
        <v>1236</v>
      </c>
      <c r="KEN2148" s="626" t="s">
        <v>1236</v>
      </c>
      <c r="KEO2148" s="626" t="s">
        <v>1236</v>
      </c>
      <c r="KEP2148" s="626" t="s">
        <v>1236</v>
      </c>
      <c r="KEQ2148" s="626" t="s">
        <v>1236</v>
      </c>
      <c r="KER2148" s="626" t="s">
        <v>1236</v>
      </c>
      <c r="KES2148" s="626" t="s">
        <v>1236</v>
      </c>
      <c r="KET2148" s="626" t="s">
        <v>1236</v>
      </c>
      <c r="KEU2148" s="626" t="s">
        <v>1236</v>
      </c>
      <c r="KEV2148" s="626" t="s">
        <v>1236</v>
      </c>
      <c r="KEW2148" s="626" t="s">
        <v>1236</v>
      </c>
      <c r="KEX2148" s="626" t="s">
        <v>1236</v>
      </c>
      <c r="KEY2148" s="626" t="s">
        <v>1236</v>
      </c>
      <c r="KEZ2148" s="626" t="s">
        <v>1236</v>
      </c>
      <c r="KFA2148" s="626" t="s">
        <v>1236</v>
      </c>
      <c r="KFB2148" s="626" t="s">
        <v>1236</v>
      </c>
      <c r="KFC2148" s="626" t="s">
        <v>1236</v>
      </c>
      <c r="KFD2148" s="626" t="s">
        <v>1236</v>
      </c>
      <c r="KFE2148" s="626" t="s">
        <v>1236</v>
      </c>
      <c r="KFF2148" s="626" t="s">
        <v>1236</v>
      </c>
      <c r="KFG2148" s="626" t="s">
        <v>1236</v>
      </c>
      <c r="KFH2148" s="626" t="s">
        <v>1236</v>
      </c>
      <c r="KFI2148" s="626" t="s">
        <v>1236</v>
      </c>
      <c r="KFJ2148" s="626" t="s">
        <v>1236</v>
      </c>
      <c r="KFK2148" s="626" t="s">
        <v>1236</v>
      </c>
      <c r="KFL2148" s="626" t="s">
        <v>1236</v>
      </c>
      <c r="KFM2148" s="626" t="s">
        <v>1236</v>
      </c>
      <c r="KFN2148" s="626" t="s">
        <v>1236</v>
      </c>
      <c r="KFO2148" s="626" t="s">
        <v>1236</v>
      </c>
      <c r="KFP2148" s="626" t="s">
        <v>1236</v>
      </c>
      <c r="KFQ2148" s="626" t="s">
        <v>1236</v>
      </c>
      <c r="KFR2148" s="626" t="s">
        <v>1236</v>
      </c>
      <c r="KFS2148" s="626" t="s">
        <v>1236</v>
      </c>
      <c r="KFT2148" s="626" t="s">
        <v>1236</v>
      </c>
      <c r="KFU2148" s="626" t="s">
        <v>1236</v>
      </c>
      <c r="KFV2148" s="626" t="s">
        <v>1236</v>
      </c>
      <c r="KFW2148" s="626" t="s">
        <v>1236</v>
      </c>
      <c r="KFX2148" s="626" t="s">
        <v>1236</v>
      </c>
      <c r="KFY2148" s="626" t="s">
        <v>1236</v>
      </c>
      <c r="KFZ2148" s="626" t="s">
        <v>1236</v>
      </c>
      <c r="KGA2148" s="626" t="s">
        <v>1236</v>
      </c>
      <c r="KGB2148" s="626" t="s">
        <v>1236</v>
      </c>
      <c r="KGC2148" s="626" t="s">
        <v>1236</v>
      </c>
      <c r="KGD2148" s="626" t="s">
        <v>1236</v>
      </c>
      <c r="KGE2148" s="626" t="s">
        <v>1236</v>
      </c>
      <c r="KGF2148" s="626" t="s">
        <v>1236</v>
      </c>
      <c r="KGG2148" s="626" t="s">
        <v>1236</v>
      </c>
      <c r="KGH2148" s="626" t="s">
        <v>1236</v>
      </c>
      <c r="KGI2148" s="626" t="s">
        <v>1236</v>
      </c>
      <c r="KGJ2148" s="626" t="s">
        <v>1236</v>
      </c>
      <c r="KGK2148" s="626" t="s">
        <v>1236</v>
      </c>
      <c r="KGL2148" s="626" t="s">
        <v>1236</v>
      </c>
      <c r="KGM2148" s="626" t="s">
        <v>1236</v>
      </c>
      <c r="KGN2148" s="626" t="s">
        <v>1236</v>
      </c>
      <c r="KGO2148" s="626" t="s">
        <v>1236</v>
      </c>
      <c r="KGP2148" s="626" t="s">
        <v>1236</v>
      </c>
      <c r="KGQ2148" s="626" t="s">
        <v>1236</v>
      </c>
      <c r="KGR2148" s="626" t="s">
        <v>1236</v>
      </c>
      <c r="KGS2148" s="626" t="s">
        <v>1236</v>
      </c>
      <c r="KGT2148" s="626" t="s">
        <v>1236</v>
      </c>
      <c r="KGU2148" s="626" t="s">
        <v>1236</v>
      </c>
      <c r="KGV2148" s="626" t="s">
        <v>1236</v>
      </c>
      <c r="KGW2148" s="626" t="s">
        <v>1236</v>
      </c>
      <c r="KGX2148" s="626" t="s">
        <v>1236</v>
      </c>
      <c r="KGY2148" s="626" t="s">
        <v>1236</v>
      </c>
      <c r="KGZ2148" s="626" t="s">
        <v>1236</v>
      </c>
      <c r="KHA2148" s="626" t="s">
        <v>1236</v>
      </c>
      <c r="KHB2148" s="626" t="s">
        <v>1236</v>
      </c>
      <c r="KHC2148" s="626" t="s">
        <v>1236</v>
      </c>
      <c r="KHD2148" s="626" t="s">
        <v>1236</v>
      </c>
      <c r="KHE2148" s="626" t="s">
        <v>1236</v>
      </c>
      <c r="KHF2148" s="626" t="s">
        <v>1236</v>
      </c>
      <c r="KHG2148" s="626" t="s">
        <v>1236</v>
      </c>
      <c r="KHH2148" s="626" t="s">
        <v>1236</v>
      </c>
      <c r="KHI2148" s="626" t="s">
        <v>1236</v>
      </c>
      <c r="KHJ2148" s="626" t="s">
        <v>1236</v>
      </c>
      <c r="KHK2148" s="626" t="s">
        <v>1236</v>
      </c>
      <c r="KHL2148" s="626" t="s">
        <v>1236</v>
      </c>
      <c r="KHM2148" s="626" t="s">
        <v>1236</v>
      </c>
      <c r="KHN2148" s="626" t="s">
        <v>1236</v>
      </c>
      <c r="KHO2148" s="626" t="s">
        <v>1236</v>
      </c>
      <c r="KHP2148" s="626" t="s">
        <v>1236</v>
      </c>
      <c r="KHQ2148" s="626" t="s">
        <v>1236</v>
      </c>
      <c r="KHR2148" s="626" t="s">
        <v>1236</v>
      </c>
      <c r="KHS2148" s="626" t="s">
        <v>1236</v>
      </c>
      <c r="KHT2148" s="626" t="s">
        <v>1236</v>
      </c>
      <c r="KHU2148" s="626" t="s">
        <v>1236</v>
      </c>
      <c r="KHV2148" s="626" t="s">
        <v>1236</v>
      </c>
      <c r="KHW2148" s="626" t="s">
        <v>1236</v>
      </c>
      <c r="KHX2148" s="626" t="s">
        <v>1236</v>
      </c>
      <c r="KHY2148" s="626" t="s">
        <v>1236</v>
      </c>
      <c r="KHZ2148" s="626" t="s">
        <v>1236</v>
      </c>
      <c r="KIA2148" s="626" t="s">
        <v>1236</v>
      </c>
      <c r="KIB2148" s="626" t="s">
        <v>1236</v>
      </c>
      <c r="KIC2148" s="626" t="s">
        <v>1236</v>
      </c>
      <c r="KID2148" s="626" t="s">
        <v>1236</v>
      </c>
      <c r="KIE2148" s="626" t="s">
        <v>1236</v>
      </c>
      <c r="KIF2148" s="626" t="s">
        <v>1236</v>
      </c>
      <c r="KIG2148" s="626" t="s">
        <v>1236</v>
      </c>
      <c r="KIH2148" s="626" t="s">
        <v>1236</v>
      </c>
      <c r="KII2148" s="626" t="s">
        <v>1236</v>
      </c>
      <c r="KIJ2148" s="626" t="s">
        <v>1236</v>
      </c>
      <c r="KIK2148" s="626" t="s">
        <v>1236</v>
      </c>
      <c r="KIL2148" s="626" t="s">
        <v>1236</v>
      </c>
      <c r="KIM2148" s="626" t="s">
        <v>1236</v>
      </c>
      <c r="KIN2148" s="626" t="s">
        <v>1236</v>
      </c>
      <c r="KIO2148" s="626" t="s">
        <v>1236</v>
      </c>
      <c r="KIP2148" s="626" t="s">
        <v>1236</v>
      </c>
      <c r="KIQ2148" s="626" t="s">
        <v>1236</v>
      </c>
      <c r="KIR2148" s="626" t="s">
        <v>1236</v>
      </c>
      <c r="KIS2148" s="626" t="s">
        <v>1236</v>
      </c>
      <c r="KIT2148" s="626" t="s">
        <v>1236</v>
      </c>
      <c r="KIU2148" s="626" t="s">
        <v>1236</v>
      </c>
      <c r="KIV2148" s="626" t="s">
        <v>1236</v>
      </c>
      <c r="KIW2148" s="626" t="s">
        <v>1236</v>
      </c>
      <c r="KIX2148" s="626" t="s">
        <v>1236</v>
      </c>
      <c r="KIY2148" s="626" t="s">
        <v>1236</v>
      </c>
      <c r="KIZ2148" s="626" t="s">
        <v>1236</v>
      </c>
      <c r="KJA2148" s="626" t="s">
        <v>1236</v>
      </c>
      <c r="KJB2148" s="626" t="s">
        <v>1236</v>
      </c>
      <c r="KJC2148" s="626" t="s">
        <v>1236</v>
      </c>
      <c r="KJD2148" s="626" t="s">
        <v>1236</v>
      </c>
      <c r="KJE2148" s="626" t="s">
        <v>1236</v>
      </c>
      <c r="KJF2148" s="626" t="s">
        <v>1236</v>
      </c>
      <c r="KJG2148" s="626" t="s">
        <v>1236</v>
      </c>
      <c r="KJH2148" s="626" t="s">
        <v>1236</v>
      </c>
      <c r="KJI2148" s="626" t="s">
        <v>1236</v>
      </c>
      <c r="KJJ2148" s="626" t="s">
        <v>1236</v>
      </c>
      <c r="KJK2148" s="626" t="s">
        <v>1236</v>
      </c>
      <c r="KJL2148" s="626" t="s">
        <v>1236</v>
      </c>
      <c r="KJM2148" s="626" t="s">
        <v>1236</v>
      </c>
      <c r="KJN2148" s="626" t="s">
        <v>1236</v>
      </c>
      <c r="KJO2148" s="626" t="s">
        <v>1236</v>
      </c>
      <c r="KJP2148" s="626" t="s">
        <v>1236</v>
      </c>
      <c r="KJQ2148" s="626" t="s">
        <v>1236</v>
      </c>
      <c r="KJR2148" s="626" t="s">
        <v>1236</v>
      </c>
      <c r="KJS2148" s="626" t="s">
        <v>1236</v>
      </c>
      <c r="KJT2148" s="626" t="s">
        <v>1236</v>
      </c>
      <c r="KJU2148" s="626" t="s">
        <v>1236</v>
      </c>
      <c r="KJV2148" s="626" t="s">
        <v>1236</v>
      </c>
      <c r="KJW2148" s="626" t="s">
        <v>1236</v>
      </c>
      <c r="KJX2148" s="626" t="s">
        <v>1236</v>
      </c>
      <c r="KJY2148" s="626" t="s">
        <v>1236</v>
      </c>
      <c r="KJZ2148" s="626" t="s">
        <v>1236</v>
      </c>
      <c r="KKA2148" s="626" t="s">
        <v>1236</v>
      </c>
      <c r="KKB2148" s="626" t="s">
        <v>1236</v>
      </c>
      <c r="KKC2148" s="626" t="s">
        <v>1236</v>
      </c>
      <c r="KKD2148" s="626" t="s">
        <v>1236</v>
      </c>
      <c r="KKE2148" s="626" t="s">
        <v>1236</v>
      </c>
      <c r="KKF2148" s="626" t="s">
        <v>1236</v>
      </c>
      <c r="KKG2148" s="626" t="s">
        <v>1236</v>
      </c>
      <c r="KKH2148" s="626" t="s">
        <v>1236</v>
      </c>
      <c r="KKI2148" s="626" t="s">
        <v>1236</v>
      </c>
      <c r="KKJ2148" s="626" t="s">
        <v>1236</v>
      </c>
      <c r="KKK2148" s="626" t="s">
        <v>1236</v>
      </c>
      <c r="KKL2148" s="626" t="s">
        <v>1236</v>
      </c>
      <c r="KKM2148" s="626" t="s">
        <v>1236</v>
      </c>
      <c r="KKN2148" s="626" t="s">
        <v>1236</v>
      </c>
      <c r="KKO2148" s="626" t="s">
        <v>1236</v>
      </c>
      <c r="KKP2148" s="626" t="s">
        <v>1236</v>
      </c>
      <c r="KKQ2148" s="626" t="s">
        <v>1236</v>
      </c>
      <c r="KKR2148" s="626" t="s">
        <v>1236</v>
      </c>
      <c r="KKS2148" s="626" t="s">
        <v>1236</v>
      </c>
      <c r="KKT2148" s="626" t="s">
        <v>1236</v>
      </c>
      <c r="KKU2148" s="626" t="s">
        <v>1236</v>
      </c>
      <c r="KKV2148" s="626" t="s">
        <v>1236</v>
      </c>
      <c r="KKW2148" s="626" t="s">
        <v>1236</v>
      </c>
      <c r="KKX2148" s="626" t="s">
        <v>1236</v>
      </c>
      <c r="KKY2148" s="626" t="s">
        <v>1236</v>
      </c>
      <c r="KKZ2148" s="626" t="s">
        <v>1236</v>
      </c>
      <c r="KLA2148" s="626" t="s">
        <v>1236</v>
      </c>
      <c r="KLB2148" s="626" t="s">
        <v>1236</v>
      </c>
      <c r="KLC2148" s="626" t="s">
        <v>1236</v>
      </c>
      <c r="KLD2148" s="626" t="s">
        <v>1236</v>
      </c>
      <c r="KLE2148" s="626" t="s">
        <v>1236</v>
      </c>
      <c r="KLF2148" s="626" t="s">
        <v>1236</v>
      </c>
      <c r="KLG2148" s="626" t="s">
        <v>1236</v>
      </c>
      <c r="KLH2148" s="626" t="s">
        <v>1236</v>
      </c>
      <c r="KLI2148" s="626" t="s">
        <v>1236</v>
      </c>
      <c r="KLJ2148" s="626" t="s">
        <v>1236</v>
      </c>
      <c r="KLK2148" s="626" t="s">
        <v>1236</v>
      </c>
      <c r="KLL2148" s="626" t="s">
        <v>1236</v>
      </c>
      <c r="KLM2148" s="626" t="s">
        <v>1236</v>
      </c>
      <c r="KLN2148" s="626" t="s">
        <v>1236</v>
      </c>
      <c r="KLO2148" s="626" t="s">
        <v>1236</v>
      </c>
      <c r="KLP2148" s="626" t="s">
        <v>1236</v>
      </c>
      <c r="KLQ2148" s="626" t="s">
        <v>1236</v>
      </c>
      <c r="KLR2148" s="626" t="s">
        <v>1236</v>
      </c>
      <c r="KLS2148" s="626" t="s">
        <v>1236</v>
      </c>
      <c r="KLT2148" s="626" t="s">
        <v>1236</v>
      </c>
      <c r="KLU2148" s="626" t="s">
        <v>1236</v>
      </c>
      <c r="KLV2148" s="626" t="s">
        <v>1236</v>
      </c>
      <c r="KLW2148" s="626" t="s">
        <v>1236</v>
      </c>
      <c r="KLX2148" s="626" t="s">
        <v>1236</v>
      </c>
      <c r="KLY2148" s="626" t="s">
        <v>1236</v>
      </c>
      <c r="KLZ2148" s="626" t="s">
        <v>1236</v>
      </c>
      <c r="KMA2148" s="626" t="s">
        <v>1236</v>
      </c>
      <c r="KMB2148" s="626" t="s">
        <v>1236</v>
      </c>
      <c r="KMC2148" s="626" t="s">
        <v>1236</v>
      </c>
      <c r="KMD2148" s="626" t="s">
        <v>1236</v>
      </c>
      <c r="KME2148" s="626" t="s">
        <v>1236</v>
      </c>
      <c r="KMF2148" s="626" t="s">
        <v>1236</v>
      </c>
      <c r="KMG2148" s="626" t="s">
        <v>1236</v>
      </c>
      <c r="KMH2148" s="626" t="s">
        <v>1236</v>
      </c>
      <c r="KMI2148" s="626" t="s">
        <v>1236</v>
      </c>
      <c r="KMJ2148" s="626" t="s">
        <v>1236</v>
      </c>
      <c r="KMK2148" s="626" t="s">
        <v>1236</v>
      </c>
      <c r="KML2148" s="626" t="s">
        <v>1236</v>
      </c>
      <c r="KMM2148" s="626" t="s">
        <v>1236</v>
      </c>
      <c r="KMN2148" s="626" t="s">
        <v>1236</v>
      </c>
      <c r="KMO2148" s="626" t="s">
        <v>1236</v>
      </c>
      <c r="KMP2148" s="626" t="s">
        <v>1236</v>
      </c>
      <c r="KMQ2148" s="626" t="s">
        <v>1236</v>
      </c>
      <c r="KMR2148" s="626" t="s">
        <v>1236</v>
      </c>
      <c r="KMS2148" s="626" t="s">
        <v>1236</v>
      </c>
      <c r="KMT2148" s="626" t="s">
        <v>1236</v>
      </c>
      <c r="KMU2148" s="626" t="s">
        <v>1236</v>
      </c>
      <c r="KMV2148" s="626" t="s">
        <v>1236</v>
      </c>
      <c r="KMW2148" s="626" t="s">
        <v>1236</v>
      </c>
      <c r="KMX2148" s="626" t="s">
        <v>1236</v>
      </c>
      <c r="KMY2148" s="626" t="s">
        <v>1236</v>
      </c>
      <c r="KMZ2148" s="626" t="s">
        <v>1236</v>
      </c>
      <c r="KNA2148" s="626" t="s">
        <v>1236</v>
      </c>
      <c r="KNB2148" s="626" t="s">
        <v>1236</v>
      </c>
      <c r="KNC2148" s="626" t="s">
        <v>1236</v>
      </c>
      <c r="KND2148" s="626" t="s">
        <v>1236</v>
      </c>
      <c r="KNE2148" s="626" t="s">
        <v>1236</v>
      </c>
      <c r="KNF2148" s="626" t="s">
        <v>1236</v>
      </c>
      <c r="KNG2148" s="626" t="s">
        <v>1236</v>
      </c>
      <c r="KNH2148" s="626" t="s">
        <v>1236</v>
      </c>
      <c r="KNI2148" s="626" t="s">
        <v>1236</v>
      </c>
      <c r="KNJ2148" s="626" t="s">
        <v>1236</v>
      </c>
      <c r="KNK2148" s="626" t="s">
        <v>1236</v>
      </c>
      <c r="KNL2148" s="626" t="s">
        <v>1236</v>
      </c>
      <c r="KNM2148" s="626" t="s">
        <v>1236</v>
      </c>
      <c r="KNN2148" s="626" t="s">
        <v>1236</v>
      </c>
      <c r="KNO2148" s="626" t="s">
        <v>1236</v>
      </c>
      <c r="KNP2148" s="626" t="s">
        <v>1236</v>
      </c>
      <c r="KNQ2148" s="626" t="s">
        <v>1236</v>
      </c>
      <c r="KNR2148" s="626" t="s">
        <v>1236</v>
      </c>
      <c r="KNS2148" s="626" t="s">
        <v>1236</v>
      </c>
      <c r="KNT2148" s="626" t="s">
        <v>1236</v>
      </c>
      <c r="KNU2148" s="626" t="s">
        <v>1236</v>
      </c>
      <c r="KNV2148" s="626" t="s">
        <v>1236</v>
      </c>
      <c r="KNW2148" s="626" t="s">
        <v>1236</v>
      </c>
      <c r="KNX2148" s="626" t="s">
        <v>1236</v>
      </c>
      <c r="KNY2148" s="626" t="s">
        <v>1236</v>
      </c>
      <c r="KNZ2148" s="626" t="s">
        <v>1236</v>
      </c>
      <c r="KOA2148" s="626" t="s">
        <v>1236</v>
      </c>
      <c r="KOB2148" s="626" t="s">
        <v>1236</v>
      </c>
      <c r="KOC2148" s="626" t="s">
        <v>1236</v>
      </c>
      <c r="KOD2148" s="626" t="s">
        <v>1236</v>
      </c>
      <c r="KOE2148" s="626" t="s">
        <v>1236</v>
      </c>
      <c r="KOF2148" s="626" t="s">
        <v>1236</v>
      </c>
      <c r="KOG2148" s="626" t="s">
        <v>1236</v>
      </c>
      <c r="KOH2148" s="626" t="s">
        <v>1236</v>
      </c>
      <c r="KOI2148" s="626" t="s">
        <v>1236</v>
      </c>
      <c r="KOJ2148" s="626" t="s">
        <v>1236</v>
      </c>
      <c r="KOK2148" s="626" t="s">
        <v>1236</v>
      </c>
      <c r="KOL2148" s="626" t="s">
        <v>1236</v>
      </c>
      <c r="KOM2148" s="626" t="s">
        <v>1236</v>
      </c>
      <c r="KON2148" s="626" t="s">
        <v>1236</v>
      </c>
      <c r="KOO2148" s="626" t="s">
        <v>1236</v>
      </c>
      <c r="KOP2148" s="626" t="s">
        <v>1236</v>
      </c>
      <c r="KOQ2148" s="626" t="s">
        <v>1236</v>
      </c>
      <c r="KOR2148" s="626" t="s">
        <v>1236</v>
      </c>
      <c r="KOS2148" s="626" t="s">
        <v>1236</v>
      </c>
      <c r="KOT2148" s="626" t="s">
        <v>1236</v>
      </c>
      <c r="KOU2148" s="626" t="s">
        <v>1236</v>
      </c>
      <c r="KOV2148" s="626" t="s">
        <v>1236</v>
      </c>
      <c r="KOW2148" s="626" t="s">
        <v>1236</v>
      </c>
      <c r="KOX2148" s="626" t="s">
        <v>1236</v>
      </c>
      <c r="KOY2148" s="626" t="s">
        <v>1236</v>
      </c>
      <c r="KOZ2148" s="626" t="s">
        <v>1236</v>
      </c>
      <c r="KPA2148" s="626" t="s">
        <v>1236</v>
      </c>
      <c r="KPB2148" s="626" t="s">
        <v>1236</v>
      </c>
      <c r="KPC2148" s="626" t="s">
        <v>1236</v>
      </c>
      <c r="KPD2148" s="626" t="s">
        <v>1236</v>
      </c>
      <c r="KPE2148" s="626" t="s">
        <v>1236</v>
      </c>
      <c r="KPF2148" s="626" t="s">
        <v>1236</v>
      </c>
      <c r="KPG2148" s="626" t="s">
        <v>1236</v>
      </c>
      <c r="KPH2148" s="626" t="s">
        <v>1236</v>
      </c>
      <c r="KPI2148" s="626" t="s">
        <v>1236</v>
      </c>
      <c r="KPJ2148" s="626" t="s">
        <v>1236</v>
      </c>
      <c r="KPK2148" s="626" t="s">
        <v>1236</v>
      </c>
      <c r="KPL2148" s="626" t="s">
        <v>1236</v>
      </c>
      <c r="KPM2148" s="626" t="s">
        <v>1236</v>
      </c>
      <c r="KPN2148" s="626" t="s">
        <v>1236</v>
      </c>
      <c r="KPO2148" s="626" t="s">
        <v>1236</v>
      </c>
      <c r="KPP2148" s="626" t="s">
        <v>1236</v>
      </c>
      <c r="KPQ2148" s="626" t="s">
        <v>1236</v>
      </c>
      <c r="KPR2148" s="626" t="s">
        <v>1236</v>
      </c>
      <c r="KPS2148" s="626" t="s">
        <v>1236</v>
      </c>
      <c r="KPT2148" s="626" t="s">
        <v>1236</v>
      </c>
      <c r="KPU2148" s="626" t="s">
        <v>1236</v>
      </c>
      <c r="KPV2148" s="626" t="s">
        <v>1236</v>
      </c>
      <c r="KPW2148" s="626" t="s">
        <v>1236</v>
      </c>
      <c r="KPX2148" s="626" t="s">
        <v>1236</v>
      </c>
      <c r="KPY2148" s="626" t="s">
        <v>1236</v>
      </c>
      <c r="KPZ2148" s="626" t="s">
        <v>1236</v>
      </c>
      <c r="KQA2148" s="626" t="s">
        <v>1236</v>
      </c>
      <c r="KQB2148" s="626" t="s">
        <v>1236</v>
      </c>
      <c r="KQC2148" s="626" t="s">
        <v>1236</v>
      </c>
      <c r="KQD2148" s="626" t="s">
        <v>1236</v>
      </c>
      <c r="KQE2148" s="626" t="s">
        <v>1236</v>
      </c>
      <c r="KQF2148" s="626" t="s">
        <v>1236</v>
      </c>
      <c r="KQG2148" s="626" t="s">
        <v>1236</v>
      </c>
      <c r="KQH2148" s="626" t="s">
        <v>1236</v>
      </c>
      <c r="KQI2148" s="626" t="s">
        <v>1236</v>
      </c>
      <c r="KQJ2148" s="626" t="s">
        <v>1236</v>
      </c>
      <c r="KQK2148" s="626" t="s">
        <v>1236</v>
      </c>
      <c r="KQL2148" s="626" t="s">
        <v>1236</v>
      </c>
      <c r="KQM2148" s="626" t="s">
        <v>1236</v>
      </c>
      <c r="KQN2148" s="626" t="s">
        <v>1236</v>
      </c>
      <c r="KQO2148" s="626" t="s">
        <v>1236</v>
      </c>
      <c r="KQP2148" s="626" t="s">
        <v>1236</v>
      </c>
      <c r="KQQ2148" s="626" t="s">
        <v>1236</v>
      </c>
      <c r="KQR2148" s="626" t="s">
        <v>1236</v>
      </c>
      <c r="KQS2148" s="626" t="s">
        <v>1236</v>
      </c>
      <c r="KQT2148" s="626" t="s">
        <v>1236</v>
      </c>
      <c r="KQU2148" s="626" t="s">
        <v>1236</v>
      </c>
      <c r="KQV2148" s="626" t="s">
        <v>1236</v>
      </c>
      <c r="KQW2148" s="626" t="s">
        <v>1236</v>
      </c>
      <c r="KQX2148" s="626" t="s">
        <v>1236</v>
      </c>
      <c r="KQY2148" s="626" t="s">
        <v>1236</v>
      </c>
      <c r="KQZ2148" s="626" t="s">
        <v>1236</v>
      </c>
      <c r="KRA2148" s="626" t="s">
        <v>1236</v>
      </c>
      <c r="KRB2148" s="626" t="s">
        <v>1236</v>
      </c>
      <c r="KRC2148" s="626" t="s">
        <v>1236</v>
      </c>
      <c r="KRD2148" s="626" t="s">
        <v>1236</v>
      </c>
      <c r="KRE2148" s="626" t="s">
        <v>1236</v>
      </c>
      <c r="KRF2148" s="626" t="s">
        <v>1236</v>
      </c>
      <c r="KRG2148" s="626" t="s">
        <v>1236</v>
      </c>
      <c r="KRH2148" s="626" t="s">
        <v>1236</v>
      </c>
      <c r="KRI2148" s="626" t="s">
        <v>1236</v>
      </c>
      <c r="KRJ2148" s="626" t="s">
        <v>1236</v>
      </c>
      <c r="KRK2148" s="626" t="s">
        <v>1236</v>
      </c>
      <c r="KRL2148" s="626" t="s">
        <v>1236</v>
      </c>
      <c r="KRM2148" s="626" t="s">
        <v>1236</v>
      </c>
      <c r="KRN2148" s="626" t="s">
        <v>1236</v>
      </c>
      <c r="KRO2148" s="626" t="s">
        <v>1236</v>
      </c>
      <c r="KRP2148" s="626" t="s">
        <v>1236</v>
      </c>
      <c r="KRQ2148" s="626" t="s">
        <v>1236</v>
      </c>
      <c r="KRR2148" s="626" t="s">
        <v>1236</v>
      </c>
      <c r="KRS2148" s="626" t="s">
        <v>1236</v>
      </c>
      <c r="KRT2148" s="626" t="s">
        <v>1236</v>
      </c>
      <c r="KRU2148" s="626" t="s">
        <v>1236</v>
      </c>
      <c r="KRV2148" s="626" t="s">
        <v>1236</v>
      </c>
      <c r="KRW2148" s="626" t="s">
        <v>1236</v>
      </c>
      <c r="KRX2148" s="626" t="s">
        <v>1236</v>
      </c>
      <c r="KRY2148" s="626" t="s">
        <v>1236</v>
      </c>
      <c r="KRZ2148" s="626" t="s">
        <v>1236</v>
      </c>
      <c r="KSA2148" s="626" t="s">
        <v>1236</v>
      </c>
      <c r="KSB2148" s="626" t="s">
        <v>1236</v>
      </c>
      <c r="KSC2148" s="626" t="s">
        <v>1236</v>
      </c>
      <c r="KSD2148" s="626" t="s">
        <v>1236</v>
      </c>
      <c r="KSE2148" s="626" t="s">
        <v>1236</v>
      </c>
      <c r="KSF2148" s="626" t="s">
        <v>1236</v>
      </c>
      <c r="KSG2148" s="626" t="s">
        <v>1236</v>
      </c>
      <c r="KSH2148" s="626" t="s">
        <v>1236</v>
      </c>
      <c r="KSI2148" s="626" t="s">
        <v>1236</v>
      </c>
      <c r="KSJ2148" s="626" t="s">
        <v>1236</v>
      </c>
      <c r="KSK2148" s="626" t="s">
        <v>1236</v>
      </c>
      <c r="KSL2148" s="626" t="s">
        <v>1236</v>
      </c>
      <c r="KSM2148" s="626" t="s">
        <v>1236</v>
      </c>
      <c r="KSN2148" s="626" t="s">
        <v>1236</v>
      </c>
      <c r="KSO2148" s="626" t="s">
        <v>1236</v>
      </c>
      <c r="KSP2148" s="626" t="s">
        <v>1236</v>
      </c>
      <c r="KSQ2148" s="626" t="s">
        <v>1236</v>
      </c>
      <c r="KSR2148" s="626" t="s">
        <v>1236</v>
      </c>
      <c r="KSS2148" s="626" t="s">
        <v>1236</v>
      </c>
      <c r="KST2148" s="626" t="s">
        <v>1236</v>
      </c>
      <c r="KSU2148" s="626" t="s">
        <v>1236</v>
      </c>
      <c r="KSV2148" s="626" t="s">
        <v>1236</v>
      </c>
      <c r="KSW2148" s="626" t="s">
        <v>1236</v>
      </c>
      <c r="KSX2148" s="626" t="s">
        <v>1236</v>
      </c>
      <c r="KSY2148" s="626" t="s">
        <v>1236</v>
      </c>
      <c r="KSZ2148" s="626" t="s">
        <v>1236</v>
      </c>
      <c r="KTA2148" s="626" t="s">
        <v>1236</v>
      </c>
      <c r="KTB2148" s="626" t="s">
        <v>1236</v>
      </c>
      <c r="KTC2148" s="626" t="s">
        <v>1236</v>
      </c>
      <c r="KTD2148" s="626" t="s">
        <v>1236</v>
      </c>
      <c r="KTE2148" s="626" t="s">
        <v>1236</v>
      </c>
      <c r="KTF2148" s="626" t="s">
        <v>1236</v>
      </c>
      <c r="KTG2148" s="626" t="s">
        <v>1236</v>
      </c>
      <c r="KTH2148" s="626" t="s">
        <v>1236</v>
      </c>
      <c r="KTI2148" s="626" t="s">
        <v>1236</v>
      </c>
      <c r="KTJ2148" s="626" t="s">
        <v>1236</v>
      </c>
      <c r="KTK2148" s="626" t="s">
        <v>1236</v>
      </c>
      <c r="KTL2148" s="626" t="s">
        <v>1236</v>
      </c>
      <c r="KTM2148" s="626" t="s">
        <v>1236</v>
      </c>
      <c r="KTN2148" s="626" t="s">
        <v>1236</v>
      </c>
      <c r="KTO2148" s="626" t="s">
        <v>1236</v>
      </c>
      <c r="KTP2148" s="626" t="s">
        <v>1236</v>
      </c>
      <c r="KTQ2148" s="626" t="s">
        <v>1236</v>
      </c>
      <c r="KTR2148" s="626" t="s">
        <v>1236</v>
      </c>
      <c r="KTS2148" s="626" t="s">
        <v>1236</v>
      </c>
      <c r="KTT2148" s="626" t="s">
        <v>1236</v>
      </c>
      <c r="KTU2148" s="626" t="s">
        <v>1236</v>
      </c>
      <c r="KTV2148" s="626" t="s">
        <v>1236</v>
      </c>
      <c r="KTW2148" s="626" t="s">
        <v>1236</v>
      </c>
      <c r="KTX2148" s="626" t="s">
        <v>1236</v>
      </c>
      <c r="KTY2148" s="626" t="s">
        <v>1236</v>
      </c>
      <c r="KTZ2148" s="626" t="s">
        <v>1236</v>
      </c>
      <c r="KUA2148" s="626" t="s">
        <v>1236</v>
      </c>
      <c r="KUB2148" s="626" t="s">
        <v>1236</v>
      </c>
      <c r="KUC2148" s="626" t="s">
        <v>1236</v>
      </c>
      <c r="KUD2148" s="626" t="s">
        <v>1236</v>
      </c>
      <c r="KUE2148" s="626" t="s">
        <v>1236</v>
      </c>
      <c r="KUF2148" s="626" t="s">
        <v>1236</v>
      </c>
      <c r="KUG2148" s="626" t="s">
        <v>1236</v>
      </c>
      <c r="KUH2148" s="626" t="s">
        <v>1236</v>
      </c>
      <c r="KUI2148" s="626" t="s">
        <v>1236</v>
      </c>
      <c r="KUJ2148" s="626" t="s">
        <v>1236</v>
      </c>
      <c r="KUK2148" s="626" t="s">
        <v>1236</v>
      </c>
      <c r="KUL2148" s="626" t="s">
        <v>1236</v>
      </c>
      <c r="KUM2148" s="626" t="s">
        <v>1236</v>
      </c>
      <c r="KUN2148" s="626" t="s">
        <v>1236</v>
      </c>
      <c r="KUO2148" s="626" t="s">
        <v>1236</v>
      </c>
      <c r="KUP2148" s="626" t="s">
        <v>1236</v>
      </c>
      <c r="KUQ2148" s="626" t="s">
        <v>1236</v>
      </c>
      <c r="KUR2148" s="626" t="s">
        <v>1236</v>
      </c>
      <c r="KUS2148" s="626" t="s">
        <v>1236</v>
      </c>
      <c r="KUT2148" s="626" t="s">
        <v>1236</v>
      </c>
      <c r="KUU2148" s="626" t="s">
        <v>1236</v>
      </c>
      <c r="KUV2148" s="626" t="s">
        <v>1236</v>
      </c>
      <c r="KUW2148" s="626" t="s">
        <v>1236</v>
      </c>
      <c r="KUX2148" s="626" t="s">
        <v>1236</v>
      </c>
      <c r="KUY2148" s="626" t="s">
        <v>1236</v>
      </c>
      <c r="KUZ2148" s="626" t="s">
        <v>1236</v>
      </c>
      <c r="KVA2148" s="626" t="s">
        <v>1236</v>
      </c>
      <c r="KVB2148" s="626" t="s">
        <v>1236</v>
      </c>
      <c r="KVC2148" s="626" t="s">
        <v>1236</v>
      </c>
      <c r="KVD2148" s="626" t="s">
        <v>1236</v>
      </c>
      <c r="KVE2148" s="626" t="s">
        <v>1236</v>
      </c>
      <c r="KVF2148" s="626" t="s">
        <v>1236</v>
      </c>
      <c r="KVG2148" s="626" t="s">
        <v>1236</v>
      </c>
      <c r="KVH2148" s="626" t="s">
        <v>1236</v>
      </c>
      <c r="KVI2148" s="626" t="s">
        <v>1236</v>
      </c>
      <c r="KVJ2148" s="626" t="s">
        <v>1236</v>
      </c>
      <c r="KVK2148" s="626" t="s">
        <v>1236</v>
      </c>
      <c r="KVL2148" s="626" t="s">
        <v>1236</v>
      </c>
      <c r="KVM2148" s="626" t="s">
        <v>1236</v>
      </c>
      <c r="KVN2148" s="626" t="s">
        <v>1236</v>
      </c>
      <c r="KVO2148" s="626" t="s">
        <v>1236</v>
      </c>
      <c r="KVP2148" s="626" t="s">
        <v>1236</v>
      </c>
      <c r="KVQ2148" s="626" t="s">
        <v>1236</v>
      </c>
      <c r="KVR2148" s="626" t="s">
        <v>1236</v>
      </c>
      <c r="KVS2148" s="626" t="s">
        <v>1236</v>
      </c>
      <c r="KVT2148" s="626" t="s">
        <v>1236</v>
      </c>
      <c r="KVU2148" s="626" t="s">
        <v>1236</v>
      </c>
      <c r="KVV2148" s="626" t="s">
        <v>1236</v>
      </c>
      <c r="KVW2148" s="626" t="s">
        <v>1236</v>
      </c>
      <c r="KVX2148" s="626" t="s">
        <v>1236</v>
      </c>
      <c r="KVY2148" s="626" t="s">
        <v>1236</v>
      </c>
      <c r="KVZ2148" s="626" t="s">
        <v>1236</v>
      </c>
      <c r="KWA2148" s="626" t="s">
        <v>1236</v>
      </c>
      <c r="KWB2148" s="626" t="s">
        <v>1236</v>
      </c>
      <c r="KWC2148" s="626" t="s">
        <v>1236</v>
      </c>
      <c r="KWD2148" s="626" t="s">
        <v>1236</v>
      </c>
      <c r="KWE2148" s="626" t="s">
        <v>1236</v>
      </c>
      <c r="KWF2148" s="626" t="s">
        <v>1236</v>
      </c>
      <c r="KWG2148" s="626" t="s">
        <v>1236</v>
      </c>
      <c r="KWH2148" s="626" t="s">
        <v>1236</v>
      </c>
      <c r="KWI2148" s="626" t="s">
        <v>1236</v>
      </c>
      <c r="KWJ2148" s="626" t="s">
        <v>1236</v>
      </c>
      <c r="KWK2148" s="626" t="s">
        <v>1236</v>
      </c>
      <c r="KWL2148" s="626" t="s">
        <v>1236</v>
      </c>
      <c r="KWM2148" s="626" t="s">
        <v>1236</v>
      </c>
      <c r="KWN2148" s="626" t="s">
        <v>1236</v>
      </c>
      <c r="KWO2148" s="626" t="s">
        <v>1236</v>
      </c>
      <c r="KWP2148" s="626" t="s">
        <v>1236</v>
      </c>
      <c r="KWQ2148" s="626" t="s">
        <v>1236</v>
      </c>
      <c r="KWR2148" s="626" t="s">
        <v>1236</v>
      </c>
      <c r="KWS2148" s="626" t="s">
        <v>1236</v>
      </c>
      <c r="KWT2148" s="626" t="s">
        <v>1236</v>
      </c>
      <c r="KWU2148" s="626" t="s">
        <v>1236</v>
      </c>
      <c r="KWV2148" s="626" t="s">
        <v>1236</v>
      </c>
      <c r="KWW2148" s="626" t="s">
        <v>1236</v>
      </c>
      <c r="KWX2148" s="626" t="s">
        <v>1236</v>
      </c>
      <c r="KWY2148" s="626" t="s">
        <v>1236</v>
      </c>
      <c r="KWZ2148" s="626" t="s">
        <v>1236</v>
      </c>
      <c r="KXA2148" s="626" t="s">
        <v>1236</v>
      </c>
      <c r="KXB2148" s="626" t="s">
        <v>1236</v>
      </c>
      <c r="KXC2148" s="626" t="s">
        <v>1236</v>
      </c>
      <c r="KXD2148" s="626" t="s">
        <v>1236</v>
      </c>
      <c r="KXE2148" s="626" t="s">
        <v>1236</v>
      </c>
      <c r="KXF2148" s="626" t="s">
        <v>1236</v>
      </c>
      <c r="KXG2148" s="626" t="s">
        <v>1236</v>
      </c>
      <c r="KXH2148" s="626" t="s">
        <v>1236</v>
      </c>
      <c r="KXI2148" s="626" t="s">
        <v>1236</v>
      </c>
      <c r="KXJ2148" s="626" t="s">
        <v>1236</v>
      </c>
      <c r="KXK2148" s="626" t="s">
        <v>1236</v>
      </c>
      <c r="KXL2148" s="626" t="s">
        <v>1236</v>
      </c>
      <c r="KXM2148" s="626" t="s">
        <v>1236</v>
      </c>
      <c r="KXN2148" s="626" t="s">
        <v>1236</v>
      </c>
      <c r="KXO2148" s="626" t="s">
        <v>1236</v>
      </c>
      <c r="KXP2148" s="626" t="s">
        <v>1236</v>
      </c>
      <c r="KXQ2148" s="626" t="s">
        <v>1236</v>
      </c>
      <c r="KXR2148" s="626" t="s">
        <v>1236</v>
      </c>
      <c r="KXS2148" s="626" t="s">
        <v>1236</v>
      </c>
      <c r="KXT2148" s="626" t="s">
        <v>1236</v>
      </c>
      <c r="KXU2148" s="626" t="s">
        <v>1236</v>
      </c>
      <c r="KXV2148" s="626" t="s">
        <v>1236</v>
      </c>
      <c r="KXW2148" s="626" t="s">
        <v>1236</v>
      </c>
      <c r="KXX2148" s="626" t="s">
        <v>1236</v>
      </c>
      <c r="KXY2148" s="626" t="s">
        <v>1236</v>
      </c>
      <c r="KXZ2148" s="626" t="s">
        <v>1236</v>
      </c>
      <c r="KYA2148" s="626" t="s">
        <v>1236</v>
      </c>
      <c r="KYB2148" s="626" t="s">
        <v>1236</v>
      </c>
      <c r="KYC2148" s="626" t="s">
        <v>1236</v>
      </c>
      <c r="KYD2148" s="626" t="s">
        <v>1236</v>
      </c>
      <c r="KYE2148" s="626" t="s">
        <v>1236</v>
      </c>
      <c r="KYF2148" s="626" t="s">
        <v>1236</v>
      </c>
      <c r="KYG2148" s="626" t="s">
        <v>1236</v>
      </c>
      <c r="KYH2148" s="626" t="s">
        <v>1236</v>
      </c>
      <c r="KYI2148" s="626" t="s">
        <v>1236</v>
      </c>
      <c r="KYJ2148" s="626" t="s">
        <v>1236</v>
      </c>
      <c r="KYK2148" s="626" t="s">
        <v>1236</v>
      </c>
      <c r="KYL2148" s="626" t="s">
        <v>1236</v>
      </c>
      <c r="KYM2148" s="626" t="s">
        <v>1236</v>
      </c>
      <c r="KYN2148" s="626" t="s">
        <v>1236</v>
      </c>
      <c r="KYO2148" s="626" t="s">
        <v>1236</v>
      </c>
      <c r="KYP2148" s="626" t="s">
        <v>1236</v>
      </c>
      <c r="KYQ2148" s="626" t="s">
        <v>1236</v>
      </c>
      <c r="KYR2148" s="626" t="s">
        <v>1236</v>
      </c>
      <c r="KYS2148" s="626" t="s">
        <v>1236</v>
      </c>
      <c r="KYT2148" s="626" t="s">
        <v>1236</v>
      </c>
      <c r="KYU2148" s="626" t="s">
        <v>1236</v>
      </c>
      <c r="KYV2148" s="626" t="s">
        <v>1236</v>
      </c>
      <c r="KYW2148" s="626" t="s">
        <v>1236</v>
      </c>
      <c r="KYX2148" s="626" t="s">
        <v>1236</v>
      </c>
      <c r="KYY2148" s="626" t="s">
        <v>1236</v>
      </c>
      <c r="KYZ2148" s="626" t="s">
        <v>1236</v>
      </c>
      <c r="KZA2148" s="626" t="s">
        <v>1236</v>
      </c>
      <c r="KZB2148" s="626" t="s">
        <v>1236</v>
      </c>
      <c r="KZC2148" s="626" t="s">
        <v>1236</v>
      </c>
      <c r="KZD2148" s="626" t="s">
        <v>1236</v>
      </c>
      <c r="KZE2148" s="626" t="s">
        <v>1236</v>
      </c>
      <c r="KZF2148" s="626" t="s">
        <v>1236</v>
      </c>
      <c r="KZG2148" s="626" t="s">
        <v>1236</v>
      </c>
      <c r="KZH2148" s="626" t="s">
        <v>1236</v>
      </c>
      <c r="KZI2148" s="626" t="s">
        <v>1236</v>
      </c>
      <c r="KZJ2148" s="626" t="s">
        <v>1236</v>
      </c>
      <c r="KZK2148" s="626" t="s">
        <v>1236</v>
      </c>
      <c r="KZL2148" s="626" t="s">
        <v>1236</v>
      </c>
      <c r="KZM2148" s="626" t="s">
        <v>1236</v>
      </c>
      <c r="KZN2148" s="626" t="s">
        <v>1236</v>
      </c>
      <c r="KZO2148" s="626" t="s">
        <v>1236</v>
      </c>
      <c r="KZP2148" s="626" t="s">
        <v>1236</v>
      </c>
      <c r="KZQ2148" s="626" t="s">
        <v>1236</v>
      </c>
      <c r="KZR2148" s="626" t="s">
        <v>1236</v>
      </c>
      <c r="KZS2148" s="626" t="s">
        <v>1236</v>
      </c>
      <c r="KZT2148" s="626" t="s">
        <v>1236</v>
      </c>
      <c r="KZU2148" s="626" t="s">
        <v>1236</v>
      </c>
      <c r="KZV2148" s="626" t="s">
        <v>1236</v>
      </c>
      <c r="KZW2148" s="626" t="s">
        <v>1236</v>
      </c>
      <c r="KZX2148" s="626" t="s">
        <v>1236</v>
      </c>
      <c r="KZY2148" s="626" t="s">
        <v>1236</v>
      </c>
      <c r="KZZ2148" s="626" t="s">
        <v>1236</v>
      </c>
      <c r="LAA2148" s="626" t="s">
        <v>1236</v>
      </c>
      <c r="LAB2148" s="626" t="s">
        <v>1236</v>
      </c>
      <c r="LAC2148" s="626" t="s">
        <v>1236</v>
      </c>
      <c r="LAD2148" s="626" t="s">
        <v>1236</v>
      </c>
      <c r="LAE2148" s="626" t="s">
        <v>1236</v>
      </c>
      <c r="LAF2148" s="626" t="s">
        <v>1236</v>
      </c>
      <c r="LAG2148" s="626" t="s">
        <v>1236</v>
      </c>
      <c r="LAH2148" s="626" t="s">
        <v>1236</v>
      </c>
      <c r="LAI2148" s="626" t="s">
        <v>1236</v>
      </c>
      <c r="LAJ2148" s="626" t="s">
        <v>1236</v>
      </c>
      <c r="LAK2148" s="626" t="s">
        <v>1236</v>
      </c>
      <c r="LAL2148" s="626" t="s">
        <v>1236</v>
      </c>
      <c r="LAM2148" s="626" t="s">
        <v>1236</v>
      </c>
      <c r="LAN2148" s="626" t="s">
        <v>1236</v>
      </c>
      <c r="LAO2148" s="626" t="s">
        <v>1236</v>
      </c>
      <c r="LAP2148" s="626" t="s">
        <v>1236</v>
      </c>
      <c r="LAQ2148" s="626" t="s">
        <v>1236</v>
      </c>
      <c r="LAR2148" s="626" t="s">
        <v>1236</v>
      </c>
      <c r="LAS2148" s="626" t="s">
        <v>1236</v>
      </c>
      <c r="LAT2148" s="626" t="s">
        <v>1236</v>
      </c>
      <c r="LAU2148" s="626" t="s">
        <v>1236</v>
      </c>
      <c r="LAV2148" s="626" t="s">
        <v>1236</v>
      </c>
      <c r="LAW2148" s="626" t="s">
        <v>1236</v>
      </c>
      <c r="LAX2148" s="626" t="s">
        <v>1236</v>
      </c>
      <c r="LAY2148" s="626" t="s">
        <v>1236</v>
      </c>
      <c r="LAZ2148" s="626" t="s">
        <v>1236</v>
      </c>
      <c r="LBA2148" s="626" t="s">
        <v>1236</v>
      </c>
      <c r="LBB2148" s="626" t="s">
        <v>1236</v>
      </c>
      <c r="LBC2148" s="626" t="s">
        <v>1236</v>
      </c>
      <c r="LBD2148" s="626" t="s">
        <v>1236</v>
      </c>
      <c r="LBE2148" s="626" t="s">
        <v>1236</v>
      </c>
      <c r="LBF2148" s="626" t="s">
        <v>1236</v>
      </c>
      <c r="LBG2148" s="626" t="s">
        <v>1236</v>
      </c>
      <c r="LBH2148" s="626" t="s">
        <v>1236</v>
      </c>
      <c r="LBI2148" s="626" t="s">
        <v>1236</v>
      </c>
      <c r="LBJ2148" s="626" t="s">
        <v>1236</v>
      </c>
      <c r="LBK2148" s="626" t="s">
        <v>1236</v>
      </c>
      <c r="LBL2148" s="626" t="s">
        <v>1236</v>
      </c>
      <c r="LBM2148" s="626" t="s">
        <v>1236</v>
      </c>
      <c r="LBN2148" s="626" t="s">
        <v>1236</v>
      </c>
      <c r="LBO2148" s="626" t="s">
        <v>1236</v>
      </c>
      <c r="LBP2148" s="626" t="s">
        <v>1236</v>
      </c>
      <c r="LBQ2148" s="626" t="s">
        <v>1236</v>
      </c>
      <c r="LBR2148" s="626" t="s">
        <v>1236</v>
      </c>
      <c r="LBS2148" s="626" t="s">
        <v>1236</v>
      </c>
      <c r="LBT2148" s="626" t="s">
        <v>1236</v>
      </c>
      <c r="LBU2148" s="626" t="s">
        <v>1236</v>
      </c>
      <c r="LBV2148" s="626" t="s">
        <v>1236</v>
      </c>
      <c r="LBW2148" s="626" t="s">
        <v>1236</v>
      </c>
      <c r="LBX2148" s="626" t="s">
        <v>1236</v>
      </c>
      <c r="LBY2148" s="626" t="s">
        <v>1236</v>
      </c>
      <c r="LBZ2148" s="626" t="s">
        <v>1236</v>
      </c>
      <c r="LCA2148" s="626" t="s">
        <v>1236</v>
      </c>
      <c r="LCB2148" s="626" t="s">
        <v>1236</v>
      </c>
      <c r="LCC2148" s="626" t="s">
        <v>1236</v>
      </c>
      <c r="LCD2148" s="626" t="s">
        <v>1236</v>
      </c>
      <c r="LCE2148" s="626" t="s">
        <v>1236</v>
      </c>
      <c r="LCF2148" s="626" t="s">
        <v>1236</v>
      </c>
      <c r="LCG2148" s="626" t="s">
        <v>1236</v>
      </c>
      <c r="LCH2148" s="626" t="s">
        <v>1236</v>
      </c>
      <c r="LCI2148" s="626" t="s">
        <v>1236</v>
      </c>
      <c r="LCJ2148" s="626" t="s">
        <v>1236</v>
      </c>
      <c r="LCK2148" s="626" t="s">
        <v>1236</v>
      </c>
      <c r="LCL2148" s="626" t="s">
        <v>1236</v>
      </c>
      <c r="LCM2148" s="626" t="s">
        <v>1236</v>
      </c>
      <c r="LCN2148" s="626" t="s">
        <v>1236</v>
      </c>
      <c r="LCO2148" s="626" t="s">
        <v>1236</v>
      </c>
      <c r="LCP2148" s="626" t="s">
        <v>1236</v>
      </c>
      <c r="LCQ2148" s="626" t="s">
        <v>1236</v>
      </c>
      <c r="LCR2148" s="626" t="s">
        <v>1236</v>
      </c>
      <c r="LCS2148" s="626" t="s">
        <v>1236</v>
      </c>
      <c r="LCT2148" s="626" t="s">
        <v>1236</v>
      </c>
      <c r="LCU2148" s="626" t="s">
        <v>1236</v>
      </c>
      <c r="LCV2148" s="626" t="s">
        <v>1236</v>
      </c>
      <c r="LCW2148" s="626" t="s">
        <v>1236</v>
      </c>
      <c r="LCX2148" s="626" t="s">
        <v>1236</v>
      </c>
      <c r="LCY2148" s="626" t="s">
        <v>1236</v>
      </c>
      <c r="LCZ2148" s="626" t="s">
        <v>1236</v>
      </c>
      <c r="LDA2148" s="626" t="s">
        <v>1236</v>
      </c>
      <c r="LDB2148" s="626" t="s">
        <v>1236</v>
      </c>
      <c r="LDC2148" s="626" t="s">
        <v>1236</v>
      </c>
      <c r="LDD2148" s="626" t="s">
        <v>1236</v>
      </c>
      <c r="LDE2148" s="626" t="s">
        <v>1236</v>
      </c>
      <c r="LDF2148" s="626" t="s">
        <v>1236</v>
      </c>
      <c r="LDG2148" s="626" t="s">
        <v>1236</v>
      </c>
      <c r="LDH2148" s="626" t="s">
        <v>1236</v>
      </c>
      <c r="LDI2148" s="626" t="s">
        <v>1236</v>
      </c>
      <c r="LDJ2148" s="626" t="s">
        <v>1236</v>
      </c>
      <c r="LDK2148" s="626" t="s">
        <v>1236</v>
      </c>
      <c r="LDL2148" s="626" t="s">
        <v>1236</v>
      </c>
      <c r="LDM2148" s="626" t="s">
        <v>1236</v>
      </c>
      <c r="LDN2148" s="626" t="s">
        <v>1236</v>
      </c>
      <c r="LDO2148" s="626" t="s">
        <v>1236</v>
      </c>
      <c r="LDP2148" s="626" t="s">
        <v>1236</v>
      </c>
      <c r="LDQ2148" s="626" t="s">
        <v>1236</v>
      </c>
      <c r="LDR2148" s="626" t="s">
        <v>1236</v>
      </c>
      <c r="LDS2148" s="626" t="s">
        <v>1236</v>
      </c>
      <c r="LDT2148" s="626" t="s">
        <v>1236</v>
      </c>
      <c r="LDU2148" s="626" t="s">
        <v>1236</v>
      </c>
      <c r="LDV2148" s="626" t="s">
        <v>1236</v>
      </c>
      <c r="LDW2148" s="626" t="s">
        <v>1236</v>
      </c>
      <c r="LDX2148" s="626" t="s">
        <v>1236</v>
      </c>
      <c r="LDY2148" s="626" t="s">
        <v>1236</v>
      </c>
      <c r="LDZ2148" s="626" t="s">
        <v>1236</v>
      </c>
      <c r="LEA2148" s="626" t="s">
        <v>1236</v>
      </c>
      <c r="LEB2148" s="626" t="s">
        <v>1236</v>
      </c>
      <c r="LEC2148" s="626" t="s">
        <v>1236</v>
      </c>
      <c r="LED2148" s="626" t="s">
        <v>1236</v>
      </c>
      <c r="LEE2148" s="626" t="s">
        <v>1236</v>
      </c>
      <c r="LEF2148" s="626" t="s">
        <v>1236</v>
      </c>
      <c r="LEG2148" s="626" t="s">
        <v>1236</v>
      </c>
      <c r="LEH2148" s="626" t="s">
        <v>1236</v>
      </c>
      <c r="LEI2148" s="626" t="s">
        <v>1236</v>
      </c>
      <c r="LEJ2148" s="626" t="s">
        <v>1236</v>
      </c>
      <c r="LEK2148" s="626" t="s">
        <v>1236</v>
      </c>
      <c r="LEL2148" s="626" t="s">
        <v>1236</v>
      </c>
      <c r="LEM2148" s="626" t="s">
        <v>1236</v>
      </c>
      <c r="LEN2148" s="626" t="s">
        <v>1236</v>
      </c>
      <c r="LEO2148" s="626" t="s">
        <v>1236</v>
      </c>
      <c r="LEP2148" s="626" t="s">
        <v>1236</v>
      </c>
      <c r="LEQ2148" s="626" t="s">
        <v>1236</v>
      </c>
      <c r="LER2148" s="626" t="s">
        <v>1236</v>
      </c>
      <c r="LES2148" s="626" t="s">
        <v>1236</v>
      </c>
      <c r="LET2148" s="626" t="s">
        <v>1236</v>
      </c>
      <c r="LEU2148" s="626" t="s">
        <v>1236</v>
      </c>
      <c r="LEV2148" s="626" t="s">
        <v>1236</v>
      </c>
      <c r="LEW2148" s="626" t="s">
        <v>1236</v>
      </c>
      <c r="LEX2148" s="626" t="s">
        <v>1236</v>
      </c>
      <c r="LEY2148" s="626" t="s">
        <v>1236</v>
      </c>
      <c r="LEZ2148" s="626" t="s">
        <v>1236</v>
      </c>
      <c r="LFA2148" s="626" t="s">
        <v>1236</v>
      </c>
      <c r="LFB2148" s="626" t="s">
        <v>1236</v>
      </c>
      <c r="LFC2148" s="626" t="s">
        <v>1236</v>
      </c>
      <c r="LFD2148" s="626" t="s">
        <v>1236</v>
      </c>
      <c r="LFE2148" s="626" t="s">
        <v>1236</v>
      </c>
      <c r="LFF2148" s="626" t="s">
        <v>1236</v>
      </c>
      <c r="LFG2148" s="626" t="s">
        <v>1236</v>
      </c>
      <c r="LFH2148" s="626" t="s">
        <v>1236</v>
      </c>
      <c r="LFI2148" s="626" t="s">
        <v>1236</v>
      </c>
      <c r="LFJ2148" s="626" t="s">
        <v>1236</v>
      </c>
      <c r="LFK2148" s="626" t="s">
        <v>1236</v>
      </c>
      <c r="LFL2148" s="626" t="s">
        <v>1236</v>
      </c>
      <c r="LFM2148" s="626" t="s">
        <v>1236</v>
      </c>
      <c r="LFN2148" s="626" t="s">
        <v>1236</v>
      </c>
      <c r="LFO2148" s="626" t="s">
        <v>1236</v>
      </c>
      <c r="LFP2148" s="626" t="s">
        <v>1236</v>
      </c>
      <c r="LFQ2148" s="626" t="s">
        <v>1236</v>
      </c>
      <c r="LFR2148" s="626" t="s">
        <v>1236</v>
      </c>
      <c r="LFS2148" s="626" t="s">
        <v>1236</v>
      </c>
      <c r="LFT2148" s="626" t="s">
        <v>1236</v>
      </c>
      <c r="LFU2148" s="626" t="s">
        <v>1236</v>
      </c>
      <c r="LFV2148" s="626" t="s">
        <v>1236</v>
      </c>
      <c r="LFW2148" s="626" t="s">
        <v>1236</v>
      </c>
      <c r="LFX2148" s="626" t="s">
        <v>1236</v>
      </c>
      <c r="LFY2148" s="626" t="s">
        <v>1236</v>
      </c>
      <c r="LFZ2148" s="626" t="s">
        <v>1236</v>
      </c>
      <c r="LGA2148" s="626" t="s">
        <v>1236</v>
      </c>
      <c r="LGB2148" s="626" t="s">
        <v>1236</v>
      </c>
      <c r="LGC2148" s="626" t="s">
        <v>1236</v>
      </c>
      <c r="LGD2148" s="626" t="s">
        <v>1236</v>
      </c>
      <c r="LGE2148" s="626" t="s">
        <v>1236</v>
      </c>
      <c r="LGF2148" s="626" t="s">
        <v>1236</v>
      </c>
      <c r="LGG2148" s="626" t="s">
        <v>1236</v>
      </c>
      <c r="LGH2148" s="626" t="s">
        <v>1236</v>
      </c>
      <c r="LGI2148" s="626" t="s">
        <v>1236</v>
      </c>
      <c r="LGJ2148" s="626" t="s">
        <v>1236</v>
      </c>
      <c r="LGK2148" s="626" t="s">
        <v>1236</v>
      </c>
      <c r="LGL2148" s="626" t="s">
        <v>1236</v>
      </c>
      <c r="LGM2148" s="626" t="s">
        <v>1236</v>
      </c>
      <c r="LGN2148" s="626" t="s">
        <v>1236</v>
      </c>
      <c r="LGO2148" s="626" t="s">
        <v>1236</v>
      </c>
      <c r="LGP2148" s="626" t="s">
        <v>1236</v>
      </c>
      <c r="LGQ2148" s="626" t="s">
        <v>1236</v>
      </c>
      <c r="LGR2148" s="626" t="s">
        <v>1236</v>
      </c>
      <c r="LGS2148" s="626" t="s">
        <v>1236</v>
      </c>
      <c r="LGT2148" s="626" t="s">
        <v>1236</v>
      </c>
      <c r="LGU2148" s="626" t="s">
        <v>1236</v>
      </c>
      <c r="LGV2148" s="626" t="s">
        <v>1236</v>
      </c>
      <c r="LGW2148" s="626" t="s">
        <v>1236</v>
      </c>
      <c r="LGX2148" s="626" t="s">
        <v>1236</v>
      </c>
      <c r="LGY2148" s="626" t="s">
        <v>1236</v>
      </c>
      <c r="LGZ2148" s="626" t="s">
        <v>1236</v>
      </c>
      <c r="LHA2148" s="626" t="s">
        <v>1236</v>
      </c>
      <c r="LHB2148" s="626" t="s">
        <v>1236</v>
      </c>
      <c r="LHC2148" s="626" t="s">
        <v>1236</v>
      </c>
      <c r="LHD2148" s="626" t="s">
        <v>1236</v>
      </c>
      <c r="LHE2148" s="626" t="s">
        <v>1236</v>
      </c>
      <c r="LHF2148" s="626" t="s">
        <v>1236</v>
      </c>
      <c r="LHG2148" s="626" t="s">
        <v>1236</v>
      </c>
      <c r="LHH2148" s="626" t="s">
        <v>1236</v>
      </c>
      <c r="LHI2148" s="626" t="s">
        <v>1236</v>
      </c>
      <c r="LHJ2148" s="626" t="s">
        <v>1236</v>
      </c>
      <c r="LHK2148" s="626" t="s">
        <v>1236</v>
      </c>
      <c r="LHL2148" s="626" t="s">
        <v>1236</v>
      </c>
      <c r="LHM2148" s="626" t="s">
        <v>1236</v>
      </c>
      <c r="LHN2148" s="626" t="s">
        <v>1236</v>
      </c>
      <c r="LHO2148" s="626" t="s">
        <v>1236</v>
      </c>
      <c r="LHP2148" s="626" t="s">
        <v>1236</v>
      </c>
      <c r="LHQ2148" s="626" t="s">
        <v>1236</v>
      </c>
      <c r="LHR2148" s="626" t="s">
        <v>1236</v>
      </c>
      <c r="LHS2148" s="626" t="s">
        <v>1236</v>
      </c>
      <c r="LHT2148" s="626" t="s">
        <v>1236</v>
      </c>
      <c r="LHU2148" s="626" t="s">
        <v>1236</v>
      </c>
      <c r="LHV2148" s="626" t="s">
        <v>1236</v>
      </c>
      <c r="LHW2148" s="626" t="s">
        <v>1236</v>
      </c>
      <c r="LHX2148" s="626" t="s">
        <v>1236</v>
      </c>
      <c r="LHY2148" s="626" t="s">
        <v>1236</v>
      </c>
      <c r="LHZ2148" s="626" t="s">
        <v>1236</v>
      </c>
      <c r="LIA2148" s="626" t="s">
        <v>1236</v>
      </c>
      <c r="LIB2148" s="626" t="s">
        <v>1236</v>
      </c>
      <c r="LIC2148" s="626" t="s">
        <v>1236</v>
      </c>
      <c r="LID2148" s="626" t="s">
        <v>1236</v>
      </c>
      <c r="LIE2148" s="626" t="s">
        <v>1236</v>
      </c>
      <c r="LIF2148" s="626" t="s">
        <v>1236</v>
      </c>
      <c r="LIG2148" s="626" t="s">
        <v>1236</v>
      </c>
      <c r="LIH2148" s="626" t="s">
        <v>1236</v>
      </c>
      <c r="LII2148" s="626" t="s">
        <v>1236</v>
      </c>
      <c r="LIJ2148" s="626" t="s">
        <v>1236</v>
      </c>
      <c r="LIK2148" s="626" t="s">
        <v>1236</v>
      </c>
      <c r="LIL2148" s="626" t="s">
        <v>1236</v>
      </c>
      <c r="LIM2148" s="626" t="s">
        <v>1236</v>
      </c>
      <c r="LIN2148" s="626" t="s">
        <v>1236</v>
      </c>
      <c r="LIO2148" s="626" t="s">
        <v>1236</v>
      </c>
      <c r="LIP2148" s="626" t="s">
        <v>1236</v>
      </c>
      <c r="LIQ2148" s="626" t="s">
        <v>1236</v>
      </c>
      <c r="LIR2148" s="626" t="s">
        <v>1236</v>
      </c>
      <c r="LIS2148" s="626" t="s">
        <v>1236</v>
      </c>
      <c r="LIT2148" s="626" t="s">
        <v>1236</v>
      </c>
      <c r="LIU2148" s="626" t="s">
        <v>1236</v>
      </c>
      <c r="LIV2148" s="626" t="s">
        <v>1236</v>
      </c>
      <c r="LIW2148" s="626" t="s">
        <v>1236</v>
      </c>
      <c r="LIX2148" s="626" t="s">
        <v>1236</v>
      </c>
      <c r="LIY2148" s="626" t="s">
        <v>1236</v>
      </c>
      <c r="LIZ2148" s="626" t="s">
        <v>1236</v>
      </c>
      <c r="LJA2148" s="626" t="s">
        <v>1236</v>
      </c>
      <c r="LJB2148" s="626" t="s">
        <v>1236</v>
      </c>
      <c r="LJC2148" s="626" t="s">
        <v>1236</v>
      </c>
      <c r="LJD2148" s="626" t="s">
        <v>1236</v>
      </c>
      <c r="LJE2148" s="626" t="s">
        <v>1236</v>
      </c>
      <c r="LJF2148" s="626" t="s">
        <v>1236</v>
      </c>
      <c r="LJG2148" s="626" t="s">
        <v>1236</v>
      </c>
      <c r="LJH2148" s="626" t="s">
        <v>1236</v>
      </c>
      <c r="LJI2148" s="626" t="s">
        <v>1236</v>
      </c>
      <c r="LJJ2148" s="626" t="s">
        <v>1236</v>
      </c>
      <c r="LJK2148" s="626" t="s">
        <v>1236</v>
      </c>
      <c r="LJL2148" s="626" t="s">
        <v>1236</v>
      </c>
      <c r="LJM2148" s="626" t="s">
        <v>1236</v>
      </c>
      <c r="LJN2148" s="626" t="s">
        <v>1236</v>
      </c>
      <c r="LJO2148" s="626" t="s">
        <v>1236</v>
      </c>
      <c r="LJP2148" s="626" t="s">
        <v>1236</v>
      </c>
      <c r="LJQ2148" s="626" t="s">
        <v>1236</v>
      </c>
      <c r="LJR2148" s="626" t="s">
        <v>1236</v>
      </c>
      <c r="LJS2148" s="626" t="s">
        <v>1236</v>
      </c>
      <c r="LJT2148" s="626" t="s">
        <v>1236</v>
      </c>
      <c r="LJU2148" s="626" t="s">
        <v>1236</v>
      </c>
      <c r="LJV2148" s="626" t="s">
        <v>1236</v>
      </c>
      <c r="LJW2148" s="626" t="s">
        <v>1236</v>
      </c>
      <c r="LJX2148" s="626" t="s">
        <v>1236</v>
      </c>
      <c r="LJY2148" s="626" t="s">
        <v>1236</v>
      </c>
      <c r="LJZ2148" s="626" t="s">
        <v>1236</v>
      </c>
      <c r="LKA2148" s="626" t="s">
        <v>1236</v>
      </c>
      <c r="LKB2148" s="626" t="s">
        <v>1236</v>
      </c>
      <c r="LKC2148" s="626" t="s">
        <v>1236</v>
      </c>
      <c r="LKD2148" s="626" t="s">
        <v>1236</v>
      </c>
      <c r="LKE2148" s="626" t="s">
        <v>1236</v>
      </c>
      <c r="LKF2148" s="626" t="s">
        <v>1236</v>
      </c>
      <c r="LKG2148" s="626" t="s">
        <v>1236</v>
      </c>
      <c r="LKH2148" s="626" t="s">
        <v>1236</v>
      </c>
      <c r="LKI2148" s="626" t="s">
        <v>1236</v>
      </c>
      <c r="LKJ2148" s="626" t="s">
        <v>1236</v>
      </c>
      <c r="LKK2148" s="626" t="s">
        <v>1236</v>
      </c>
      <c r="LKL2148" s="626" t="s">
        <v>1236</v>
      </c>
      <c r="LKM2148" s="626" t="s">
        <v>1236</v>
      </c>
      <c r="LKN2148" s="626" t="s">
        <v>1236</v>
      </c>
      <c r="LKO2148" s="626" t="s">
        <v>1236</v>
      </c>
      <c r="LKP2148" s="626" t="s">
        <v>1236</v>
      </c>
      <c r="LKQ2148" s="626" t="s">
        <v>1236</v>
      </c>
      <c r="LKR2148" s="626" t="s">
        <v>1236</v>
      </c>
      <c r="LKS2148" s="626" t="s">
        <v>1236</v>
      </c>
      <c r="LKT2148" s="626" t="s">
        <v>1236</v>
      </c>
      <c r="LKU2148" s="626" t="s">
        <v>1236</v>
      </c>
      <c r="LKV2148" s="626" t="s">
        <v>1236</v>
      </c>
      <c r="LKW2148" s="626" t="s">
        <v>1236</v>
      </c>
      <c r="LKX2148" s="626" t="s">
        <v>1236</v>
      </c>
      <c r="LKY2148" s="626" t="s">
        <v>1236</v>
      </c>
      <c r="LKZ2148" s="626" t="s">
        <v>1236</v>
      </c>
      <c r="LLA2148" s="626" t="s">
        <v>1236</v>
      </c>
      <c r="LLB2148" s="626" t="s">
        <v>1236</v>
      </c>
      <c r="LLC2148" s="626" t="s">
        <v>1236</v>
      </c>
      <c r="LLD2148" s="626" t="s">
        <v>1236</v>
      </c>
      <c r="LLE2148" s="626" t="s">
        <v>1236</v>
      </c>
      <c r="LLF2148" s="626" t="s">
        <v>1236</v>
      </c>
      <c r="LLG2148" s="626" t="s">
        <v>1236</v>
      </c>
      <c r="LLH2148" s="626" t="s">
        <v>1236</v>
      </c>
      <c r="LLI2148" s="626" t="s">
        <v>1236</v>
      </c>
      <c r="LLJ2148" s="626" t="s">
        <v>1236</v>
      </c>
      <c r="LLK2148" s="626" t="s">
        <v>1236</v>
      </c>
      <c r="LLL2148" s="626" t="s">
        <v>1236</v>
      </c>
      <c r="LLM2148" s="626" t="s">
        <v>1236</v>
      </c>
      <c r="LLN2148" s="626" t="s">
        <v>1236</v>
      </c>
      <c r="LLO2148" s="626" t="s">
        <v>1236</v>
      </c>
      <c r="LLP2148" s="626" t="s">
        <v>1236</v>
      </c>
      <c r="LLQ2148" s="626" t="s">
        <v>1236</v>
      </c>
      <c r="LLR2148" s="626" t="s">
        <v>1236</v>
      </c>
      <c r="LLS2148" s="626" t="s">
        <v>1236</v>
      </c>
      <c r="LLT2148" s="626" t="s">
        <v>1236</v>
      </c>
      <c r="LLU2148" s="626" t="s">
        <v>1236</v>
      </c>
      <c r="LLV2148" s="626" t="s">
        <v>1236</v>
      </c>
      <c r="LLW2148" s="626" t="s">
        <v>1236</v>
      </c>
      <c r="LLX2148" s="626" t="s">
        <v>1236</v>
      </c>
      <c r="LLY2148" s="626" t="s">
        <v>1236</v>
      </c>
      <c r="LLZ2148" s="626" t="s">
        <v>1236</v>
      </c>
      <c r="LMA2148" s="626" t="s">
        <v>1236</v>
      </c>
      <c r="LMB2148" s="626" t="s">
        <v>1236</v>
      </c>
      <c r="LMC2148" s="626" t="s">
        <v>1236</v>
      </c>
      <c r="LMD2148" s="626" t="s">
        <v>1236</v>
      </c>
      <c r="LME2148" s="626" t="s">
        <v>1236</v>
      </c>
      <c r="LMF2148" s="626" t="s">
        <v>1236</v>
      </c>
      <c r="LMG2148" s="626" t="s">
        <v>1236</v>
      </c>
      <c r="LMH2148" s="626" t="s">
        <v>1236</v>
      </c>
      <c r="LMI2148" s="626" t="s">
        <v>1236</v>
      </c>
      <c r="LMJ2148" s="626" t="s">
        <v>1236</v>
      </c>
      <c r="LMK2148" s="626" t="s">
        <v>1236</v>
      </c>
      <c r="LML2148" s="626" t="s">
        <v>1236</v>
      </c>
      <c r="LMM2148" s="626" t="s">
        <v>1236</v>
      </c>
      <c r="LMN2148" s="626" t="s">
        <v>1236</v>
      </c>
      <c r="LMO2148" s="626" t="s">
        <v>1236</v>
      </c>
      <c r="LMP2148" s="626" t="s">
        <v>1236</v>
      </c>
      <c r="LMQ2148" s="626" t="s">
        <v>1236</v>
      </c>
      <c r="LMR2148" s="626" t="s">
        <v>1236</v>
      </c>
      <c r="LMS2148" s="626" t="s">
        <v>1236</v>
      </c>
      <c r="LMT2148" s="626" t="s">
        <v>1236</v>
      </c>
      <c r="LMU2148" s="626" t="s">
        <v>1236</v>
      </c>
      <c r="LMV2148" s="626" t="s">
        <v>1236</v>
      </c>
      <c r="LMW2148" s="626" t="s">
        <v>1236</v>
      </c>
      <c r="LMX2148" s="626" t="s">
        <v>1236</v>
      </c>
      <c r="LMY2148" s="626" t="s">
        <v>1236</v>
      </c>
      <c r="LMZ2148" s="626" t="s">
        <v>1236</v>
      </c>
      <c r="LNA2148" s="626" t="s">
        <v>1236</v>
      </c>
      <c r="LNB2148" s="626" t="s">
        <v>1236</v>
      </c>
      <c r="LNC2148" s="626" t="s">
        <v>1236</v>
      </c>
      <c r="LND2148" s="626" t="s">
        <v>1236</v>
      </c>
      <c r="LNE2148" s="626" t="s">
        <v>1236</v>
      </c>
      <c r="LNF2148" s="626" t="s">
        <v>1236</v>
      </c>
      <c r="LNG2148" s="626" t="s">
        <v>1236</v>
      </c>
      <c r="LNH2148" s="626" t="s">
        <v>1236</v>
      </c>
      <c r="LNI2148" s="626" t="s">
        <v>1236</v>
      </c>
      <c r="LNJ2148" s="626" t="s">
        <v>1236</v>
      </c>
      <c r="LNK2148" s="626" t="s">
        <v>1236</v>
      </c>
      <c r="LNL2148" s="626" t="s">
        <v>1236</v>
      </c>
      <c r="LNM2148" s="626" t="s">
        <v>1236</v>
      </c>
      <c r="LNN2148" s="626" t="s">
        <v>1236</v>
      </c>
      <c r="LNO2148" s="626" t="s">
        <v>1236</v>
      </c>
      <c r="LNP2148" s="626" t="s">
        <v>1236</v>
      </c>
      <c r="LNQ2148" s="626" t="s">
        <v>1236</v>
      </c>
      <c r="LNR2148" s="626" t="s">
        <v>1236</v>
      </c>
      <c r="LNS2148" s="626" t="s">
        <v>1236</v>
      </c>
      <c r="LNT2148" s="626" t="s">
        <v>1236</v>
      </c>
      <c r="LNU2148" s="626" t="s">
        <v>1236</v>
      </c>
      <c r="LNV2148" s="626" t="s">
        <v>1236</v>
      </c>
      <c r="LNW2148" s="626" t="s">
        <v>1236</v>
      </c>
      <c r="LNX2148" s="626" t="s">
        <v>1236</v>
      </c>
      <c r="LNY2148" s="626" t="s">
        <v>1236</v>
      </c>
      <c r="LNZ2148" s="626" t="s">
        <v>1236</v>
      </c>
      <c r="LOA2148" s="626" t="s">
        <v>1236</v>
      </c>
      <c r="LOB2148" s="626" t="s">
        <v>1236</v>
      </c>
      <c r="LOC2148" s="626" t="s">
        <v>1236</v>
      </c>
      <c r="LOD2148" s="626" t="s">
        <v>1236</v>
      </c>
      <c r="LOE2148" s="626" t="s">
        <v>1236</v>
      </c>
      <c r="LOF2148" s="626" t="s">
        <v>1236</v>
      </c>
      <c r="LOG2148" s="626" t="s">
        <v>1236</v>
      </c>
      <c r="LOH2148" s="626" t="s">
        <v>1236</v>
      </c>
      <c r="LOI2148" s="626" t="s">
        <v>1236</v>
      </c>
      <c r="LOJ2148" s="626" t="s">
        <v>1236</v>
      </c>
      <c r="LOK2148" s="626" t="s">
        <v>1236</v>
      </c>
      <c r="LOL2148" s="626" t="s">
        <v>1236</v>
      </c>
      <c r="LOM2148" s="626" t="s">
        <v>1236</v>
      </c>
      <c r="LON2148" s="626" t="s">
        <v>1236</v>
      </c>
      <c r="LOO2148" s="626" t="s">
        <v>1236</v>
      </c>
      <c r="LOP2148" s="626" t="s">
        <v>1236</v>
      </c>
      <c r="LOQ2148" s="626" t="s">
        <v>1236</v>
      </c>
      <c r="LOR2148" s="626" t="s">
        <v>1236</v>
      </c>
      <c r="LOS2148" s="626" t="s">
        <v>1236</v>
      </c>
      <c r="LOT2148" s="626" t="s">
        <v>1236</v>
      </c>
      <c r="LOU2148" s="626" t="s">
        <v>1236</v>
      </c>
      <c r="LOV2148" s="626" t="s">
        <v>1236</v>
      </c>
      <c r="LOW2148" s="626" t="s">
        <v>1236</v>
      </c>
      <c r="LOX2148" s="626" t="s">
        <v>1236</v>
      </c>
      <c r="LOY2148" s="626" t="s">
        <v>1236</v>
      </c>
      <c r="LOZ2148" s="626" t="s">
        <v>1236</v>
      </c>
      <c r="LPA2148" s="626" t="s">
        <v>1236</v>
      </c>
      <c r="LPB2148" s="626" t="s">
        <v>1236</v>
      </c>
      <c r="LPC2148" s="626" t="s">
        <v>1236</v>
      </c>
      <c r="LPD2148" s="626" t="s">
        <v>1236</v>
      </c>
      <c r="LPE2148" s="626" t="s">
        <v>1236</v>
      </c>
      <c r="LPF2148" s="626" t="s">
        <v>1236</v>
      </c>
      <c r="LPG2148" s="626" t="s">
        <v>1236</v>
      </c>
      <c r="LPH2148" s="626" t="s">
        <v>1236</v>
      </c>
      <c r="LPI2148" s="626" t="s">
        <v>1236</v>
      </c>
      <c r="LPJ2148" s="626" t="s">
        <v>1236</v>
      </c>
      <c r="LPK2148" s="626" t="s">
        <v>1236</v>
      </c>
      <c r="LPL2148" s="626" t="s">
        <v>1236</v>
      </c>
      <c r="LPM2148" s="626" t="s">
        <v>1236</v>
      </c>
      <c r="LPN2148" s="626" t="s">
        <v>1236</v>
      </c>
      <c r="LPO2148" s="626" t="s">
        <v>1236</v>
      </c>
      <c r="LPP2148" s="626" t="s">
        <v>1236</v>
      </c>
      <c r="LPQ2148" s="626" t="s">
        <v>1236</v>
      </c>
      <c r="LPR2148" s="626" t="s">
        <v>1236</v>
      </c>
      <c r="LPS2148" s="626" t="s">
        <v>1236</v>
      </c>
      <c r="LPT2148" s="626" t="s">
        <v>1236</v>
      </c>
      <c r="LPU2148" s="626" t="s">
        <v>1236</v>
      </c>
      <c r="LPV2148" s="626" t="s">
        <v>1236</v>
      </c>
      <c r="LPW2148" s="626" t="s">
        <v>1236</v>
      </c>
      <c r="LPX2148" s="626" t="s">
        <v>1236</v>
      </c>
      <c r="LPY2148" s="626" t="s">
        <v>1236</v>
      </c>
      <c r="LPZ2148" s="626" t="s">
        <v>1236</v>
      </c>
      <c r="LQA2148" s="626" t="s">
        <v>1236</v>
      </c>
      <c r="LQB2148" s="626" t="s">
        <v>1236</v>
      </c>
      <c r="LQC2148" s="626" t="s">
        <v>1236</v>
      </c>
      <c r="LQD2148" s="626" t="s">
        <v>1236</v>
      </c>
      <c r="LQE2148" s="626" t="s">
        <v>1236</v>
      </c>
      <c r="LQF2148" s="626" t="s">
        <v>1236</v>
      </c>
      <c r="LQG2148" s="626" t="s">
        <v>1236</v>
      </c>
      <c r="LQH2148" s="626" t="s">
        <v>1236</v>
      </c>
      <c r="LQI2148" s="626" t="s">
        <v>1236</v>
      </c>
      <c r="LQJ2148" s="626" t="s">
        <v>1236</v>
      </c>
      <c r="LQK2148" s="626" t="s">
        <v>1236</v>
      </c>
      <c r="LQL2148" s="626" t="s">
        <v>1236</v>
      </c>
      <c r="LQM2148" s="626" t="s">
        <v>1236</v>
      </c>
      <c r="LQN2148" s="626" t="s">
        <v>1236</v>
      </c>
      <c r="LQO2148" s="626" t="s">
        <v>1236</v>
      </c>
      <c r="LQP2148" s="626" t="s">
        <v>1236</v>
      </c>
      <c r="LQQ2148" s="626" t="s">
        <v>1236</v>
      </c>
      <c r="LQR2148" s="626" t="s">
        <v>1236</v>
      </c>
      <c r="LQS2148" s="626" t="s">
        <v>1236</v>
      </c>
      <c r="LQT2148" s="626" t="s">
        <v>1236</v>
      </c>
      <c r="LQU2148" s="626" t="s">
        <v>1236</v>
      </c>
      <c r="LQV2148" s="626" t="s">
        <v>1236</v>
      </c>
      <c r="LQW2148" s="626" t="s">
        <v>1236</v>
      </c>
      <c r="LQX2148" s="626" t="s">
        <v>1236</v>
      </c>
      <c r="LQY2148" s="626" t="s">
        <v>1236</v>
      </c>
      <c r="LQZ2148" s="626" t="s">
        <v>1236</v>
      </c>
      <c r="LRA2148" s="626" t="s">
        <v>1236</v>
      </c>
      <c r="LRB2148" s="626" t="s">
        <v>1236</v>
      </c>
      <c r="LRC2148" s="626" t="s">
        <v>1236</v>
      </c>
      <c r="LRD2148" s="626" t="s">
        <v>1236</v>
      </c>
      <c r="LRE2148" s="626" t="s">
        <v>1236</v>
      </c>
      <c r="LRF2148" s="626" t="s">
        <v>1236</v>
      </c>
      <c r="LRG2148" s="626" t="s">
        <v>1236</v>
      </c>
      <c r="LRH2148" s="626" t="s">
        <v>1236</v>
      </c>
      <c r="LRI2148" s="626" t="s">
        <v>1236</v>
      </c>
      <c r="LRJ2148" s="626" t="s">
        <v>1236</v>
      </c>
      <c r="LRK2148" s="626" t="s">
        <v>1236</v>
      </c>
      <c r="LRL2148" s="626" t="s">
        <v>1236</v>
      </c>
      <c r="LRM2148" s="626" t="s">
        <v>1236</v>
      </c>
      <c r="LRN2148" s="626" t="s">
        <v>1236</v>
      </c>
      <c r="LRO2148" s="626" t="s">
        <v>1236</v>
      </c>
      <c r="LRP2148" s="626" t="s">
        <v>1236</v>
      </c>
      <c r="LRQ2148" s="626" t="s">
        <v>1236</v>
      </c>
      <c r="LRR2148" s="626" t="s">
        <v>1236</v>
      </c>
      <c r="LRS2148" s="626" t="s">
        <v>1236</v>
      </c>
      <c r="LRT2148" s="626" t="s">
        <v>1236</v>
      </c>
      <c r="LRU2148" s="626" t="s">
        <v>1236</v>
      </c>
      <c r="LRV2148" s="626" t="s">
        <v>1236</v>
      </c>
      <c r="LRW2148" s="626" t="s">
        <v>1236</v>
      </c>
      <c r="LRX2148" s="626" t="s">
        <v>1236</v>
      </c>
      <c r="LRY2148" s="626" t="s">
        <v>1236</v>
      </c>
      <c r="LRZ2148" s="626" t="s">
        <v>1236</v>
      </c>
      <c r="LSA2148" s="626" t="s">
        <v>1236</v>
      </c>
      <c r="LSB2148" s="626" t="s">
        <v>1236</v>
      </c>
      <c r="LSC2148" s="626" t="s">
        <v>1236</v>
      </c>
      <c r="LSD2148" s="626" t="s">
        <v>1236</v>
      </c>
      <c r="LSE2148" s="626" t="s">
        <v>1236</v>
      </c>
      <c r="LSF2148" s="626" t="s">
        <v>1236</v>
      </c>
      <c r="LSG2148" s="626" t="s">
        <v>1236</v>
      </c>
      <c r="LSH2148" s="626" t="s">
        <v>1236</v>
      </c>
      <c r="LSI2148" s="626" t="s">
        <v>1236</v>
      </c>
      <c r="LSJ2148" s="626" t="s">
        <v>1236</v>
      </c>
      <c r="LSK2148" s="626" t="s">
        <v>1236</v>
      </c>
      <c r="LSL2148" s="626" t="s">
        <v>1236</v>
      </c>
      <c r="LSM2148" s="626" t="s">
        <v>1236</v>
      </c>
      <c r="LSN2148" s="626" t="s">
        <v>1236</v>
      </c>
      <c r="LSO2148" s="626" t="s">
        <v>1236</v>
      </c>
      <c r="LSP2148" s="626" t="s">
        <v>1236</v>
      </c>
      <c r="LSQ2148" s="626" t="s">
        <v>1236</v>
      </c>
      <c r="LSR2148" s="626" t="s">
        <v>1236</v>
      </c>
      <c r="LSS2148" s="626" t="s">
        <v>1236</v>
      </c>
      <c r="LST2148" s="626" t="s">
        <v>1236</v>
      </c>
      <c r="LSU2148" s="626" t="s">
        <v>1236</v>
      </c>
      <c r="LSV2148" s="626" t="s">
        <v>1236</v>
      </c>
      <c r="LSW2148" s="626" t="s">
        <v>1236</v>
      </c>
      <c r="LSX2148" s="626" t="s">
        <v>1236</v>
      </c>
      <c r="LSY2148" s="626" t="s">
        <v>1236</v>
      </c>
      <c r="LSZ2148" s="626" t="s">
        <v>1236</v>
      </c>
      <c r="LTA2148" s="626" t="s">
        <v>1236</v>
      </c>
      <c r="LTB2148" s="626" t="s">
        <v>1236</v>
      </c>
      <c r="LTC2148" s="626" t="s">
        <v>1236</v>
      </c>
      <c r="LTD2148" s="626" t="s">
        <v>1236</v>
      </c>
      <c r="LTE2148" s="626" t="s">
        <v>1236</v>
      </c>
      <c r="LTF2148" s="626" t="s">
        <v>1236</v>
      </c>
      <c r="LTG2148" s="626" t="s">
        <v>1236</v>
      </c>
      <c r="LTH2148" s="626" t="s">
        <v>1236</v>
      </c>
      <c r="LTI2148" s="626" t="s">
        <v>1236</v>
      </c>
      <c r="LTJ2148" s="626" t="s">
        <v>1236</v>
      </c>
      <c r="LTK2148" s="626" t="s">
        <v>1236</v>
      </c>
      <c r="LTL2148" s="626" t="s">
        <v>1236</v>
      </c>
      <c r="LTM2148" s="626" t="s">
        <v>1236</v>
      </c>
      <c r="LTN2148" s="626" t="s">
        <v>1236</v>
      </c>
      <c r="LTO2148" s="626" t="s">
        <v>1236</v>
      </c>
      <c r="LTP2148" s="626" t="s">
        <v>1236</v>
      </c>
      <c r="LTQ2148" s="626" t="s">
        <v>1236</v>
      </c>
      <c r="LTR2148" s="626" t="s">
        <v>1236</v>
      </c>
      <c r="LTS2148" s="626" t="s">
        <v>1236</v>
      </c>
      <c r="LTT2148" s="626" t="s">
        <v>1236</v>
      </c>
      <c r="LTU2148" s="626" t="s">
        <v>1236</v>
      </c>
      <c r="LTV2148" s="626" t="s">
        <v>1236</v>
      </c>
      <c r="LTW2148" s="626" t="s">
        <v>1236</v>
      </c>
      <c r="LTX2148" s="626" t="s">
        <v>1236</v>
      </c>
      <c r="LTY2148" s="626" t="s">
        <v>1236</v>
      </c>
      <c r="LTZ2148" s="626" t="s">
        <v>1236</v>
      </c>
      <c r="LUA2148" s="626" t="s">
        <v>1236</v>
      </c>
      <c r="LUB2148" s="626" t="s">
        <v>1236</v>
      </c>
      <c r="LUC2148" s="626" t="s">
        <v>1236</v>
      </c>
      <c r="LUD2148" s="626" t="s">
        <v>1236</v>
      </c>
      <c r="LUE2148" s="626" t="s">
        <v>1236</v>
      </c>
      <c r="LUF2148" s="626" t="s">
        <v>1236</v>
      </c>
      <c r="LUG2148" s="626" t="s">
        <v>1236</v>
      </c>
      <c r="LUH2148" s="626" t="s">
        <v>1236</v>
      </c>
      <c r="LUI2148" s="626" t="s">
        <v>1236</v>
      </c>
      <c r="LUJ2148" s="626" t="s">
        <v>1236</v>
      </c>
      <c r="LUK2148" s="626" t="s">
        <v>1236</v>
      </c>
      <c r="LUL2148" s="626" t="s">
        <v>1236</v>
      </c>
      <c r="LUM2148" s="626" t="s">
        <v>1236</v>
      </c>
      <c r="LUN2148" s="626" t="s">
        <v>1236</v>
      </c>
      <c r="LUO2148" s="626" t="s">
        <v>1236</v>
      </c>
      <c r="LUP2148" s="626" t="s">
        <v>1236</v>
      </c>
      <c r="LUQ2148" s="626" t="s">
        <v>1236</v>
      </c>
      <c r="LUR2148" s="626" t="s">
        <v>1236</v>
      </c>
      <c r="LUS2148" s="626" t="s">
        <v>1236</v>
      </c>
      <c r="LUT2148" s="626" t="s">
        <v>1236</v>
      </c>
      <c r="LUU2148" s="626" t="s">
        <v>1236</v>
      </c>
      <c r="LUV2148" s="626" t="s">
        <v>1236</v>
      </c>
      <c r="LUW2148" s="626" t="s">
        <v>1236</v>
      </c>
      <c r="LUX2148" s="626" t="s">
        <v>1236</v>
      </c>
      <c r="LUY2148" s="626" t="s">
        <v>1236</v>
      </c>
      <c r="LUZ2148" s="626" t="s">
        <v>1236</v>
      </c>
      <c r="LVA2148" s="626" t="s">
        <v>1236</v>
      </c>
      <c r="LVB2148" s="626" t="s">
        <v>1236</v>
      </c>
      <c r="LVC2148" s="626" t="s">
        <v>1236</v>
      </c>
      <c r="LVD2148" s="626" t="s">
        <v>1236</v>
      </c>
      <c r="LVE2148" s="626" t="s">
        <v>1236</v>
      </c>
      <c r="LVF2148" s="626" t="s">
        <v>1236</v>
      </c>
      <c r="LVG2148" s="626" t="s">
        <v>1236</v>
      </c>
      <c r="LVH2148" s="626" t="s">
        <v>1236</v>
      </c>
      <c r="LVI2148" s="626" t="s">
        <v>1236</v>
      </c>
      <c r="LVJ2148" s="626" t="s">
        <v>1236</v>
      </c>
      <c r="LVK2148" s="626" t="s">
        <v>1236</v>
      </c>
      <c r="LVL2148" s="626" t="s">
        <v>1236</v>
      </c>
      <c r="LVM2148" s="626" t="s">
        <v>1236</v>
      </c>
      <c r="LVN2148" s="626" t="s">
        <v>1236</v>
      </c>
      <c r="LVO2148" s="626" t="s">
        <v>1236</v>
      </c>
      <c r="LVP2148" s="626" t="s">
        <v>1236</v>
      </c>
      <c r="LVQ2148" s="626" t="s">
        <v>1236</v>
      </c>
      <c r="LVR2148" s="626" t="s">
        <v>1236</v>
      </c>
      <c r="LVS2148" s="626" t="s">
        <v>1236</v>
      </c>
      <c r="LVT2148" s="626" t="s">
        <v>1236</v>
      </c>
      <c r="LVU2148" s="626" t="s">
        <v>1236</v>
      </c>
      <c r="LVV2148" s="626" t="s">
        <v>1236</v>
      </c>
      <c r="LVW2148" s="626" t="s">
        <v>1236</v>
      </c>
      <c r="LVX2148" s="626" t="s">
        <v>1236</v>
      </c>
      <c r="LVY2148" s="626" t="s">
        <v>1236</v>
      </c>
      <c r="LVZ2148" s="626" t="s">
        <v>1236</v>
      </c>
      <c r="LWA2148" s="626" t="s">
        <v>1236</v>
      </c>
      <c r="LWB2148" s="626" t="s">
        <v>1236</v>
      </c>
      <c r="LWC2148" s="626" t="s">
        <v>1236</v>
      </c>
      <c r="LWD2148" s="626" t="s">
        <v>1236</v>
      </c>
      <c r="LWE2148" s="626" t="s">
        <v>1236</v>
      </c>
      <c r="LWF2148" s="626" t="s">
        <v>1236</v>
      </c>
      <c r="LWG2148" s="626" t="s">
        <v>1236</v>
      </c>
      <c r="LWH2148" s="626" t="s">
        <v>1236</v>
      </c>
      <c r="LWI2148" s="626" t="s">
        <v>1236</v>
      </c>
      <c r="LWJ2148" s="626" t="s">
        <v>1236</v>
      </c>
      <c r="LWK2148" s="626" t="s">
        <v>1236</v>
      </c>
      <c r="LWL2148" s="626" t="s">
        <v>1236</v>
      </c>
      <c r="LWM2148" s="626" t="s">
        <v>1236</v>
      </c>
      <c r="LWN2148" s="626" t="s">
        <v>1236</v>
      </c>
      <c r="LWO2148" s="626" t="s">
        <v>1236</v>
      </c>
      <c r="LWP2148" s="626" t="s">
        <v>1236</v>
      </c>
      <c r="LWQ2148" s="626" t="s">
        <v>1236</v>
      </c>
      <c r="LWR2148" s="626" t="s">
        <v>1236</v>
      </c>
      <c r="LWS2148" s="626" t="s">
        <v>1236</v>
      </c>
      <c r="LWT2148" s="626" t="s">
        <v>1236</v>
      </c>
      <c r="LWU2148" s="626" t="s">
        <v>1236</v>
      </c>
      <c r="LWV2148" s="626" t="s">
        <v>1236</v>
      </c>
      <c r="LWW2148" s="626" t="s">
        <v>1236</v>
      </c>
      <c r="LWX2148" s="626" t="s">
        <v>1236</v>
      </c>
      <c r="LWY2148" s="626" t="s">
        <v>1236</v>
      </c>
      <c r="LWZ2148" s="626" t="s">
        <v>1236</v>
      </c>
      <c r="LXA2148" s="626" t="s">
        <v>1236</v>
      </c>
      <c r="LXB2148" s="626" t="s">
        <v>1236</v>
      </c>
      <c r="LXC2148" s="626" t="s">
        <v>1236</v>
      </c>
      <c r="LXD2148" s="626" t="s">
        <v>1236</v>
      </c>
      <c r="LXE2148" s="626" t="s">
        <v>1236</v>
      </c>
      <c r="LXF2148" s="626" t="s">
        <v>1236</v>
      </c>
      <c r="LXG2148" s="626" t="s">
        <v>1236</v>
      </c>
      <c r="LXH2148" s="626" t="s">
        <v>1236</v>
      </c>
      <c r="LXI2148" s="626" t="s">
        <v>1236</v>
      </c>
      <c r="LXJ2148" s="626" t="s">
        <v>1236</v>
      </c>
      <c r="LXK2148" s="626" t="s">
        <v>1236</v>
      </c>
      <c r="LXL2148" s="626" t="s">
        <v>1236</v>
      </c>
      <c r="LXM2148" s="626" t="s">
        <v>1236</v>
      </c>
      <c r="LXN2148" s="626" t="s">
        <v>1236</v>
      </c>
      <c r="LXO2148" s="626" t="s">
        <v>1236</v>
      </c>
      <c r="LXP2148" s="626" t="s">
        <v>1236</v>
      </c>
      <c r="LXQ2148" s="626" t="s">
        <v>1236</v>
      </c>
      <c r="LXR2148" s="626" t="s">
        <v>1236</v>
      </c>
      <c r="LXS2148" s="626" t="s">
        <v>1236</v>
      </c>
      <c r="LXT2148" s="626" t="s">
        <v>1236</v>
      </c>
      <c r="LXU2148" s="626" t="s">
        <v>1236</v>
      </c>
      <c r="LXV2148" s="626" t="s">
        <v>1236</v>
      </c>
      <c r="LXW2148" s="626" t="s">
        <v>1236</v>
      </c>
      <c r="LXX2148" s="626" t="s">
        <v>1236</v>
      </c>
      <c r="LXY2148" s="626" t="s">
        <v>1236</v>
      </c>
      <c r="LXZ2148" s="626" t="s">
        <v>1236</v>
      </c>
      <c r="LYA2148" s="626" t="s">
        <v>1236</v>
      </c>
      <c r="LYB2148" s="626" t="s">
        <v>1236</v>
      </c>
      <c r="LYC2148" s="626" t="s">
        <v>1236</v>
      </c>
      <c r="LYD2148" s="626" t="s">
        <v>1236</v>
      </c>
      <c r="LYE2148" s="626" t="s">
        <v>1236</v>
      </c>
      <c r="LYF2148" s="626" t="s">
        <v>1236</v>
      </c>
      <c r="LYG2148" s="626" t="s">
        <v>1236</v>
      </c>
      <c r="LYH2148" s="626" t="s">
        <v>1236</v>
      </c>
      <c r="LYI2148" s="626" t="s">
        <v>1236</v>
      </c>
      <c r="LYJ2148" s="626" t="s">
        <v>1236</v>
      </c>
      <c r="LYK2148" s="626" t="s">
        <v>1236</v>
      </c>
      <c r="LYL2148" s="626" t="s">
        <v>1236</v>
      </c>
      <c r="LYM2148" s="626" t="s">
        <v>1236</v>
      </c>
      <c r="LYN2148" s="626" t="s">
        <v>1236</v>
      </c>
      <c r="LYO2148" s="626" t="s">
        <v>1236</v>
      </c>
      <c r="LYP2148" s="626" t="s">
        <v>1236</v>
      </c>
      <c r="LYQ2148" s="626" t="s">
        <v>1236</v>
      </c>
      <c r="LYR2148" s="626" t="s">
        <v>1236</v>
      </c>
      <c r="LYS2148" s="626" t="s">
        <v>1236</v>
      </c>
      <c r="LYT2148" s="626" t="s">
        <v>1236</v>
      </c>
      <c r="LYU2148" s="626" t="s">
        <v>1236</v>
      </c>
      <c r="LYV2148" s="626" t="s">
        <v>1236</v>
      </c>
      <c r="LYW2148" s="626" t="s">
        <v>1236</v>
      </c>
      <c r="LYX2148" s="626" t="s">
        <v>1236</v>
      </c>
      <c r="LYY2148" s="626" t="s">
        <v>1236</v>
      </c>
      <c r="LYZ2148" s="626" t="s">
        <v>1236</v>
      </c>
      <c r="LZA2148" s="626" t="s">
        <v>1236</v>
      </c>
      <c r="LZB2148" s="626" t="s">
        <v>1236</v>
      </c>
      <c r="LZC2148" s="626" t="s">
        <v>1236</v>
      </c>
      <c r="LZD2148" s="626" t="s">
        <v>1236</v>
      </c>
      <c r="LZE2148" s="626" t="s">
        <v>1236</v>
      </c>
      <c r="LZF2148" s="626" t="s">
        <v>1236</v>
      </c>
      <c r="LZG2148" s="626" t="s">
        <v>1236</v>
      </c>
      <c r="LZH2148" s="626" t="s">
        <v>1236</v>
      </c>
      <c r="LZI2148" s="626" t="s">
        <v>1236</v>
      </c>
      <c r="LZJ2148" s="626" t="s">
        <v>1236</v>
      </c>
      <c r="LZK2148" s="626" t="s">
        <v>1236</v>
      </c>
      <c r="LZL2148" s="626" t="s">
        <v>1236</v>
      </c>
      <c r="LZM2148" s="626" t="s">
        <v>1236</v>
      </c>
      <c r="LZN2148" s="626" t="s">
        <v>1236</v>
      </c>
      <c r="LZO2148" s="626" t="s">
        <v>1236</v>
      </c>
      <c r="LZP2148" s="626" t="s">
        <v>1236</v>
      </c>
      <c r="LZQ2148" s="626" t="s">
        <v>1236</v>
      </c>
      <c r="LZR2148" s="626" t="s">
        <v>1236</v>
      </c>
      <c r="LZS2148" s="626" t="s">
        <v>1236</v>
      </c>
      <c r="LZT2148" s="626" t="s">
        <v>1236</v>
      </c>
      <c r="LZU2148" s="626" t="s">
        <v>1236</v>
      </c>
      <c r="LZV2148" s="626" t="s">
        <v>1236</v>
      </c>
      <c r="LZW2148" s="626" t="s">
        <v>1236</v>
      </c>
      <c r="LZX2148" s="626" t="s">
        <v>1236</v>
      </c>
      <c r="LZY2148" s="626" t="s">
        <v>1236</v>
      </c>
      <c r="LZZ2148" s="626" t="s">
        <v>1236</v>
      </c>
      <c r="MAA2148" s="626" t="s">
        <v>1236</v>
      </c>
      <c r="MAB2148" s="626" t="s">
        <v>1236</v>
      </c>
      <c r="MAC2148" s="626" t="s">
        <v>1236</v>
      </c>
      <c r="MAD2148" s="626" t="s">
        <v>1236</v>
      </c>
      <c r="MAE2148" s="626" t="s">
        <v>1236</v>
      </c>
      <c r="MAF2148" s="626" t="s">
        <v>1236</v>
      </c>
      <c r="MAG2148" s="626" t="s">
        <v>1236</v>
      </c>
      <c r="MAH2148" s="626" t="s">
        <v>1236</v>
      </c>
      <c r="MAI2148" s="626" t="s">
        <v>1236</v>
      </c>
      <c r="MAJ2148" s="626" t="s">
        <v>1236</v>
      </c>
      <c r="MAK2148" s="626" t="s">
        <v>1236</v>
      </c>
      <c r="MAL2148" s="626" t="s">
        <v>1236</v>
      </c>
      <c r="MAM2148" s="626" t="s">
        <v>1236</v>
      </c>
      <c r="MAN2148" s="626" t="s">
        <v>1236</v>
      </c>
      <c r="MAO2148" s="626" t="s">
        <v>1236</v>
      </c>
      <c r="MAP2148" s="626" t="s">
        <v>1236</v>
      </c>
      <c r="MAQ2148" s="626" t="s">
        <v>1236</v>
      </c>
      <c r="MAR2148" s="626" t="s">
        <v>1236</v>
      </c>
      <c r="MAS2148" s="626" t="s">
        <v>1236</v>
      </c>
      <c r="MAT2148" s="626" t="s">
        <v>1236</v>
      </c>
      <c r="MAU2148" s="626" t="s">
        <v>1236</v>
      </c>
      <c r="MAV2148" s="626" t="s">
        <v>1236</v>
      </c>
      <c r="MAW2148" s="626" t="s">
        <v>1236</v>
      </c>
      <c r="MAX2148" s="626" t="s">
        <v>1236</v>
      </c>
      <c r="MAY2148" s="626" t="s">
        <v>1236</v>
      </c>
      <c r="MAZ2148" s="626" t="s">
        <v>1236</v>
      </c>
      <c r="MBA2148" s="626" t="s">
        <v>1236</v>
      </c>
      <c r="MBB2148" s="626" t="s">
        <v>1236</v>
      </c>
      <c r="MBC2148" s="626" t="s">
        <v>1236</v>
      </c>
      <c r="MBD2148" s="626" t="s">
        <v>1236</v>
      </c>
      <c r="MBE2148" s="626" t="s">
        <v>1236</v>
      </c>
      <c r="MBF2148" s="626" t="s">
        <v>1236</v>
      </c>
      <c r="MBG2148" s="626" t="s">
        <v>1236</v>
      </c>
      <c r="MBH2148" s="626" t="s">
        <v>1236</v>
      </c>
      <c r="MBI2148" s="626" t="s">
        <v>1236</v>
      </c>
      <c r="MBJ2148" s="626" t="s">
        <v>1236</v>
      </c>
      <c r="MBK2148" s="626" t="s">
        <v>1236</v>
      </c>
      <c r="MBL2148" s="626" t="s">
        <v>1236</v>
      </c>
      <c r="MBM2148" s="626" t="s">
        <v>1236</v>
      </c>
      <c r="MBN2148" s="626" t="s">
        <v>1236</v>
      </c>
      <c r="MBO2148" s="626" t="s">
        <v>1236</v>
      </c>
      <c r="MBP2148" s="626" t="s">
        <v>1236</v>
      </c>
      <c r="MBQ2148" s="626" t="s">
        <v>1236</v>
      </c>
      <c r="MBR2148" s="626" t="s">
        <v>1236</v>
      </c>
      <c r="MBS2148" s="626" t="s">
        <v>1236</v>
      </c>
      <c r="MBT2148" s="626" t="s">
        <v>1236</v>
      </c>
      <c r="MBU2148" s="626" t="s">
        <v>1236</v>
      </c>
      <c r="MBV2148" s="626" t="s">
        <v>1236</v>
      </c>
      <c r="MBW2148" s="626" t="s">
        <v>1236</v>
      </c>
      <c r="MBX2148" s="626" t="s">
        <v>1236</v>
      </c>
      <c r="MBY2148" s="626" t="s">
        <v>1236</v>
      </c>
      <c r="MBZ2148" s="626" t="s">
        <v>1236</v>
      </c>
      <c r="MCA2148" s="626" t="s">
        <v>1236</v>
      </c>
      <c r="MCB2148" s="626" t="s">
        <v>1236</v>
      </c>
      <c r="MCC2148" s="626" t="s">
        <v>1236</v>
      </c>
      <c r="MCD2148" s="626" t="s">
        <v>1236</v>
      </c>
      <c r="MCE2148" s="626" t="s">
        <v>1236</v>
      </c>
      <c r="MCF2148" s="626" t="s">
        <v>1236</v>
      </c>
      <c r="MCG2148" s="626" t="s">
        <v>1236</v>
      </c>
      <c r="MCH2148" s="626" t="s">
        <v>1236</v>
      </c>
      <c r="MCI2148" s="626" t="s">
        <v>1236</v>
      </c>
      <c r="MCJ2148" s="626" t="s">
        <v>1236</v>
      </c>
      <c r="MCK2148" s="626" t="s">
        <v>1236</v>
      </c>
      <c r="MCL2148" s="626" t="s">
        <v>1236</v>
      </c>
      <c r="MCM2148" s="626" t="s">
        <v>1236</v>
      </c>
      <c r="MCN2148" s="626" t="s">
        <v>1236</v>
      </c>
      <c r="MCO2148" s="626" t="s">
        <v>1236</v>
      </c>
      <c r="MCP2148" s="626" t="s">
        <v>1236</v>
      </c>
      <c r="MCQ2148" s="626" t="s">
        <v>1236</v>
      </c>
      <c r="MCR2148" s="626" t="s">
        <v>1236</v>
      </c>
      <c r="MCS2148" s="626" t="s">
        <v>1236</v>
      </c>
      <c r="MCT2148" s="626" t="s">
        <v>1236</v>
      </c>
      <c r="MCU2148" s="626" t="s">
        <v>1236</v>
      </c>
      <c r="MCV2148" s="626" t="s">
        <v>1236</v>
      </c>
      <c r="MCW2148" s="626" t="s">
        <v>1236</v>
      </c>
      <c r="MCX2148" s="626" t="s">
        <v>1236</v>
      </c>
      <c r="MCY2148" s="626" t="s">
        <v>1236</v>
      </c>
      <c r="MCZ2148" s="626" t="s">
        <v>1236</v>
      </c>
      <c r="MDA2148" s="626" t="s">
        <v>1236</v>
      </c>
      <c r="MDB2148" s="626" t="s">
        <v>1236</v>
      </c>
      <c r="MDC2148" s="626" t="s">
        <v>1236</v>
      </c>
      <c r="MDD2148" s="626" t="s">
        <v>1236</v>
      </c>
      <c r="MDE2148" s="626" t="s">
        <v>1236</v>
      </c>
      <c r="MDF2148" s="626" t="s">
        <v>1236</v>
      </c>
      <c r="MDG2148" s="626" t="s">
        <v>1236</v>
      </c>
      <c r="MDH2148" s="626" t="s">
        <v>1236</v>
      </c>
      <c r="MDI2148" s="626" t="s">
        <v>1236</v>
      </c>
      <c r="MDJ2148" s="626" t="s">
        <v>1236</v>
      </c>
      <c r="MDK2148" s="626" t="s">
        <v>1236</v>
      </c>
      <c r="MDL2148" s="626" t="s">
        <v>1236</v>
      </c>
      <c r="MDM2148" s="626" t="s">
        <v>1236</v>
      </c>
      <c r="MDN2148" s="626" t="s">
        <v>1236</v>
      </c>
      <c r="MDO2148" s="626" t="s">
        <v>1236</v>
      </c>
      <c r="MDP2148" s="626" t="s">
        <v>1236</v>
      </c>
      <c r="MDQ2148" s="626" t="s">
        <v>1236</v>
      </c>
      <c r="MDR2148" s="626" t="s">
        <v>1236</v>
      </c>
      <c r="MDS2148" s="626" t="s">
        <v>1236</v>
      </c>
      <c r="MDT2148" s="626" t="s">
        <v>1236</v>
      </c>
      <c r="MDU2148" s="626" t="s">
        <v>1236</v>
      </c>
      <c r="MDV2148" s="626" t="s">
        <v>1236</v>
      </c>
      <c r="MDW2148" s="626" t="s">
        <v>1236</v>
      </c>
      <c r="MDX2148" s="626" t="s">
        <v>1236</v>
      </c>
      <c r="MDY2148" s="626" t="s">
        <v>1236</v>
      </c>
      <c r="MDZ2148" s="626" t="s">
        <v>1236</v>
      </c>
      <c r="MEA2148" s="626" t="s">
        <v>1236</v>
      </c>
      <c r="MEB2148" s="626" t="s">
        <v>1236</v>
      </c>
      <c r="MEC2148" s="626" t="s">
        <v>1236</v>
      </c>
      <c r="MED2148" s="626" t="s">
        <v>1236</v>
      </c>
      <c r="MEE2148" s="626" t="s">
        <v>1236</v>
      </c>
      <c r="MEF2148" s="626" t="s">
        <v>1236</v>
      </c>
      <c r="MEG2148" s="626" t="s">
        <v>1236</v>
      </c>
      <c r="MEH2148" s="626" t="s">
        <v>1236</v>
      </c>
      <c r="MEI2148" s="626" t="s">
        <v>1236</v>
      </c>
      <c r="MEJ2148" s="626" t="s">
        <v>1236</v>
      </c>
      <c r="MEK2148" s="626" t="s">
        <v>1236</v>
      </c>
      <c r="MEL2148" s="626" t="s">
        <v>1236</v>
      </c>
      <c r="MEM2148" s="626" t="s">
        <v>1236</v>
      </c>
      <c r="MEN2148" s="626" t="s">
        <v>1236</v>
      </c>
      <c r="MEO2148" s="626" t="s">
        <v>1236</v>
      </c>
      <c r="MEP2148" s="626" t="s">
        <v>1236</v>
      </c>
      <c r="MEQ2148" s="626" t="s">
        <v>1236</v>
      </c>
      <c r="MER2148" s="626" t="s">
        <v>1236</v>
      </c>
      <c r="MES2148" s="626" t="s">
        <v>1236</v>
      </c>
      <c r="MET2148" s="626" t="s">
        <v>1236</v>
      </c>
      <c r="MEU2148" s="626" t="s">
        <v>1236</v>
      </c>
      <c r="MEV2148" s="626" t="s">
        <v>1236</v>
      </c>
      <c r="MEW2148" s="626" t="s">
        <v>1236</v>
      </c>
      <c r="MEX2148" s="626" t="s">
        <v>1236</v>
      </c>
      <c r="MEY2148" s="626" t="s">
        <v>1236</v>
      </c>
      <c r="MEZ2148" s="626" t="s">
        <v>1236</v>
      </c>
      <c r="MFA2148" s="626" t="s">
        <v>1236</v>
      </c>
      <c r="MFB2148" s="626" t="s">
        <v>1236</v>
      </c>
      <c r="MFC2148" s="626" t="s">
        <v>1236</v>
      </c>
      <c r="MFD2148" s="626" t="s">
        <v>1236</v>
      </c>
      <c r="MFE2148" s="626" t="s">
        <v>1236</v>
      </c>
      <c r="MFF2148" s="626" t="s">
        <v>1236</v>
      </c>
      <c r="MFG2148" s="626" t="s">
        <v>1236</v>
      </c>
      <c r="MFH2148" s="626" t="s">
        <v>1236</v>
      </c>
      <c r="MFI2148" s="626" t="s">
        <v>1236</v>
      </c>
      <c r="MFJ2148" s="626" t="s">
        <v>1236</v>
      </c>
      <c r="MFK2148" s="626" t="s">
        <v>1236</v>
      </c>
      <c r="MFL2148" s="626" t="s">
        <v>1236</v>
      </c>
      <c r="MFM2148" s="626" t="s">
        <v>1236</v>
      </c>
      <c r="MFN2148" s="626" t="s">
        <v>1236</v>
      </c>
      <c r="MFO2148" s="626" t="s">
        <v>1236</v>
      </c>
      <c r="MFP2148" s="626" t="s">
        <v>1236</v>
      </c>
      <c r="MFQ2148" s="626" t="s">
        <v>1236</v>
      </c>
      <c r="MFR2148" s="626" t="s">
        <v>1236</v>
      </c>
      <c r="MFS2148" s="626" t="s">
        <v>1236</v>
      </c>
      <c r="MFT2148" s="626" t="s">
        <v>1236</v>
      </c>
      <c r="MFU2148" s="626" t="s">
        <v>1236</v>
      </c>
      <c r="MFV2148" s="626" t="s">
        <v>1236</v>
      </c>
      <c r="MFW2148" s="626" t="s">
        <v>1236</v>
      </c>
      <c r="MFX2148" s="626" t="s">
        <v>1236</v>
      </c>
      <c r="MFY2148" s="626" t="s">
        <v>1236</v>
      </c>
      <c r="MFZ2148" s="626" t="s">
        <v>1236</v>
      </c>
      <c r="MGA2148" s="626" t="s">
        <v>1236</v>
      </c>
      <c r="MGB2148" s="626" t="s">
        <v>1236</v>
      </c>
      <c r="MGC2148" s="626" t="s">
        <v>1236</v>
      </c>
      <c r="MGD2148" s="626" t="s">
        <v>1236</v>
      </c>
      <c r="MGE2148" s="626" t="s">
        <v>1236</v>
      </c>
      <c r="MGF2148" s="626" t="s">
        <v>1236</v>
      </c>
      <c r="MGG2148" s="626" t="s">
        <v>1236</v>
      </c>
      <c r="MGH2148" s="626" t="s">
        <v>1236</v>
      </c>
      <c r="MGI2148" s="626" t="s">
        <v>1236</v>
      </c>
      <c r="MGJ2148" s="626" t="s">
        <v>1236</v>
      </c>
      <c r="MGK2148" s="626" t="s">
        <v>1236</v>
      </c>
      <c r="MGL2148" s="626" t="s">
        <v>1236</v>
      </c>
      <c r="MGM2148" s="626" t="s">
        <v>1236</v>
      </c>
      <c r="MGN2148" s="626" t="s">
        <v>1236</v>
      </c>
      <c r="MGO2148" s="626" t="s">
        <v>1236</v>
      </c>
      <c r="MGP2148" s="626" t="s">
        <v>1236</v>
      </c>
      <c r="MGQ2148" s="626" t="s">
        <v>1236</v>
      </c>
      <c r="MGR2148" s="626" t="s">
        <v>1236</v>
      </c>
      <c r="MGS2148" s="626" t="s">
        <v>1236</v>
      </c>
      <c r="MGT2148" s="626" t="s">
        <v>1236</v>
      </c>
      <c r="MGU2148" s="626" t="s">
        <v>1236</v>
      </c>
      <c r="MGV2148" s="626" t="s">
        <v>1236</v>
      </c>
      <c r="MGW2148" s="626" t="s">
        <v>1236</v>
      </c>
      <c r="MGX2148" s="626" t="s">
        <v>1236</v>
      </c>
      <c r="MGY2148" s="626" t="s">
        <v>1236</v>
      </c>
      <c r="MGZ2148" s="626" t="s">
        <v>1236</v>
      </c>
      <c r="MHA2148" s="626" t="s">
        <v>1236</v>
      </c>
      <c r="MHB2148" s="626" t="s">
        <v>1236</v>
      </c>
      <c r="MHC2148" s="626" t="s">
        <v>1236</v>
      </c>
      <c r="MHD2148" s="626" t="s">
        <v>1236</v>
      </c>
      <c r="MHE2148" s="626" t="s">
        <v>1236</v>
      </c>
      <c r="MHF2148" s="626" t="s">
        <v>1236</v>
      </c>
      <c r="MHG2148" s="626" t="s">
        <v>1236</v>
      </c>
      <c r="MHH2148" s="626" t="s">
        <v>1236</v>
      </c>
      <c r="MHI2148" s="626" t="s">
        <v>1236</v>
      </c>
      <c r="MHJ2148" s="626" t="s">
        <v>1236</v>
      </c>
      <c r="MHK2148" s="626" t="s">
        <v>1236</v>
      </c>
      <c r="MHL2148" s="626" t="s">
        <v>1236</v>
      </c>
      <c r="MHM2148" s="626" t="s">
        <v>1236</v>
      </c>
      <c r="MHN2148" s="626" t="s">
        <v>1236</v>
      </c>
      <c r="MHO2148" s="626" t="s">
        <v>1236</v>
      </c>
      <c r="MHP2148" s="626" t="s">
        <v>1236</v>
      </c>
      <c r="MHQ2148" s="626" t="s">
        <v>1236</v>
      </c>
      <c r="MHR2148" s="626" t="s">
        <v>1236</v>
      </c>
      <c r="MHS2148" s="626" t="s">
        <v>1236</v>
      </c>
      <c r="MHT2148" s="626" t="s">
        <v>1236</v>
      </c>
      <c r="MHU2148" s="626" t="s">
        <v>1236</v>
      </c>
      <c r="MHV2148" s="626" t="s">
        <v>1236</v>
      </c>
      <c r="MHW2148" s="626" t="s">
        <v>1236</v>
      </c>
      <c r="MHX2148" s="626" t="s">
        <v>1236</v>
      </c>
      <c r="MHY2148" s="626" t="s">
        <v>1236</v>
      </c>
      <c r="MHZ2148" s="626" t="s">
        <v>1236</v>
      </c>
      <c r="MIA2148" s="626" t="s">
        <v>1236</v>
      </c>
      <c r="MIB2148" s="626" t="s">
        <v>1236</v>
      </c>
      <c r="MIC2148" s="626" t="s">
        <v>1236</v>
      </c>
      <c r="MID2148" s="626" t="s">
        <v>1236</v>
      </c>
      <c r="MIE2148" s="626" t="s">
        <v>1236</v>
      </c>
      <c r="MIF2148" s="626" t="s">
        <v>1236</v>
      </c>
      <c r="MIG2148" s="626" t="s">
        <v>1236</v>
      </c>
      <c r="MIH2148" s="626" t="s">
        <v>1236</v>
      </c>
      <c r="MII2148" s="626" t="s">
        <v>1236</v>
      </c>
      <c r="MIJ2148" s="626" t="s">
        <v>1236</v>
      </c>
      <c r="MIK2148" s="626" t="s">
        <v>1236</v>
      </c>
      <c r="MIL2148" s="626" t="s">
        <v>1236</v>
      </c>
      <c r="MIM2148" s="626" t="s">
        <v>1236</v>
      </c>
      <c r="MIN2148" s="626" t="s">
        <v>1236</v>
      </c>
      <c r="MIO2148" s="626" t="s">
        <v>1236</v>
      </c>
      <c r="MIP2148" s="626" t="s">
        <v>1236</v>
      </c>
      <c r="MIQ2148" s="626" t="s">
        <v>1236</v>
      </c>
      <c r="MIR2148" s="626" t="s">
        <v>1236</v>
      </c>
      <c r="MIS2148" s="626" t="s">
        <v>1236</v>
      </c>
      <c r="MIT2148" s="626" t="s">
        <v>1236</v>
      </c>
      <c r="MIU2148" s="626" t="s">
        <v>1236</v>
      </c>
      <c r="MIV2148" s="626" t="s">
        <v>1236</v>
      </c>
      <c r="MIW2148" s="626" t="s">
        <v>1236</v>
      </c>
      <c r="MIX2148" s="626" t="s">
        <v>1236</v>
      </c>
      <c r="MIY2148" s="626" t="s">
        <v>1236</v>
      </c>
      <c r="MIZ2148" s="626" t="s">
        <v>1236</v>
      </c>
      <c r="MJA2148" s="626" t="s">
        <v>1236</v>
      </c>
      <c r="MJB2148" s="626" t="s">
        <v>1236</v>
      </c>
      <c r="MJC2148" s="626" t="s">
        <v>1236</v>
      </c>
      <c r="MJD2148" s="626" t="s">
        <v>1236</v>
      </c>
      <c r="MJE2148" s="626" t="s">
        <v>1236</v>
      </c>
      <c r="MJF2148" s="626" t="s">
        <v>1236</v>
      </c>
      <c r="MJG2148" s="626" t="s">
        <v>1236</v>
      </c>
      <c r="MJH2148" s="626" t="s">
        <v>1236</v>
      </c>
      <c r="MJI2148" s="626" t="s">
        <v>1236</v>
      </c>
      <c r="MJJ2148" s="626" t="s">
        <v>1236</v>
      </c>
      <c r="MJK2148" s="626" t="s">
        <v>1236</v>
      </c>
      <c r="MJL2148" s="626" t="s">
        <v>1236</v>
      </c>
      <c r="MJM2148" s="626" t="s">
        <v>1236</v>
      </c>
      <c r="MJN2148" s="626" t="s">
        <v>1236</v>
      </c>
      <c r="MJO2148" s="626" t="s">
        <v>1236</v>
      </c>
      <c r="MJP2148" s="626" t="s">
        <v>1236</v>
      </c>
      <c r="MJQ2148" s="626" t="s">
        <v>1236</v>
      </c>
      <c r="MJR2148" s="626" t="s">
        <v>1236</v>
      </c>
      <c r="MJS2148" s="626" t="s">
        <v>1236</v>
      </c>
      <c r="MJT2148" s="626" t="s">
        <v>1236</v>
      </c>
      <c r="MJU2148" s="626" t="s">
        <v>1236</v>
      </c>
      <c r="MJV2148" s="626" t="s">
        <v>1236</v>
      </c>
      <c r="MJW2148" s="626" t="s">
        <v>1236</v>
      </c>
      <c r="MJX2148" s="626" t="s">
        <v>1236</v>
      </c>
      <c r="MJY2148" s="626" t="s">
        <v>1236</v>
      </c>
      <c r="MJZ2148" s="626" t="s">
        <v>1236</v>
      </c>
      <c r="MKA2148" s="626" t="s">
        <v>1236</v>
      </c>
      <c r="MKB2148" s="626" t="s">
        <v>1236</v>
      </c>
      <c r="MKC2148" s="626" t="s">
        <v>1236</v>
      </c>
      <c r="MKD2148" s="626" t="s">
        <v>1236</v>
      </c>
      <c r="MKE2148" s="626" t="s">
        <v>1236</v>
      </c>
      <c r="MKF2148" s="626" t="s">
        <v>1236</v>
      </c>
      <c r="MKG2148" s="626" t="s">
        <v>1236</v>
      </c>
      <c r="MKH2148" s="626" t="s">
        <v>1236</v>
      </c>
      <c r="MKI2148" s="626" t="s">
        <v>1236</v>
      </c>
      <c r="MKJ2148" s="626" t="s">
        <v>1236</v>
      </c>
      <c r="MKK2148" s="626" t="s">
        <v>1236</v>
      </c>
      <c r="MKL2148" s="626" t="s">
        <v>1236</v>
      </c>
      <c r="MKM2148" s="626" t="s">
        <v>1236</v>
      </c>
      <c r="MKN2148" s="626" t="s">
        <v>1236</v>
      </c>
      <c r="MKO2148" s="626" t="s">
        <v>1236</v>
      </c>
      <c r="MKP2148" s="626" t="s">
        <v>1236</v>
      </c>
      <c r="MKQ2148" s="626" t="s">
        <v>1236</v>
      </c>
      <c r="MKR2148" s="626" t="s">
        <v>1236</v>
      </c>
      <c r="MKS2148" s="626" t="s">
        <v>1236</v>
      </c>
      <c r="MKT2148" s="626" t="s">
        <v>1236</v>
      </c>
      <c r="MKU2148" s="626" t="s">
        <v>1236</v>
      </c>
      <c r="MKV2148" s="626" t="s">
        <v>1236</v>
      </c>
      <c r="MKW2148" s="626" t="s">
        <v>1236</v>
      </c>
      <c r="MKX2148" s="626" t="s">
        <v>1236</v>
      </c>
      <c r="MKY2148" s="626" t="s">
        <v>1236</v>
      </c>
      <c r="MKZ2148" s="626" t="s">
        <v>1236</v>
      </c>
      <c r="MLA2148" s="626" t="s">
        <v>1236</v>
      </c>
      <c r="MLB2148" s="626" t="s">
        <v>1236</v>
      </c>
      <c r="MLC2148" s="626" t="s">
        <v>1236</v>
      </c>
      <c r="MLD2148" s="626" t="s">
        <v>1236</v>
      </c>
      <c r="MLE2148" s="626" t="s">
        <v>1236</v>
      </c>
      <c r="MLF2148" s="626" t="s">
        <v>1236</v>
      </c>
      <c r="MLG2148" s="626" t="s">
        <v>1236</v>
      </c>
      <c r="MLH2148" s="626" t="s">
        <v>1236</v>
      </c>
      <c r="MLI2148" s="626" t="s">
        <v>1236</v>
      </c>
      <c r="MLJ2148" s="626" t="s">
        <v>1236</v>
      </c>
      <c r="MLK2148" s="626" t="s">
        <v>1236</v>
      </c>
      <c r="MLL2148" s="626" t="s">
        <v>1236</v>
      </c>
      <c r="MLM2148" s="626" t="s">
        <v>1236</v>
      </c>
      <c r="MLN2148" s="626" t="s">
        <v>1236</v>
      </c>
      <c r="MLO2148" s="626" t="s">
        <v>1236</v>
      </c>
      <c r="MLP2148" s="626" t="s">
        <v>1236</v>
      </c>
      <c r="MLQ2148" s="626" t="s">
        <v>1236</v>
      </c>
      <c r="MLR2148" s="626" t="s">
        <v>1236</v>
      </c>
      <c r="MLS2148" s="626" t="s">
        <v>1236</v>
      </c>
      <c r="MLT2148" s="626" t="s">
        <v>1236</v>
      </c>
      <c r="MLU2148" s="626" t="s">
        <v>1236</v>
      </c>
      <c r="MLV2148" s="626" t="s">
        <v>1236</v>
      </c>
      <c r="MLW2148" s="626" t="s">
        <v>1236</v>
      </c>
      <c r="MLX2148" s="626" t="s">
        <v>1236</v>
      </c>
      <c r="MLY2148" s="626" t="s">
        <v>1236</v>
      </c>
      <c r="MLZ2148" s="626" t="s">
        <v>1236</v>
      </c>
      <c r="MMA2148" s="626" t="s">
        <v>1236</v>
      </c>
      <c r="MMB2148" s="626" t="s">
        <v>1236</v>
      </c>
      <c r="MMC2148" s="626" t="s">
        <v>1236</v>
      </c>
      <c r="MMD2148" s="626" t="s">
        <v>1236</v>
      </c>
      <c r="MME2148" s="626" t="s">
        <v>1236</v>
      </c>
      <c r="MMF2148" s="626" t="s">
        <v>1236</v>
      </c>
      <c r="MMG2148" s="626" t="s">
        <v>1236</v>
      </c>
      <c r="MMH2148" s="626" t="s">
        <v>1236</v>
      </c>
      <c r="MMI2148" s="626" t="s">
        <v>1236</v>
      </c>
      <c r="MMJ2148" s="626" t="s">
        <v>1236</v>
      </c>
      <c r="MMK2148" s="626" t="s">
        <v>1236</v>
      </c>
      <c r="MML2148" s="626" t="s">
        <v>1236</v>
      </c>
      <c r="MMM2148" s="626" t="s">
        <v>1236</v>
      </c>
      <c r="MMN2148" s="626" t="s">
        <v>1236</v>
      </c>
      <c r="MMO2148" s="626" t="s">
        <v>1236</v>
      </c>
      <c r="MMP2148" s="626" t="s">
        <v>1236</v>
      </c>
      <c r="MMQ2148" s="626" t="s">
        <v>1236</v>
      </c>
      <c r="MMR2148" s="626" t="s">
        <v>1236</v>
      </c>
      <c r="MMS2148" s="626" t="s">
        <v>1236</v>
      </c>
      <c r="MMT2148" s="626" t="s">
        <v>1236</v>
      </c>
      <c r="MMU2148" s="626" t="s">
        <v>1236</v>
      </c>
      <c r="MMV2148" s="626" t="s">
        <v>1236</v>
      </c>
      <c r="MMW2148" s="626" t="s">
        <v>1236</v>
      </c>
      <c r="MMX2148" s="626" t="s">
        <v>1236</v>
      </c>
      <c r="MMY2148" s="626" t="s">
        <v>1236</v>
      </c>
      <c r="MMZ2148" s="626" t="s">
        <v>1236</v>
      </c>
      <c r="MNA2148" s="626" t="s">
        <v>1236</v>
      </c>
      <c r="MNB2148" s="626" t="s">
        <v>1236</v>
      </c>
      <c r="MNC2148" s="626" t="s">
        <v>1236</v>
      </c>
      <c r="MND2148" s="626" t="s">
        <v>1236</v>
      </c>
      <c r="MNE2148" s="626" t="s">
        <v>1236</v>
      </c>
      <c r="MNF2148" s="626" t="s">
        <v>1236</v>
      </c>
      <c r="MNG2148" s="626" t="s">
        <v>1236</v>
      </c>
      <c r="MNH2148" s="626" t="s">
        <v>1236</v>
      </c>
      <c r="MNI2148" s="626" t="s">
        <v>1236</v>
      </c>
      <c r="MNJ2148" s="626" t="s">
        <v>1236</v>
      </c>
      <c r="MNK2148" s="626" t="s">
        <v>1236</v>
      </c>
      <c r="MNL2148" s="626" t="s">
        <v>1236</v>
      </c>
      <c r="MNM2148" s="626" t="s">
        <v>1236</v>
      </c>
      <c r="MNN2148" s="626" t="s">
        <v>1236</v>
      </c>
      <c r="MNO2148" s="626" t="s">
        <v>1236</v>
      </c>
      <c r="MNP2148" s="626" t="s">
        <v>1236</v>
      </c>
      <c r="MNQ2148" s="626" t="s">
        <v>1236</v>
      </c>
      <c r="MNR2148" s="626" t="s">
        <v>1236</v>
      </c>
      <c r="MNS2148" s="626" t="s">
        <v>1236</v>
      </c>
      <c r="MNT2148" s="626" t="s">
        <v>1236</v>
      </c>
      <c r="MNU2148" s="626" t="s">
        <v>1236</v>
      </c>
      <c r="MNV2148" s="626" t="s">
        <v>1236</v>
      </c>
      <c r="MNW2148" s="626" t="s">
        <v>1236</v>
      </c>
      <c r="MNX2148" s="626" t="s">
        <v>1236</v>
      </c>
      <c r="MNY2148" s="626" t="s">
        <v>1236</v>
      </c>
      <c r="MNZ2148" s="626" t="s">
        <v>1236</v>
      </c>
      <c r="MOA2148" s="626" t="s">
        <v>1236</v>
      </c>
      <c r="MOB2148" s="626" t="s">
        <v>1236</v>
      </c>
      <c r="MOC2148" s="626" t="s">
        <v>1236</v>
      </c>
      <c r="MOD2148" s="626" t="s">
        <v>1236</v>
      </c>
      <c r="MOE2148" s="626" t="s">
        <v>1236</v>
      </c>
      <c r="MOF2148" s="626" t="s">
        <v>1236</v>
      </c>
      <c r="MOG2148" s="626" t="s">
        <v>1236</v>
      </c>
      <c r="MOH2148" s="626" t="s">
        <v>1236</v>
      </c>
      <c r="MOI2148" s="626" t="s">
        <v>1236</v>
      </c>
      <c r="MOJ2148" s="626" t="s">
        <v>1236</v>
      </c>
      <c r="MOK2148" s="626" t="s">
        <v>1236</v>
      </c>
      <c r="MOL2148" s="626" t="s">
        <v>1236</v>
      </c>
      <c r="MOM2148" s="626" t="s">
        <v>1236</v>
      </c>
      <c r="MON2148" s="626" t="s">
        <v>1236</v>
      </c>
      <c r="MOO2148" s="626" t="s">
        <v>1236</v>
      </c>
      <c r="MOP2148" s="626" t="s">
        <v>1236</v>
      </c>
      <c r="MOQ2148" s="626" t="s">
        <v>1236</v>
      </c>
      <c r="MOR2148" s="626" t="s">
        <v>1236</v>
      </c>
      <c r="MOS2148" s="626" t="s">
        <v>1236</v>
      </c>
      <c r="MOT2148" s="626" t="s">
        <v>1236</v>
      </c>
      <c r="MOU2148" s="626" t="s">
        <v>1236</v>
      </c>
      <c r="MOV2148" s="626" t="s">
        <v>1236</v>
      </c>
      <c r="MOW2148" s="626" t="s">
        <v>1236</v>
      </c>
      <c r="MOX2148" s="626" t="s">
        <v>1236</v>
      </c>
      <c r="MOY2148" s="626" t="s">
        <v>1236</v>
      </c>
      <c r="MOZ2148" s="626" t="s">
        <v>1236</v>
      </c>
      <c r="MPA2148" s="626" t="s">
        <v>1236</v>
      </c>
      <c r="MPB2148" s="626" t="s">
        <v>1236</v>
      </c>
      <c r="MPC2148" s="626" t="s">
        <v>1236</v>
      </c>
      <c r="MPD2148" s="626" t="s">
        <v>1236</v>
      </c>
      <c r="MPE2148" s="626" t="s">
        <v>1236</v>
      </c>
      <c r="MPF2148" s="626" t="s">
        <v>1236</v>
      </c>
      <c r="MPG2148" s="626" t="s">
        <v>1236</v>
      </c>
      <c r="MPH2148" s="626" t="s">
        <v>1236</v>
      </c>
      <c r="MPI2148" s="626" t="s">
        <v>1236</v>
      </c>
      <c r="MPJ2148" s="626" t="s">
        <v>1236</v>
      </c>
      <c r="MPK2148" s="626" t="s">
        <v>1236</v>
      </c>
      <c r="MPL2148" s="626" t="s">
        <v>1236</v>
      </c>
      <c r="MPM2148" s="626" t="s">
        <v>1236</v>
      </c>
      <c r="MPN2148" s="626" t="s">
        <v>1236</v>
      </c>
      <c r="MPO2148" s="626" t="s">
        <v>1236</v>
      </c>
      <c r="MPP2148" s="626" t="s">
        <v>1236</v>
      </c>
      <c r="MPQ2148" s="626" t="s">
        <v>1236</v>
      </c>
      <c r="MPR2148" s="626" t="s">
        <v>1236</v>
      </c>
      <c r="MPS2148" s="626" t="s">
        <v>1236</v>
      </c>
      <c r="MPT2148" s="626" t="s">
        <v>1236</v>
      </c>
      <c r="MPU2148" s="626" t="s">
        <v>1236</v>
      </c>
      <c r="MPV2148" s="626" t="s">
        <v>1236</v>
      </c>
      <c r="MPW2148" s="626" t="s">
        <v>1236</v>
      </c>
      <c r="MPX2148" s="626" t="s">
        <v>1236</v>
      </c>
      <c r="MPY2148" s="626" t="s">
        <v>1236</v>
      </c>
      <c r="MPZ2148" s="626" t="s">
        <v>1236</v>
      </c>
      <c r="MQA2148" s="626" t="s">
        <v>1236</v>
      </c>
      <c r="MQB2148" s="626" t="s">
        <v>1236</v>
      </c>
      <c r="MQC2148" s="626" t="s">
        <v>1236</v>
      </c>
      <c r="MQD2148" s="626" t="s">
        <v>1236</v>
      </c>
      <c r="MQE2148" s="626" t="s">
        <v>1236</v>
      </c>
      <c r="MQF2148" s="626" t="s">
        <v>1236</v>
      </c>
      <c r="MQG2148" s="626" t="s">
        <v>1236</v>
      </c>
      <c r="MQH2148" s="626" t="s">
        <v>1236</v>
      </c>
      <c r="MQI2148" s="626" t="s">
        <v>1236</v>
      </c>
      <c r="MQJ2148" s="626" t="s">
        <v>1236</v>
      </c>
      <c r="MQK2148" s="626" t="s">
        <v>1236</v>
      </c>
      <c r="MQL2148" s="626" t="s">
        <v>1236</v>
      </c>
      <c r="MQM2148" s="626" t="s">
        <v>1236</v>
      </c>
      <c r="MQN2148" s="626" t="s">
        <v>1236</v>
      </c>
      <c r="MQO2148" s="626" t="s">
        <v>1236</v>
      </c>
      <c r="MQP2148" s="626" t="s">
        <v>1236</v>
      </c>
      <c r="MQQ2148" s="626" t="s">
        <v>1236</v>
      </c>
      <c r="MQR2148" s="626" t="s">
        <v>1236</v>
      </c>
      <c r="MQS2148" s="626" t="s">
        <v>1236</v>
      </c>
      <c r="MQT2148" s="626" t="s">
        <v>1236</v>
      </c>
      <c r="MQU2148" s="626" t="s">
        <v>1236</v>
      </c>
      <c r="MQV2148" s="626" t="s">
        <v>1236</v>
      </c>
      <c r="MQW2148" s="626" t="s">
        <v>1236</v>
      </c>
      <c r="MQX2148" s="626" t="s">
        <v>1236</v>
      </c>
      <c r="MQY2148" s="626" t="s">
        <v>1236</v>
      </c>
      <c r="MQZ2148" s="626" t="s">
        <v>1236</v>
      </c>
      <c r="MRA2148" s="626" t="s">
        <v>1236</v>
      </c>
      <c r="MRB2148" s="626" t="s">
        <v>1236</v>
      </c>
      <c r="MRC2148" s="626" t="s">
        <v>1236</v>
      </c>
      <c r="MRD2148" s="626" t="s">
        <v>1236</v>
      </c>
      <c r="MRE2148" s="626" t="s">
        <v>1236</v>
      </c>
      <c r="MRF2148" s="626" t="s">
        <v>1236</v>
      </c>
      <c r="MRG2148" s="626" t="s">
        <v>1236</v>
      </c>
      <c r="MRH2148" s="626" t="s">
        <v>1236</v>
      </c>
      <c r="MRI2148" s="626" t="s">
        <v>1236</v>
      </c>
      <c r="MRJ2148" s="626" t="s">
        <v>1236</v>
      </c>
      <c r="MRK2148" s="626" t="s">
        <v>1236</v>
      </c>
      <c r="MRL2148" s="626" t="s">
        <v>1236</v>
      </c>
      <c r="MRM2148" s="626" t="s">
        <v>1236</v>
      </c>
      <c r="MRN2148" s="626" t="s">
        <v>1236</v>
      </c>
      <c r="MRO2148" s="626" t="s">
        <v>1236</v>
      </c>
      <c r="MRP2148" s="626" t="s">
        <v>1236</v>
      </c>
      <c r="MRQ2148" s="626" t="s">
        <v>1236</v>
      </c>
      <c r="MRR2148" s="626" t="s">
        <v>1236</v>
      </c>
      <c r="MRS2148" s="626" t="s">
        <v>1236</v>
      </c>
      <c r="MRT2148" s="626" t="s">
        <v>1236</v>
      </c>
      <c r="MRU2148" s="626" t="s">
        <v>1236</v>
      </c>
      <c r="MRV2148" s="626" t="s">
        <v>1236</v>
      </c>
      <c r="MRW2148" s="626" t="s">
        <v>1236</v>
      </c>
      <c r="MRX2148" s="626" t="s">
        <v>1236</v>
      </c>
      <c r="MRY2148" s="626" t="s">
        <v>1236</v>
      </c>
      <c r="MRZ2148" s="626" t="s">
        <v>1236</v>
      </c>
      <c r="MSA2148" s="626" t="s">
        <v>1236</v>
      </c>
      <c r="MSB2148" s="626" t="s">
        <v>1236</v>
      </c>
      <c r="MSC2148" s="626" t="s">
        <v>1236</v>
      </c>
      <c r="MSD2148" s="626" t="s">
        <v>1236</v>
      </c>
      <c r="MSE2148" s="626" t="s">
        <v>1236</v>
      </c>
      <c r="MSF2148" s="626" t="s">
        <v>1236</v>
      </c>
      <c r="MSG2148" s="626" t="s">
        <v>1236</v>
      </c>
      <c r="MSH2148" s="626" t="s">
        <v>1236</v>
      </c>
      <c r="MSI2148" s="626" t="s">
        <v>1236</v>
      </c>
      <c r="MSJ2148" s="626" t="s">
        <v>1236</v>
      </c>
      <c r="MSK2148" s="626" t="s">
        <v>1236</v>
      </c>
      <c r="MSL2148" s="626" t="s">
        <v>1236</v>
      </c>
      <c r="MSM2148" s="626" t="s">
        <v>1236</v>
      </c>
      <c r="MSN2148" s="626" t="s">
        <v>1236</v>
      </c>
      <c r="MSO2148" s="626" t="s">
        <v>1236</v>
      </c>
      <c r="MSP2148" s="626" t="s">
        <v>1236</v>
      </c>
      <c r="MSQ2148" s="626" t="s">
        <v>1236</v>
      </c>
      <c r="MSR2148" s="626" t="s">
        <v>1236</v>
      </c>
      <c r="MSS2148" s="626" t="s">
        <v>1236</v>
      </c>
      <c r="MST2148" s="626" t="s">
        <v>1236</v>
      </c>
      <c r="MSU2148" s="626" t="s">
        <v>1236</v>
      </c>
      <c r="MSV2148" s="626" t="s">
        <v>1236</v>
      </c>
      <c r="MSW2148" s="626" t="s">
        <v>1236</v>
      </c>
      <c r="MSX2148" s="626" t="s">
        <v>1236</v>
      </c>
      <c r="MSY2148" s="626" t="s">
        <v>1236</v>
      </c>
      <c r="MSZ2148" s="626" t="s">
        <v>1236</v>
      </c>
      <c r="MTA2148" s="626" t="s">
        <v>1236</v>
      </c>
      <c r="MTB2148" s="626" t="s">
        <v>1236</v>
      </c>
      <c r="MTC2148" s="626" t="s">
        <v>1236</v>
      </c>
      <c r="MTD2148" s="626" t="s">
        <v>1236</v>
      </c>
      <c r="MTE2148" s="626" t="s">
        <v>1236</v>
      </c>
      <c r="MTF2148" s="626" t="s">
        <v>1236</v>
      </c>
      <c r="MTG2148" s="626" t="s">
        <v>1236</v>
      </c>
      <c r="MTH2148" s="626" t="s">
        <v>1236</v>
      </c>
      <c r="MTI2148" s="626" t="s">
        <v>1236</v>
      </c>
      <c r="MTJ2148" s="626" t="s">
        <v>1236</v>
      </c>
      <c r="MTK2148" s="626" t="s">
        <v>1236</v>
      </c>
      <c r="MTL2148" s="626" t="s">
        <v>1236</v>
      </c>
      <c r="MTM2148" s="626" t="s">
        <v>1236</v>
      </c>
      <c r="MTN2148" s="626" t="s">
        <v>1236</v>
      </c>
      <c r="MTO2148" s="626" t="s">
        <v>1236</v>
      </c>
      <c r="MTP2148" s="626" t="s">
        <v>1236</v>
      </c>
      <c r="MTQ2148" s="626" t="s">
        <v>1236</v>
      </c>
      <c r="MTR2148" s="626" t="s">
        <v>1236</v>
      </c>
      <c r="MTS2148" s="626" t="s">
        <v>1236</v>
      </c>
      <c r="MTT2148" s="626" t="s">
        <v>1236</v>
      </c>
      <c r="MTU2148" s="626" t="s">
        <v>1236</v>
      </c>
      <c r="MTV2148" s="626" t="s">
        <v>1236</v>
      </c>
      <c r="MTW2148" s="626" t="s">
        <v>1236</v>
      </c>
      <c r="MTX2148" s="626" t="s">
        <v>1236</v>
      </c>
      <c r="MTY2148" s="626" t="s">
        <v>1236</v>
      </c>
      <c r="MTZ2148" s="626" t="s">
        <v>1236</v>
      </c>
      <c r="MUA2148" s="626" t="s">
        <v>1236</v>
      </c>
      <c r="MUB2148" s="626" t="s">
        <v>1236</v>
      </c>
      <c r="MUC2148" s="626" t="s">
        <v>1236</v>
      </c>
      <c r="MUD2148" s="626" t="s">
        <v>1236</v>
      </c>
      <c r="MUE2148" s="626" t="s">
        <v>1236</v>
      </c>
      <c r="MUF2148" s="626" t="s">
        <v>1236</v>
      </c>
      <c r="MUG2148" s="626" t="s">
        <v>1236</v>
      </c>
      <c r="MUH2148" s="626" t="s">
        <v>1236</v>
      </c>
      <c r="MUI2148" s="626" t="s">
        <v>1236</v>
      </c>
      <c r="MUJ2148" s="626" t="s">
        <v>1236</v>
      </c>
      <c r="MUK2148" s="626" t="s">
        <v>1236</v>
      </c>
      <c r="MUL2148" s="626" t="s">
        <v>1236</v>
      </c>
      <c r="MUM2148" s="626" t="s">
        <v>1236</v>
      </c>
      <c r="MUN2148" s="626" t="s">
        <v>1236</v>
      </c>
      <c r="MUO2148" s="626" t="s">
        <v>1236</v>
      </c>
      <c r="MUP2148" s="626" t="s">
        <v>1236</v>
      </c>
      <c r="MUQ2148" s="626" t="s">
        <v>1236</v>
      </c>
      <c r="MUR2148" s="626" t="s">
        <v>1236</v>
      </c>
      <c r="MUS2148" s="626" t="s">
        <v>1236</v>
      </c>
      <c r="MUT2148" s="626" t="s">
        <v>1236</v>
      </c>
      <c r="MUU2148" s="626" t="s">
        <v>1236</v>
      </c>
      <c r="MUV2148" s="626" t="s">
        <v>1236</v>
      </c>
      <c r="MUW2148" s="626" t="s">
        <v>1236</v>
      </c>
      <c r="MUX2148" s="626" t="s">
        <v>1236</v>
      </c>
      <c r="MUY2148" s="626" t="s">
        <v>1236</v>
      </c>
      <c r="MUZ2148" s="626" t="s">
        <v>1236</v>
      </c>
      <c r="MVA2148" s="626" t="s">
        <v>1236</v>
      </c>
      <c r="MVB2148" s="626" t="s">
        <v>1236</v>
      </c>
      <c r="MVC2148" s="626" t="s">
        <v>1236</v>
      </c>
      <c r="MVD2148" s="626" t="s">
        <v>1236</v>
      </c>
      <c r="MVE2148" s="626" t="s">
        <v>1236</v>
      </c>
      <c r="MVF2148" s="626" t="s">
        <v>1236</v>
      </c>
      <c r="MVG2148" s="626" t="s">
        <v>1236</v>
      </c>
      <c r="MVH2148" s="626" t="s">
        <v>1236</v>
      </c>
      <c r="MVI2148" s="626" t="s">
        <v>1236</v>
      </c>
      <c r="MVJ2148" s="626" t="s">
        <v>1236</v>
      </c>
      <c r="MVK2148" s="626" t="s">
        <v>1236</v>
      </c>
      <c r="MVL2148" s="626" t="s">
        <v>1236</v>
      </c>
      <c r="MVM2148" s="626" t="s">
        <v>1236</v>
      </c>
      <c r="MVN2148" s="626" t="s">
        <v>1236</v>
      </c>
      <c r="MVO2148" s="626" t="s">
        <v>1236</v>
      </c>
      <c r="MVP2148" s="626" t="s">
        <v>1236</v>
      </c>
      <c r="MVQ2148" s="626" t="s">
        <v>1236</v>
      </c>
      <c r="MVR2148" s="626" t="s">
        <v>1236</v>
      </c>
      <c r="MVS2148" s="626" t="s">
        <v>1236</v>
      </c>
      <c r="MVT2148" s="626" t="s">
        <v>1236</v>
      </c>
      <c r="MVU2148" s="626" t="s">
        <v>1236</v>
      </c>
      <c r="MVV2148" s="626" t="s">
        <v>1236</v>
      </c>
      <c r="MVW2148" s="626" t="s">
        <v>1236</v>
      </c>
      <c r="MVX2148" s="626" t="s">
        <v>1236</v>
      </c>
      <c r="MVY2148" s="626" t="s">
        <v>1236</v>
      </c>
      <c r="MVZ2148" s="626" t="s">
        <v>1236</v>
      </c>
      <c r="MWA2148" s="626" t="s">
        <v>1236</v>
      </c>
      <c r="MWB2148" s="626" t="s">
        <v>1236</v>
      </c>
      <c r="MWC2148" s="626" t="s">
        <v>1236</v>
      </c>
      <c r="MWD2148" s="626" t="s">
        <v>1236</v>
      </c>
      <c r="MWE2148" s="626" t="s">
        <v>1236</v>
      </c>
      <c r="MWF2148" s="626" t="s">
        <v>1236</v>
      </c>
      <c r="MWG2148" s="626" t="s">
        <v>1236</v>
      </c>
      <c r="MWH2148" s="626" t="s">
        <v>1236</v>
      </c>
      <c r="MWI2148" s="626" t="s">
        <v>1236</v>
      </c>
      <c r="MWJ2148" s="626" t="s">
        <v>1236</v>
      </c>
      <c r="MWK2148" s="626" t="s">
        <v>1236</v>
      </c>
      <c r="MWL2148" s="626" t="s">
        <v>1236</v>
      </c>
      <c r="MWM2148" s="626" t="s">
        <v>1236</v>
      </c>
      <c r="MWN2148" s="626" t="s">
        <v>1236</v>
      </c>
      <c r="MWO2148" s="626" t="s">
        <v>1236</v>
      </c>
      <c r="MWP2148" s="626" t="s">
        <v>1236</v>
      </c>
      <c r="MWQ2148" s="626" t="s">
        <v>1236</v>
      </c>
      <c r="MWR2148" s="626" t="s">
        <v>1236</v>
      </c>
      <c r="MWS2148" s="626" t="s">
        <v>1236</v>
      </c>
      <c r="MWT2148" s="626" t="s">
        <v>1236</v>
      </c>
      <c r="MWU2148" s="626" t="s">
        <v>1236</v>
      </c>
      <c r="MWV2148" s="626" t="s">
        <v>1236</v>
      </c>
      <c r="MWW2148" s="626" t="s">
        <v>1236</v>
      </c>
      <c r="MWX2148" s="626" t="s">
        <v>1236</v>
      </c>
      <c r="MWY2148" s="626" t="s">
        <v>1236</v>
      </c>
      <c r="MWZ2148" s="626" t="s">
        <v>1236</v>
      </c>
      <c r="MXA2148" s="626" t="s">
        <v>1236</v>
      </c>
      <c r="MXB2148" s="626" t="s">
        <v>1236</v>
      </c>
      <c r="MXC2148" s="626" t="s">
        <v>1236</v>
      </c>
      <c r="MXD2148" s="626" t="s">
        <v>1236</v>
      </c>
      <c r="MXE2148" s="626" t="s">
        <v>1236</v>
      </c>
      <c r="MXF2148" s="626" t="s">
        <v>1236</v>
      </c>
      <c r="MXG2148" s="626" t="s">
        <v>1236</v>
      </c>
      <c r="MXH2148" s="626" t="s">
        <v>1236</v>
      </c>
      <c r="MXI2148" s="626" t="s">
        <v>1236</v>
      </c>
      <c r="MXJ2148" s="626" t="s">
        <v>1236</v>
      </c>
      <c r="MXK2148" s="626" t="s">
        <v>1236</v>
      </c>
      <c r="MXL2148" s="626" t="s">
        <v>1236</v>
      </c>
      <c r="MXM2148" s="626" t="s">
        <v>1236</v>
      </c>
      <c r="MXN2148" s="626" t="s">
        <v>1236</v>
      </c>
      <c r="MXO2148" s="626" t="s">
        <v>1236</v>
      </c>
      <c r="MXP2148" s="626" t="s">
        <v>1236</v>
      </c>
      <c r="MXQ2148" s="626" t="s">
        <v>1236</v>
      </c>
      <c r="MXR2148" s="626" t="s">
        <v>1236</v>
      </c>
      <c r="MXS2148" s="626" t="s">
        <v>1236</v>
      </c>
      <c r="MXT2148" s="626" t="s">
        <v>1236</v>
      </c>
      <c r="MXU2148" s="626" t="s">
        <v>1236</v>
      </c>
      <c r="MXV2148" s="626" t="s">
        <v>1236</v>
      </c>
      <c r="MXW2148" s="626" t="s">
        <v>1236</v>
      </c>
      <c r="MXX2148" s="626" t="s">
        <v>1236</v>
      </c>
      <c r="MXY2148" s="626" t="s">
        <v>1236</v>
      </c>
      <c r="MXZ2148" s="626" t="s">
        <v>1236</v>
      </c>
      <c r="MYA2148" s="626" t="s">
        <v>1236</v>
      </c>
      <c r="MYB2148" s="626" t="s">
        <v>1236</v>
      </c>
      <c r="MYC2148" s="626" t="s">
        <v>1236</v>
      </c>
      <c r="MYD2148" s="626" t="s">
        <v>1236</v>
      </c>
      <c r="MYE2148" s="626" t="s">
        <v>1236</v>
      </c>
      <c r="MYF2148" s="626" t="s">
        <v>1236</v>
      </c>
      <c r="MYG2148" s="626" t="s">
        <v>1236</v>
      </c>
      <c r="MYH2148" s="626" t="s">
        <v>1236</v>
      </c>
      <c r="MYI2148" s="626" t="s">
        <v>1236</v>
      </c>
      <c r="MYJ2148" s="626" t="s">
        <v>1236</v>
      </c>
      <c r="MYK2148" s="626" t="s">
        <v>1236</v>
      </c>
      <c r="MYL2148" s="626" t="s">
        <v>1236</v>
      </c>
      <c r="MYM2148" s="626" t="s">
        <v>1236</v>
      </c>
      <c r="MYN2148" s="626" t="s">
        <v>1236</v>
      </c>
      <c r="MYO2148" s="626" t="s">
        <v>1236</v>
      </c>
      <c r="MYP2148" s="626" t="s">
        <v>1236</v>
      </c>
      <c r="MYQ2148" s="626" t="s">
        <v>1236</v>
      </c>
      <c r="MYR2148" s="626" t="s">
        <v>1236</v>
      </c>
      <c r="MYS2148" s="626" t="s">
        <v>1236</v>
      </c>
      <c r="MYT2148" s="626" t="s">
        <v>1236</v>
      </c>
      <c r="MYU2148" s="626" t="s">
        <v>1236</v>
      </c>
      <c r="MYV2148" s="626" t="s">
        <v>1236</v>
      </c>
      <c r="MYW2148" s="626" t="s">
        <v>1236</v>
      </c>
      <c r="MYX2148" s="626" t="s">
        <v>1236</v>
      </c>
      <c r="MYY2148" s="626" t="s">
        <v>1236</v>
      </c>
      <c r="MYZ2148" s="626" t="s">
        <v>1236</v>
      </c>
      <c r="MZA2148" s="626" t="s">
        <v>1236</v>
      </c>
      <c r="MZB2148" s="626" t="s">
        <v>1236</v>
      </c>
      <c r="MZC2148" s="626" t="s">
        <v>1236</v>
      </c>
      <c r="MZD2148" s="626" t="s">
        <v>1236</v>
      </c>
      <c r="MZE2148" s="626" t="s">
        <v>1236</v>
      </c>
      <c r="MZF2148" s="626" t="s">
        <v>1236</v>
      </c>
      <c r="MZG2148" s="626" t="s">
        <v>1236</v>
      </c>
      <c r="MZH2148" s="626" t="s">
        <v>1236</v>
      </c>
      <c r="MZI2148" s="626" t="s">
        <v>1236</v>
      </c>
      <c r="MZJ2148" s="626" t="s">
        <v>1236</v>
      </c>
      <c r="MZK2148" s="626" t="s">
        <v>1236</v>
      </c>
      <c r="MZL2148" s="626" t="s">
        <v>1236</v>
      </c>
      <c r="MZM2148" s="626" t="s">
        <v>1236</v>
      </c>
      <c r="MZN2148" s="626" t="s">
        <v>1236</v>
      </c>
      <c r="MZO2148" s="626" t="s">
        <v>1236</v>
      </c>
      <c r="MZP2148" s="626" t="s">
        <v>1236</v>
      </c>
      <c r="MZQ2148" s="626" t="s">
        <v>1236</v>
      </c>
      <c r="MZR2148" s="626" t="s">
        <v>1236</v>
      </c>
      <c r="MZS2148" s="626" t="s">
        <v>1236</v>
      </c>
      <c r="MZT2148" s="626" t="s">
        <v>1236</v>
      </c>
      <c r="MZU2148" s="626" t="s">
        <v>1236</v>
      </c>
      <c r="MZV2148" s="626" t="s">
        <v>1236</v>
      </c>
      <c r="MZW2148" s="626" t="s">
        <v>1236</v>
      </c>
      <c r="MZX2148" s="626" t="s">
        <v>1236</v>
      </c>
      <c r="MZY2148" s="626" t="s">
        <v>1236</v>
      </c>
      <c r="MZZ2148" s="626" t="s">
        <v>1236</v>
      </c>
      <c r="NAA2148" s="626" t="s">
        <v>1236</v>
      </c>
      <c r="NAB2148" s="626" t="s">
        <v>1236</v>
      </c>
      <c r="NAC2148" s="626" t="s">
        <v>1236</v>
      </c>
      <c r="NAD2148" s="626" t="s">
        <v>1236</v>
      </c>
      <c r="NAE2148" s="626" t="s">
        <v>1236</v>
      </c>
      <c r="NAF2148" s="626" t="s">
        <v>1236</v>
      </c>
      <c r="NAG2148" s="626" t="s">
        <v>1236</v>
      </c>
      <c r="NAH2148" s="626" t="s">
        <v>1236</v>
      </c>
      <c r="NAI2148" s="626" t="s">
        <v>1236</v>
      </c>
      <c r="NAJ2148" s="626" t="s">
        <v>1236</v>
      </c>
      <c r="NAK2148" s="626" t="s">
        <v>1236</v>
      </c>
      <c r="NAL2148" s="626" t="s">
        <v>1236</v>
      </c>
      <c r="NAM2148" s="626" t="s">
        <v>1236</v>
      </c>
      <c r="NAN2148" s="626" t="s">
        <v>1236</v>
      </c>
      <c r="NAO2148" s="626" t="s">
        <v>1236</v>
      </c>
      <c r="NAP2148" s="626" t="s">
        <v>1236</v>
      </c>
      <c r="NAQ2148" s="626" t="s">
        <v>1236</v>
      </c>
      <c r="NAR2148" s="626" t="s">
        <v>1236</v>
      </c>
      <c r="NAS2148" s="626" t="s">
        <v>1236</v>
      </c>
      <c r="NAT2148" s="626" t="s">
        <v>1236</v>
      </c>
      <c r="NAU2148" s="626" t="s">
        <v>1236</v>
      </c>
      <c r="NAV2148" s="626" t="s">
        <v>1236</v>
      </c>
      <c r="NAW2148" s="626" t="s">
        <v>1236</v>
      </c>
      <c r="NAX2148" s="626" t="s">
        <v>1236</v>
      </c>
      <c r="NAY2148" s="626" t="s">
        <v>1236</v>
      </c>
      <c r="NAZ2148" s="626" t="s">
        <v>1236</v>
      </c>
      <c r="NBA2148" s="626" t="s">
        <v>1236</v>
      </c>
      <c r="NBB2148" s="626" t="s">
        <v>1236</v>
      </c>
      <c r="NBC2148" s="626" t="s">
        <v>1236</v>
      </c>
      <c r="NBD2148" s="626" t="s">
        <v>1236</v>
      </c>
      <c r="NBE2148" s="626" t="s">
        <v>1236</v>
      </c>
      <c r="NBF2148" s="626" t="s">
        <v>1236</v>
      </c>
      <c r="NBG2148" s="626" t="s">
        <v>1236</v>
      </c>
      <c r="NBH2148" s="626" t="s">
        <v>1236</v>
      </c>
      <c r="NBI2148" s="626" t="s">
        <v>1236</v>
      </c>
      <c r="NBJ2148" s="626" t="s">
        <v>1236</v>
      </c>
      <c r="NBK2148" s="626" t="s">
        <v>1236</v>
      </c>
      <c r="NBL2148" s="626" t="s">
        <v>1236</v>
      </c>
      <c r="NBM2148" s="626" t="s">
        <v>1236</v>
      </c>
      <c r="NBN2148" s="626" t="s">
        <v>1236</v>
      </c>
      <c r="NBO2148" s="626" t="s">
        <v>1236</v>
      </c>
      <c r="NBP2148" s="626" t="s">
        <v>1236</v>
      </c>
      <c r="NBQ2148" s="626" t="s">
        <v>1236</v>
      </c>
      <c r="NBR2148" s="626" t="s">
        <v>1236</v>
      </c>
      <c r="NBS2148" s="626" t="s">
        <v>1236</v>
      </c>
      <c r="NBT2148" s="626" t="s">
        <v>1236</v>
      </c>
      <c r="NBU2148" s="626" t="s">
        <v>1236</v>
      </c>
      <c r="NBV2148" s="626" t="s">
        <v>1236</v>
      </c>
      <c r="NBW2148" s="626" t="s">
        <v>1236</v>
      </c>
      <c r="NBX2148" s="626" t="s">
        <v>1236</v>
      </c>
      <c r="NBY2148" s="626" t="s">
        <v>1236</v>
      </c>
      <c r="NBZ2148" s="626" t="s">
        <v>1236</v>
      </c>
      <c r="NCA2148" s="626" t="s">
        <v>1236</v>
      </c>
      <c r="NCB2148" s="626" t="s">
        <v>1236</v>
      </c>
      <c r="NCC2148" s="626" t="s">
        <v>1236</v>
      </c>
      <c r="NCD2148" s="626" t="s">
        <v>1236</v>
      </c>
      <c r="NCE2148" s="626" t="s">
        <v>1236</v>
      </c>
      <c r="NCF2148" s="626" t="s">
        <v>1236</v>
      </c>
      <c r="NCG2148" s="626" t="s">
        <v>1236</v>
      </c>
      <c r="NCH2148" s="626" t="s">
        <v>1236</v>
      </c>
      <c r="NCI2148" s="626" t="s">
        <v>1236</v>
      </c>
      <c r="NCJ2148" s="626" t="s">
        <v>1236</v>
      </c>
      <c r="NCK2148" s="626" t="s">
        <v>1236</v>
      </c>
      <c r="NCL2148" s="626" t="s">
        <v>1236</v>
      </c>
      <c r="NCM2148" s="626" t="s">
        <v>1236</v>
      </c>
      <c r="NCN2148" s="626" t="s">
        <v>1236</v>
      </c>
      <c r="NCO2148" s="626" t="s">
        <v>1236</v>
      </c>
      <c r="NCP2148" s="626" t="s">
        <v>1236</v>
      </c>
      <c r="NCQ2148" s="626" t="s">
        <v>1236</v>
      </c>
      <c r="NCR2148" s="626" t="s">
        <v>1236</v>
      </c>
      <c r="NCS2148" s="626" t="s">
        <v>1236</v>
      </c>
      <c r="NCT2148" s="626" t="s">
        <v>1236</v>
      </c>
      <c r="NCU2148" s="626" t="s">
        <v>1236</v>
      </c>
      <c r="NCV2148" s="626" t="s">
        <v>1236</v>
      </c>
      <c r="NCW2148" s="626" t="s">
        <v>1236</v>
      </c>
      <c r="NCX2148" s="626" t="s">
        <v>1236</v>
      </c>
      <c r="NCY2148" s="626" t="s">
        <v>1236</v>
      </c>
      <c r="NCZ2148" s="626" t="s">
        <v>1236</v>
      </c>
      <c r="NDA2148" s="626" t="s">
        <v>1236</v>
      </c>
      <c r="NDB2148" s="626" t="s">
        <v>1236</v>
      </c>
      <c r="NDC2148" s="626" t="s">
        <v>1236</v>
      </c>
      <c r="NDD2148" s="626" t="s">
        <v>1236</v>
      </c>
      <c r="NDE2148" s="626" t="s">
        <v>1236</v>
      </c>
      <c r="NDF2148" s="626" t="s">
        <v>1236</v>
      </c>
      <c r="NDG2148" s="626" t="s">
        <v>1236</v>
      </c>
      <c r="NDH2148" s="626" t="s">
        <v>1236</v>
      </c>
      <c r="NDI2148" s="626" t="s">
        <v>1236</v>
      </c>
      <c r="NDJ2148" s="626" t="s">
        <v>1236</v>
      </c>
      <c r="NDK2148" s="626" t="s">
        <v>1236</v>
      </c>
      <c r="NDL2148" s="626" t="s">
        <v>1236</v>
      </c>
      <c r="NDM2148" s="626" t="s">
        <v>1236</v>
      </c>
      <c r="NDN2148" s="626" t="s">
        <v>1236</v>
      </c>
      <c r="NDO2148" s="626" t="s">
        <v>1236</v>
      </c>
      <c r="NDP2148" s="626" t="s">
        <v>1236</v>
      </c>
      <c r="NDQ2148" s="626" t="s">
        <v>1236</v>
      </c>
      <c r="NDR2148" s="626" t="s">
        <v>1236</v>
      </c>
      <c r="NDS2148" s="626" t="s">
        <v>1236</v>
      </c>
      <c r="NDT2148" s="626" t="s">
        <v>1236</v>
      </c>
      <c r="NDU2148" s="626" t="s">
        <v>1236</v>
      </c>
      <c r="NDV2148" s="626" t="s">
        <v>1236</v>
      </c>
      <c r="NDW2148" s="626" t="s">
        <v>1236</v>
      </c>
      <c r="NDX2148" s="626" t="s">
        <v>1236</v>
      </c>
      <c r="NDY2148" s="626" t="s">
        <v>1236</v>
      </c>
      <c r="NDZ2148" s="626" t="s">
        <v>1236</v>
      </c>
      <c r="NEA2148" s="626" t="s">
        <v>1236</v>
      </c>
      <c r="NEB2148" s="626" t="s">
        <v>1236</v>
      </c>
      <c r="NEC2148" s="626" t="s">
        <v>1236</v>
      </c>
      <c r="NED2148" s="626" t="s">
        <v>1236</v>
      </c>
      <c r="NEE2148" s="626" t="s">
        <v>1236</v>
      </c>
      <c r="NEF2148" s="626" t="s">
        <v>1236</v>
      </c>
      <c r="NEG2148" s="626" t="s">
        <v>1236</v>
      </c>
      <c r="NEH2148" s="626" t="s">
        <v>1236</v>
      </c>
      <c r="NEI2148" s="626" t="s">
        <v>1236</v>
      </c>
      <c r="NEJ2148" s="626" t="s">
        <v>1236</v>
      </c>
      <c r="NEK2148" s="626" t="s">
        <v>1236</v>
      </c>
      <c r="NEL2148" s="626" t="s">
        <v>1236</v>
      </c>
      <c r="NEM2148" s="626" t="s">
        <v>1236</v>
      </c>
      <c r="NEN2148" s="626" t="s">
        <v>1236</v>
      </c>
      <c r="NEO2148" s="626" t="s">
        <v>1236</v>
      </c>
      <c r="NEP2148" s="626" t="s">
        <v>1236</v>
      </c>
      <c r="NEQ2148" s="626" t="s">
        <v>1236</v>
      </c>
      <c r="NER2148" s="626" t="s">
        <v>1236</v>
      </c>
      <c r="NES2148" s="626" t="s">
        <v>1236</v>
      </c>
      <c r="NET2148" s="626" t="s">
        <v>1236</v>
      </c>
      <c r="NEU2148" s="626" t="s">
        <v>1236</v>
      </c>
      <c r="NEV2148" s="626" t="s">
        <v>1236</v>
      </c>
      <c r="NEW2148" s="626" t="s">
        <v>1236</v>
      </c>
      <c r="NEX2148" s="626" t="s">
        <v>1236</v>
      </c>
      <c r="NEY2148" s="626" t="s">
        <v>1236</v>
      </c>
      <c r="NEZ2148" s="626" t="s">
        <v>1236</v>
      </c>
      <c r="NFA2148" s="626" t="s">
        <v>1236</v>
      </c>
      <c r="NFB2148" s="626" t="s">
        <v>1236</v>
      </c>
      <c r="NFC2148" s="626" t="s">
        <v>1236</v>
      </c>
      <c r="NFD2148" s="626" t="s">
        <v>1236</v>
      </c>
      <c r="NFE2148" s="626" t="s">
        <v>1236</v>
      </c>
      <c r="NFF2148" s="626" t="s">
        <v>1236</v>
      </c>
      <c r="NFG2148" s="626" t="s">
        <v>1236</v>
      </c>
      <c r="NFH2148" s="626" t="s">
        <v>1236</v>
      </c>
      <c r="NFI2148" s="626" t="s">
        <v>1236</v>
      </c>
      <c r="NFJ2148" s="626" t="s">
        <v>1236</v>
      </c>
      <c r="NFK2148" s="626" t="s">
        <v>1236</v>
      </c>
      <c r="NFL2148" s="626" t="s">
        <v>1236</v>
      </c>
      <c r="NFM2148" s="626" t="s">
        <v>1236</v>
      </c>
      <c r="NFN2148" s="626" t="s">
        <v>1236</v>
      </c>
      <c r="NFO2148" s="626" t="s">
        <v>1236</v>
      </c>
      <c r="NFP2148" s="626" t="s">
        <v>1236</v>
      </c>
      <c r="NFQ2148" s="626" t="s">
        <v>1236</v>
      </c>
      <c r="NFR2148" s="626" t="s">
        <v>1236</v>
      </c>
      <c r="NFS2148" s="626" t="s">
        <v>1236</v>
      </c>
      <c r="NFT2148" s="626" t="s">
        <v>1236</v>
      </c>
      <c r="NFU2148" s="626" t="s">
        <v>1236</v>
      </c>
      <c r="NFV2148" s="626" t="s">
        <v>1236</v>
      </c>
      <c r="NFW2148" s="626" t="s">
        <v>1236</v>
      </c>
      <c r="NFX2148" s="626" t="s">
        <v>1236</v>
      </c>
      <c r="NFY2148" s="626" t="s">
        <v>1236</v>
      </c>
      <c r="NFZ2148" s="626" t="s">
        <v>1236</v>
      </c>
      <c r="NGA2148" s="626" t="s">
        <v>1236</v>
      </c>
      <c r="NGB2148" s="626" t="s">
        <v>1236</v>
      </c>
      <c r="NGC2148" s="626" t="s">
        <v>1236</v>
      </c>
      <c r="NGD2148" s="626" t="s">
        <v>1236</v>
      </c>
      <c r="NGE2148" s="626" t="s">
        <v>1236</v>
      </c>
      <c r="NGF2148" s="626" t="s">
        <v>1236</v>
      </c>
      <c r="NGG2148" s="626" t="s">
        <v>1236</v>
      </c>
      <c r="NGH2148" s="626" t="s">
        <v>1236</v>
      </c>
      <c r="NGI2148" s="626" t="s">
        <v>1236</v>
      </c>
      <c r="NGJ2148" s="626" t="s">
        <v>1236</v>
      </c>
      <c r="NGK2148" s="626" t="s">
        <v>1236</v>
      </c>
      <c r="NGL2148" s="626" t="s">
        <v>1236</v>
      </c>
      <c r="NGM2148" s="626" t="s">
        <v>1236</v>
      </c>
      <c r="NGN2148" s="626" t="s">
        <v>1236</v>
      </c>
      <c r="NGO2148" s="626" t="s">
        <v>1236</v>
      </c>
      <c r="NGP2148" s="626" t="s">
        <v>1236</v>
      </c>
      <c r="NGQ2148" s="626" t="s">
        <v>1236</v>
      </c>
      <c r="NGR2148" s="626" t="s">
        <v>1236</v>
      </c>
      <c r="NGS2148" s="626" t="s">
        <v>1236</v>
      </c>
      <c r="NGT2148" s="626" t="s">
        <v>1236</v>
      </c>
      <c r="NGU2148" s="626" t="s">
        <v>1236</v>
      </c>
      <c r="NGV2148" s="626" t="s">
        <v>1236</v>
      </c>
      <c r="NGW2148" s="626" t="s">
        <v>1236</v>
      </c>
      <c r="NGX2148" s="626" t="s">
        <v>1236</v>
      </c>
      <c r="NGY2148" s="626" t="s">
        <v>1236</v>
      </c>
      <c r="NGZ2148" s="626" t="s">
        <v>1236</v>
      </c>
      <c r="NHA2148" s="626" t="s">
        <v>1236</v>
      </c>
      <c r="NHB2148" s="626" t="s">
        <v>1236</v>
      </c>
      <c r="NHC2148" s="626" t="s">
        <v>1236</v>
      </c>
      <c r="NHD2148" s="626" t="s">
        <v>1236</v>
      </c>
      <c r="NHE2148" s="626" t="s">
        <v>1236</v>
      </c>
      <c r="NHF2148" s="626" t="s">
        <v>1236</v>
      </c>
      <c r="NHG2148" s="626" t="s">
        <v>1236</v>
      </c>
      <c r="NHH2148" s="626" t="s">
        <v>1236</v>
      </c>
      <c r="NHI2148" s="626" t="s">
        <v>1236</v>
      </c>
      <c r="NHJ2148" s="626" t="s">
        <v>1236</v>
      </c>
      <c r="NHK2148" s="626" t="s">
        <v>1236</v>
      </c>
      <c r="NHL2148" s="626" t="s">
        <v>1236</v>
      </c>
      <c r="NHM2148" s="626" t="s">
        <v>1236</v>
      </c>
      <c r="NHN2148" s="626" t="s">
        <v>1236</v>
      </c>
      <c r="NHO2148" s="626" t="s">
        <v>1236</v>
      </c>
      <c r="NHP2148" s="626" t="s">
        <v>1236</v>
      </c>
      <c r="NHQ2148" s="626" t="s">
        <v>1236</v>
      </c>
      <c r="NHR2148" s="626" t="s">
        <v>1236</v>
      </c>
      <c r="NHS2148" s="626" t="s">
        <v>1236</v>
      </c>
      <c r="NHT2148" s="626" t="s">
        <v>1236</v>
      </c>
      <c r="NHU2148" s="626" t="s">
        <v>1236</v>
      </c>
      <c r="NHV2148" s="626" t="s">
        <v>1236</v>
      </c>
      <c r="NHW2148" s="626" t="s">
        <v>1236</v>
      </c>
      <c r="NHX2148" s="626" t="s">
        <v>1236</v>
      </c>
      <c r="NHY2148" s="626" t="s">
        <v>1236</v>
      </c>
      <c r="NHZ2148" s="626" t="s">
        <v>1236</v>
      </c>
      <c r="NIA2148" s="626" t="s">
        <v>1236</v>
      </c>
      <c r="NIB2148" s="626" t="s">
        <v>1236</v>
      </c>
      <c r="NIC2148" s="626" t="s">
        <v>1236</v>
      </c>
      <c r="NID2148" s="626" t="s">
        <v>1236</v>
      </c>
      <c r="NIE2148" s="626" t="s">
        <v>1236</v>
      </c>
      <c r="NIF2148" s="626" t="s">
        <v>1236</v>
      </c>
      <c r="NIG2148" s="626" t="s">
        <v>1236</v>
      </c>
      <c r="NIH2148" s="626" t="s">
        <v>1236</v>
      </c>
      <c r="NII2148" s="626" t="s">
        <v>1236</v>
      </c>
      <c r="NIJ2148" s="626" t="s">
        <v>1236</v>
      </c>
      <c r="NIK2148" s="626" t="s">
        <v>1236</v>
      </c>
      <c r="NIL2148" s="626" t="s">
        <v>1236</v>
      </c>
      <c r="NIM2148" s="626" t="s">
        <v>1236</v>
      </c>
      <c r="NIN2148" s="626" t="s">
        <v>1236</v>
      </c>
      <c r="NIO2148" s="626" t="s">
        <v>1236</v>
      </c>
      <c r="NIP2148" s="626" t="s">
        <v>1236</v>
      </c>
      <c r="NIQ2148" s="626" t="s">
        <v>1236</v>
      </c>
      <c r="NIR2148" s="626" t="s">
        <v>1236</v>
      </c>
      <c r="NIS2148" s="626" t="s">
        <v>1236</v>
      </c>
      <c r="NIT2148" s="626" t="s">
        <v>1236</v>
      </c>
      <c r="NIU2148" s="626" t="s">
        <v>1236</v>
      </c>
      <c r="NIV2148" s="626" t="s">
        <v>1236</v>
      </c>
      <c r="NIW2148" s="626" t="s">
        <v>1236</v>
      </c>
      <c r="NIX2148" s="626" t="s">
        <v>1236</v>
      </c>
      <c r="NIY2148" s="626" t="s">
        <v>1236</v>
      </c>
      <c r="NIZ2148" s="626" t="s">
        <v>1236</v>
      </c>
      <c r="NJA2148" s="626" t="s">
        <v>1236</v>
      </c>
      <c r="NJB2148" s="626" t="s">
        <v>1236</v>
      </c>
      <c r="NJC2148" s="626" t="s">
        <v>1236</v>
      </c>
      <c r="NJD2148" s="626" t="s">
        <v>1236</v>
      </c>
      <c r="NJE2148" s="626" t="s">
        <v>1236</v>
      </c>
      <c r="NJF2148" s="626" t="s">
        <v>1236</v>
      </c>
      <c r="NJG2148" s="626" t="s">
        <v>1236</v>
      </c>
      <c r="NJH2148" s="626" t="s">
        <v>1236</v>
      </c>
      <c r="NJI2148" s="626" t="s">
        <v>1236</v>
      </c>
      <c r="NJJ2148" s="626" t="s">
        <v>1236</v>
      </c>
      <c r="NJK2148" s="626" t="s">
        <v>1236</v>
      </c>
      <c r="NJL2148" s="626" t="s">
        <v>1236</v>
      </c>
      <c r="NJM2148" s="626" t="s">
        <v>1236</v>
      </c>
      <c r="NJN2148" s="626" t="s">
        <v>1236</v>
      </c>
      <c r="NJO2148" s="626" t="s">
        <v>1236</v>
      </c>
      <c r="NJP2148" s="626" t="s">
        <v>1236</v>
      </c>
      <c r="NJQ2148" s="626" t="s">
        <v>1236</v>
      </c>
      <c r="NJR2148" s="626" t="s">
        <v>1236</v>
      </c>
      <c r="NJS2148" s="626" t="s">
        <v>1236</v>
      </c>
      <c r="NJT2148" s="626" t="s">
        <v>1236</v>
      </c>
      <c r="NJU2148" s="626" t="s">
        <v>1236</v>
      </c>
      <c r="NJV2148" s="626" t="s">
        <v>1236</v>
      </c>
      <c r="NJW2148" s="626" t="s">
        <v>1236</v>
      </c>
      <c r="NJX2148" s="626" t="s">
        <v>1236</v>
      </c>
      <c r="NJY2148" s="626" t="s">
        <v>1236</v>
      </c>
      <c r="NJZ2148" s="626" t="s">
        <v>1236</v>
      </c>
      <c r="NKA2148" s="626" t="s">
        <v>1236</v>
      </c>
      <c r="NKB2148" s="626" t="s">
        <v>1236</v>
      </c>
      <c r="NKC2148" s="626" t="s">
        <v>1236</v>
      </c>
      <c r="NKD2148" s="626" t="s">
        <v>1236</v>
      </c>
      <c r="NKE2148" s="626" t="s">
        <v>1236</v>
      </c>
      <c r="NKF2148" s="626" t="s">
        <v>1236</v>
      </c>
      <c r="NKG2148" s="626" t="s">
        <v>1236</v>
      </c>
      <c r="NKH2148" s="626" t="s">
        <v>1236</v>
      </c>
      <c r="NKI2148" s="626" t="s">
        <v>1236</v>
      </c>
      <c r="NKJ2148" s="626" t="s">
        <v>1236</v>
      </c>
      <c r="NKK2148" s="626" t="s">
        <v>1236</v>
      </c>
      <c r="NKL2148" s="626" t="s">
        <v>1236</v>
      </c>
      <c r="NKM2148" s="626" t="s">
        <v>1236</v>
      </c>
      <c r="NKN2148" s="626" t="s">
        <v>1236</v>
      </c>
      <c r="NKO2148" s="626" t="s">
        <v>1236</v>
      </c>
      <c r="NKP2148" s="626" t="s">
        <v>1236</v>
      </c>
      <c r="NKQ2148" s="626" t="s">
        <v>1236</v>
      </c>
      <c r="NKR2148" s="626" t="s">
        <v>1236</v>
      </c>
      <c r="NKS2148" s="626" t="s">
        <v>1236</v>
      </c>
      <c r="NKT2148" s="626" t="s">
        <v>1236</v>
      </c>
      <c r="NKU2148" s="626" t="s">
        <v>1236</v>
      </c>
      <c r="NKV2148" s="626" t="s">
        <v>1236</v>
      </c>
      <c r="NKW2148" s="626" t="s">
        <v>1236</v>
      </c>
      <c r="NKX2148" s="626" t="s">
        <v>1236</v>
      </c>
      <c r="NKY2148" s="626" t="s">
        <v>1236</v>
      </c>
      <c r="NKZ2148" s="626" t="s">
        <v>1236</v>
      </c>
      <c r="NLA2148" s="626" t="s">
        <v>1236</v>
      </c>
      <c r="NLB2148" s="626" t="s">
        <v>1236</v>
      </c>
      <c r="NLC2148" s="626" t="s">
        <v>1236</v>
      </c>
      <c r="NLD2148" s="626" t="s">
        <v>1236</v>
      </c>
      <c r="NLE2148" s="626" t="s">
        <v>1236</v>
      </c>
      <c r="NLF2148" s="626" t="s">
        <v>1236</v>
      </c>
      <c r="NLG2148" s="626" t="s">
        <v>1236</v>
      </c>
      <c r="NLH2148" s="626" t="s">
        <v>1236</v>
      </c>
      <c r="NLI2148" s="626" t="s">
        <v>1236</v>
      </c>
      <c r="NLJ2148" s="626" t="s">
        <v>1236</v>
      </c>
      <c r="NLK2148" s="626" t="s">
        <v>1236</v>
      </c>
      <c r="NLL2148" s="626" t="s">
        <v>1236</v>
      </c>
      <c r="NLM2148" s="626" t="s">
        <v>1236</v>
      </c>
      <c r="NLN2148" s="626" t="s">
        <v>1236</v>
      </c>
      <c r="NLO2148" s="626" t="s">
        <v>1236</v>
      </c>
      <c r="NLP2148" s="626" t="s">
        <v>1236</v>
      </c>
      <c r="NLQ2148" s="626" t="s">
        <v>1236</v>
      </c>
      <c r="NLR2148" s="626" t="s">
        <v>1236</v>
      </c>
      <c r="NLS2148" s="626" t="s">
        <v>1236</v>
      </c>
      <c r="NLT2148" s="626" t="s">
        <v>1236</v>
      </c>
      <c r="NLU2148" s="626" t="s">
        <v>1236</v>
      </c>
      <c r="NLV2148" s="626" t="s">
        <v>1236</v>
      </c>
      <c r="NLW2148" s="626" t="s">
        <v>1236</v>
      </c>
      <c r="NLX2148" s="626" t="s">
        <v>1236</v>
      </c>
      <c r="NLY2148" s="626" t="s">
        <v>1236</v>
      </c>
      <c r="NLZ2148" s="626" t="s">
        <v>1236</v>
      </c>
      <c r="NMA2148" s="626" t="s">
        <v>1236</v>
      </c>
      <c r="NMB2148" s="626" t="s">
        <v>1236</v>
      </c>
      <c r="NMC2148" s="626" t="s">
        <v>1236</v>
      </c>
      <c r="NMD2148" s="626" t="s">
        <v>1236</v>
      </c>
      <c r="NME2148" s="626" t="s">
        <v>1236</v>
      </c>
      <c r="NMF2148" s="626" t="s">
        <v>1236</v>
      </c>
      <c r="NMG2148" s="626" t="s">
        <v>1236</v>
      </c>
      <c r="NMH2148" s="626" t="s">
        <v>1236</v>
      </c>
      <c r="NMI2148" s="626" t="s">
        <v>1236</v>
      </c>
      <c r="NMJ2148" s="626" t="s">
        <v>1236</v>
      </c>
      <c r="NMK2148" s="626" t="s">
        <v>1236</v>
      </c>
      <c r="NML2148" s="626" t="s">
        <v>1236</v>
      </c>
      <c r="NMM2148" s="626" t="s">
        <v>1236</v>
      </c>
      <c r="NMN2148" s="626" t="s">
        <v>1236</v>
      </c>
      <c r="NMO2148" s="626" t="s">
        <v>1236</v>
      </c>
      <c r="NMP2148" s="626" t="s">
        <v>1236</v>
      </c>
      <c r="NMQ2148" s="626" t="s">
        <v>1236</v>
      </c>
      <c r="NMR2148" s="626" t="s">
        <v>1236</v>
      </c>
      <c r="NMS2148" s="626" t="s">
        <v>1236</v>
      </c>
      <c r="NMT2148" s="626" t="s">
        <v>1236</v>
      </c>
      <c r="NMU2148" s="626" t="s">
        <v>1236</v>
      </c>
      <c r="NMV2148" s="626" t="s">
        <v>1236</v>
      </c>
      <c r="NMW2148" s="626" t="s">
        <v>1236</v>
      </c>
      <c r="NMX2148" s="626" t="s">
        <v>1236</v>
      </c>
      <c r="NMY2148" s="626" t="s">
        <v>1236</v>
      </c>
      <c r="NMZ2148" s="626" t="s">
        <v>1236</v>
      </c>
      <c r="NNA2148" s="626" t="s">
        <v>1236</v>
      </c>
      <c r="NNB2148" s="626" t="s">
        <v>1236</v>
      </c>
      <c r="NNC2148" s="626" t="s">
        <v>1236</v>
      </c>
      <c r="NND2148" s="626" t="s">
        <v>1236</v>
      </c>
      <c r="NNE2148" s="626" t="s">
        <v>1236</v>
      </c>
      <c r="NNF2148" s="626" t="s">
        <v>1236</v>
      </c>
      <c r="NNG2148" s="626" t="s">
        <v>1236</v>
      </c>
      <c r="NNH2148" s="626" t="s">
        <v>1236</v>
      </c>
      <c r="NNI2148" s="626" t="s">
        <v>1236</v>
      </c>
      <c r="NNJ2148" s="626" t="s">
        <v>1236</v>
      </c>
      <c r="NNK2148" s="626" t="s">
        <v>1236</v>
      </c>
      <c r="NNL2148" s="626" t="s">
        <v>1236</v>
      </c>
      <c r="NNM2148" s="626" t="s">
        <v>1236</v>
      </c>
      <c r="NNN2148" s="626" t="s">
        <v>1236</v>
      </c>
      <c r="NNO2148" s="626" t="s">
        <v>1236</v>
      </c>
      <c r="NNP2148" s="626" t="s">
        <v>1236</v>
      </c>
      <c r="NNQ2148" s="626" t="s">
        <v>1236</v>
      </c>
      <c r="NNR2148" s="626" t="s">
        <v>1236</v>
      </c>
      <c r="NNS2148" s="626" t="s">
        <v>1236</v>
      </c>
      <c r="NNT2148" s="626" t="s">
        <v>1236</v>
      </c>
      <c r="NNU2148" s="626" t="s">
        <v>1236</v>
      </c>
      <c r="NNV2148" s="626" t="s">
        <v>1236</v>
      </c>
      <c r="NNW2148" s="626" t="s">
        <v>1236</v>
      </c>
      <c r="NNX2148" s="626" t="s">
        <v>1236</v>
      </c>
      <c r="NNY2148" s="626" t="s">
        <v>1236</v>
      </c>
      <c r="NNZ2148" s="626" t="s">
        <v>1236</v>
      </c>
      <c r="NOA2148" s="626" t="s">
        <v>1236</v>
      </c>
      <c r="NOB2148" s="626" t="s">
        <v>1236</v>
      </c>
      <c r="NOC2148" s="626" t="s">
        <v>1236</v>
      </c>
      <c r="NOD2148" s="626" t="s">
        <v>1236</v>
      </c>
      <c r="NOE2148" s="626" t="s">
        <v>1236</v>
      </c>
      <c r="NOF2148" s="626" t="s">
        <v>1236</v>
      </c>
      <c r="NOG2148" s="626" t="s">
        <v>1236</v>
      </c>
      <c r="NOH2148" s="626" t="s">
        <v>1236</v>
      </c>
      <c r="NOI2148" s="626" t="s">
        <v>1236</v>
      </c>
      <c r="NOJ2148" s="626" t="s">
        <v>1236</v>
      </c>
      <c r="NOK2148" s="626" t="s">
        <v>1236</v>
      </c>
      <c r="NOL2148" s="626" t="s">
        <v>1236</v>
      </c>
      <c r="NOM2148" s="626" t="s">
        <v>1236</v>
      </c>
      <c r="NON2148" s="626" t="s">
        <v>1236</v>
      </c>
      <c r="NOO2148" s="626" t="s">
        <v>1236</v>
      </c>
      <c r="NOP2148" s="626" t="s">
        <v>1236</v>
      </c>
      <c r="NOQ2148" s="626" t="s">
        <v>1236</v>
      </c>
      <c r="NOR2148" s="626" t="s">
        <v>1236</v>
      </c>
      <c r="NOS2148" s="626" t="s">
        <v>1236</v>
      </c>
      <c r="NOT2148" s="626" t="s">
        <v>1236</v>
      </c>
      <c r="NOU2148" s="626" t="s">
        <v>1236</v>
      </c>
      <c r="NOV2148" s="626" t="s">
        <v>1236</v>
      </c>
      <c r="NOW2148" s="626" t="s">
        <v>1236</v>
      </c>
      <c r="NOX2148" s="626" t="s">
        <v>1236</v>
      </c>
      <c r="NOY2148" s="626" t="s">
        <v>1236</v>
      </c>
      <c r="NOZ2148" s="626" t="s">
        <v>1236</v>
      </c>
      <c r="NPA2148" s="626" t="s">
        <v>1236</v>
      </c>
      <c r="NPB2148" s="626" t="s">
        <v>1236</v>
      </c>
      <c r="NPC2148" s="626" t="s">
        <v>1236</v>
      </c>
      <c r="NPD2148" s="626" t="s">
        <v>1236</v>
      </c>
      <c r="NPE2148" s="626" t="s">
        <v>1236</v>
      </c>
      <c r="NPF2148" s="626" t="s">
        <v>1236</v>
      </c>
      <c r="NPG2148" s="626" t="s">
        <v>1236</v>
      </c>
      <c r="NPH2148" s="626" t="s">
        <v>1236</v>
      </c>
      <c r="NPI2148" s="626" t="s">
        <v>1236</v>
      </c>
      <c r="NPJ2148" s="626" t="s">
        <v>1236</v>
      </c>
      <c r="NPK2148" s="626" t="s">
        <v>1236</v>
      </c>
      <c r="NPL2148" s="626" t="s">
        <v>1236</v>
      </c>
      <c r="NPM2148" s="626" t="s">
        <v>1236</v>
      </c>
      <c r="NPN2148" s="626" t="s">
        <v>1236</v>
      </c>
      <c r="NPO2148" s="626" t="s">
        <v>1236</v>
      </c>
      <c r="NPP2148" s="626" t="s">
        <v>1236</v>
      </c>
      <c r="NPQ2148" s="626" t="s">
        <v>1236</v>
      </c>
      <c r="NPR2148" s="626" t="s">
        <v>1236</v>
      </c>
      <c r="NPS2148" s="626" t="s">
        <v>1236</v>
      </c>
      <c r="NPT2148" s="626" t="s">
        <v>1236</v>
      </c>
      <c r="NPU2148" s="626" t="s">
        <v>1236</v>
      </c>
      <c r="NPV2148" s="626" t="s">
        <v>1236</v>
      </c>
      <c r="NPW2148" s="626" t="s">
        <v>1236</v>
      </c>
      <c r="NPX2148" s="626" t="s">
        <v>1236</v>
      </c>
      <c r="NPY2148" s="626" t="s">
        <v>1236</v>
      </c>
      <c r="NPZ2148" s="626" t="s">
        <v>1236</v>
      </c>
      <c r="NQA2148" s="626" t="s">
        <v>1236</v>
      </c>
      <c r="NQB2148" s="626" t="s">
        <v>1236</v>
      </c>
      <c r="NQC2148" s="626" t="s">
        <v>1236</v>
      </c>
      <c r="NQD2148" s="626" t="s">
        <v>1236</v>
      </c>
      <c r="NQE2148" s="626" t="s">
        <v>1236</v>
      </c>
      <c r="NQF2148" s="626" t="s">
        <v>1236</v>
      </c>
      <c r="NQG2148" s="626" t="s">
        <v>1236</v>
      </c>
      <c r="NQH2148" s="626" t="s">
        <v>1236</v>
      </c>
      <c r="NQI2148" s="626" t="s">
        <v>1236</v>
      </c>
      <c r="NQJ2148" s="626" t="s">
        <v>1236</v>
      </c>
      <c r="NQK2148" s="626" t="s">
        <v>1236</v>
      </c>
      <c r="NQL2148" s="626" t="s">
        <v>1236</v>
      </c>
      <c r="NQM2148" s="626" t="s">
        <v>1236</v>
      </c>
      <c r="NQN2148" s="626" t="s">
        <v>1236</v>
      </c>
      <c r="NQO2148" s="626" t="s">
        <v>1236</v>
      </c>
      <c r="NQP2148" s="626" t="s">
        <v>1236</v>
      </c>
      <c r="NQQ2148" s="626" t="s">
        <v>1236</v>
      </c>
      <c r="NQR2148" s="626" t="s">
        <v>1236</v>
      </c>
      <c r="NQS2148" s="626" t="s">
        <v>1236</v>
      </c>
      <c r="NQT2148" s="626" t="s">
        <v>1236</v>
      </c>
      <c r="NQU2148" s="626" t="s">
        <v>1236</v>
      </c>
      <c r="NQV2148" s="626" t="s">
        <v>1236</v>
      </c>
      <c r="NQW2148" s="626" t="s">
        <v>1236</v>
      </c>
      <c r="NQX2148" s="626" t="s">
        <v>1236</v>
      </c>
      <c r="NQY2148" s="626" t="s">
        <v>1236</v>
      </c>
      <c r="NQZ2148" s="626" t="s">
        <v>1236</v>
      </c>
      <c r="NRA2148" s="626" t="s">
        <v>1236</v>
      </c>
      <c r="NRB2148" s="626" t="s">
        <v>1236</v>
      </c>
      <c r="NRC2148" s="626" t="s">
        <v>1236</v>
      </c>
      <c r="NRD2148" s="626" t="s">
        <v>1236</v>
      </c>
      <c r="NRE2148" s="626" t="s">
        <v>1236</v>
      </c>
      <c r="NRF2148" s="626" t="s">
        <v>1236</v>
      </c>
      <c r="NRG2148" s="626" t="s">
        <v>1236</v>
      </c>
      <c r="NRH2148" s="626" t="s">
        <v>1236</v>
      </c>
      <c r="NRI2148" s="626" t="s">
        <v>1236</v>
      </c>
      <c r="NRJ2148" s="626" t="s">
        <v>1236</v>
      </c>
      <c r="NRK2148" s="626" t="s">
        <v>1236</v>
      </c>
      <c r="NRL2148" s="626" t="s">
        <v>1236</v>
      </c>
      <c r="NRM2148" s="626" t="s">
        <v>1236</v>
      </c>
      <c r="NRN2148" s="626" t="s">
        <v>1236</v>
      </c>
      <c r="NRO2148" s="626" t="s">
        <v>1236</v>
      </c>
      <c r="NRP2148" s="626" t="s">
        <v>1236</v>
      </c>
      <c r="NRQ2148" s="626" t="s">
        <v>1236</v>
      </c>
      <c r="NRR2148" s="626" t="s">
        <v>1236</v>
      </c>
      <c r="NRS2148" s="626" t="s">
        <v>1236</v>
      </c>
      <c r="NRT2148" s="626" t="s">
        <v>1236</v>
      </c>
      <c r="NRU2148" s="626" t="s">
        <v>1236</v>
      </c>
      <c r="NRV2148" s="626" t="s">
        <v>1236</v>
      </c>
      <c r="NRW2148" s="626" t="s">
        <v>1236</v>
      </c>
      <c r="NRX2148" s="626" t="s">
        <v>1236</v>
      </c>
      <c r="NRY2148" s="626" t="s">
        <v>1236</v>
      </c>
      <c r="NRZ2148" s="626" t="s">
        <v>1236</v>
      </c>
      <c r="NSA2148" s="626" t="s">
        <v>1236</v>
      </c>
      <c r="NSB2148" s="626" t="s">
        <v>1236</v>
      </c>
      <c r="NSC2148" s="626" t="s">
        <v>1236</v>
      </c>
      <c r="NSD2148" s="626" t="s">
        <v>1236</v>
      </c>
      <c r="NSE2148" s="626" t="s">
        <v>1236</v>
      </c>
      <c r="NSF2148" s="626" t="s">
        <v>1236</v>
      </c>
      <c r="NSG2148" s="626" t="s">
        <v>1236</v>
      </c>
      <c r="NSH2148" s="626" t="s">
        <v>1236</v>
      </c>
      <c r="NSI2148" s="626" t="s">
        <v>1236</v>
      </c>
      <c r="NSJ2148" s="626" t="s">
        <v>1236</v>
      </c>
      <c r="NSK2148" s="626" t="s">
        <v>1236</v>
      </c>
      <c r="NSL2148" s="626" t="s">
        <v>1236</v>
      </c>
      <c r="NSM2148" s="626" t="s">
        <v>1236</v>
      </c>
      <c r="NSN2148" s="626" t="s">
        <v>1236</v>
      </c>
      <c r="NSO2148" s="626" t="s">
        <v>1236</v>
      </c>
      <c r="NSP2148" s="626" t="s">
        <v>1236</v>
      </c>
      <c r="NSQ2148" s="626" t="s">
        <v>1236</v>
      </c>
      <c r="NSR2148" s="626" t="s">
        <v>1236</v>
      </c>
      <c r="NSS2148" s="626" t="s">
        <v>1236</v>
      </c>
      <c r="NST2148" s="626" t="s">
        <v>1236</v>
      </c>
      <c r="NSU2148" s="626" t="s">
        <v>1236</v>
      </c>
      <c r="NSV2148" s="626" t="s">
        <v>1236</v>
      </c>
      <c r="NSW2148" s="626" t="s">
        <v>1236</v>
      </c>
      <c r="NSX2148" s="626" t="s">
        <v>1236</v>
      </c>
      <c r="NSY2148" s="626" t="s">
        <v>1236</v>
      </c>
      <c r="NSZ2148" s="626" t="s">
        <v>1236</v>
      </c>
      <c r="NTA2148" s="626" t="s">
        <v>1236</v>
      </c>
      <c r="NTB2148" s="626" t="s">
        <v>1236</v>
      </c>
      <c r="NTC2148" s="626" t="s">
        <v>1236</v>
      </c>
      <c r="NTD2148" s="626" t="s">
        <v>1236</v>
      </c>
      <c r="NTE2148" s="626" t="s">
        <v>1236</v>
      </c>
      <c r="NTF2148" s="626" t="s">
        <v>1236</v>
      </c>
      <c r="NTG2148" s="626" t="s">
        <v>1236</v>
      </c>
      <c r="NTH2148" s="626" t="s">
        <v>1236</v>
      </c>
      <c r="NTI2148" s="626" t="s">
        <v>1236</v>
      </c>
      <c r="NTJ2148" s="626" t="s">
        <v>1236</v>
      </c>
      <c r="NTK2148" s="626" t="s">
        <v>1236</v>
      </c>
      <c r="NTL2148" s="626" t="s">
        <v>1236</v>
      </c>
      <c r="NTM2148" s="626" t="s">
        <v>1236</v>
      </c>
      <c r="NTN2148" s="626" t="s">
        <v>1236</v>
      </c>
      <c r="NTO2148" s="626" t="s">
        <v>1236</v>
      </c>
      <c r="NTP2148" s="626" t="s">
        <v>1236</v>
      </c>
      <c r="NTQ2148" s="626" t="s">
        <v>1236</v>
      </c>
      <c r="NTR2148" s="626" t="s">
        <v>1236</v>
      </c>
      <c r="NTS2148" s="626" t="s">
        <v>1236</v>
      </c>
      <c r="NTT2148" s="626" t="s">
        <v>1236</v>
      </c>
      <c r="NTU2148" s="626" t="s">
        <v>1236</v>
      </c>
      <c r="NTV2148" s="626" t="s">
        <v>1236</v>
      </c>
      <c r="NTW2148" s="626" t="s">
        <v>1236</v>
      </c>
      <c r="NTX2148" s="626" t="s">
        <v>1236</v>
      </c>
      <c r="NTY2148" s="626" t="s">
        <v>1236</v>
      </c>
      <c r="NTZ2148" s="626" t="s">
        <v>1236</v>
      </c>
      <c r="NUA2148" s="626" t="s">
        <v>1236</v>
      </c>
      <c r="NUB2148" s="626" t="s">
        <v>1236</v>
      </c>
      <c r="NUC2148" s="626" t="s">
        <v>1236</v>
      </c>
      <c r="NUD2148" s="626" t="s">
        <v>1236</v>
      </c>
      <c r="NUE2148" s="626" t="s">
        <v>1236</v>
      </c>
      <c r="NUF2148" s="626" t="s">
        <v>1236</v>
      </c>
      <c r="NUG2148" s="626" t="s">
        <v>1236</v>
      </c>
      <c r="NUH2148" s="626" t="s">
        <v>1236</v>
      </c>
      <c r="NUI2148" s="626" t="s">
        <v>1236</v>
      </c>
      <c r="NUJ2148" s="626" t="s">
        <v>1236</v>
      </c>
      <c r="NUK2148" s="626" t="s">
        <v>1236</v>
      </c>
      <c r="NUL2148" s="626" t="s">
        <v>1236</v>
      </c>
      <c r="NUM2148" s="626" t="s">
        <v>1236</v>
      </c>
      <c r="NUN2148" s="626" t="s">
        <v>1236</v>
      </c>
      <c r="NUO2148" s="626" t="s">
        <v>1236</v>
      </c>
      <c r="NUP2148" s="626" t="s">
        <v>1236</v>
      </c>
      <c r="NUQ2148" s="626" t="s">
        <v>1236</v>
      </c>
      <c r="NUR2148" s="626" t="s">
        <v>1236</v>
      </c>
      <c r="NUS2148" s="626" t="s">
        <v>1236</v>
      </c>
      <c r="NUT2148" s="626" t="s">
        <v>1236</v>
      </c>
      <c r="NUU2148" s="626" t="s">
        <v>1236</v>
      </c>
      <c r="NUV2148" s="626" t="s">
        <v>1236</v>
      </c>
      <c r="NUW2148" s="626" t="s">
        <v>1236</v>
      </c>
      <c r="NUX2148" s="626" t="s">
        <v>1236</v>
      </c>
      <c r="NUY2148" s="626" t="s">
        <v>1236</v>
      </c>
      <c r="NUZ2148" s="626" t="s">
        <v>1236</v>
      </c>
      <c r="NVA2148" s="626" t="s">
        <v>1236</v>
      </c>
      <c r="NVB2148" s="626" t="s">
        <v>1236</v>
      </c>
      <c r="NVC2148" s="626" t="s">
        <v>1236</v>
      </c>
      <c r="NVD2148" s="626" t="s">
        <v>1236</v>
      </c>
      <c r="NVE2148" s="626" t="s">
        <v>1236</v>
      </c>
      <c r="NVF2148" s="626" t="s">
        <v>1236</v>
      </c>
      <c r="NVG2148" s="626" t="s">
        <v>1236</v>
      </c>
      <c r="NVH2148" s="626" t="s">
        <v>1236</v>
      </c>
      <c r="NVI2148" s="626" t="s">
        <v>1236</v>
      </c>
      <c r="NVJ2148" s="626" t="s">
        <v>1236</v>
      </c>
      <c r="NVK2148" s="626" t="s">
        <v>1236</v>
      </c>
      <c r="NVL2148" s="626" t="s">
        <v>1236</v>
      </c>
      <c r="NVM2148" s="626" t="s">
        <v>1236</v>
      </c>
      <c r="NVN2148" s="626" t="s">
        <v>1236</v>
      </c>
      <c r="NVO2148" s="626" t="s">
        <v>1236</v>
      </c>
      <c r="NVP2148" s="626" t="s">
        <v>1236</v>
      </c>
      <c r="NVQ2148" s="626" t="s">
        <v>1236</v>
      </c>
      <c r="NVR2148" s="626" t="s">
        <v>1236</v>
      </c>
      <c r="NVS2148" s="626" t="s">
        <v>1236</v>
      </c>
      <c r="NVT2148" s="626" t="s">
        <v>1236</v>
      </c>
      <c r="NVU2148" s="626" t="s">
        <v>1236</v>
      </c>
      <c r="NVV2148" s="626" t="s">
        <v>1236</v>
      </c>
      <c r="NVW2148" s="626" t="s">
        <v>1236</v>
      </c>
      <c r="NVX2148" s="626" t="s">
        <v>1236</v>
      </c>
      <c r="NVY2148" s="626" t="s">
        <v>1236</v>
      </c>
      <c r="NVZ2148" s="626" t="s">
        <v>1236</v>
      </c>
      <c r="NWA2148" s="626" t="s">
        <v>1236</v>
      </c>
      <c r="NWB2148" s="626" t="s">
        <v>1236</v>
      </c>
      <c r="NWC2148" s="626" t="s">
        <v>1236</v>
      </c>
      <c r="NWD2148" s="626" t="s">
        <v>1236</v>
      </c>
      <c r="NWE2148" s="626" t="s">
        <v>1236</v>
      </c>
      <c r="NWF2148" s="626" t="s">
        <v>1236</v>
      </c>
      <c r="NWG2148" s="626" t="s">
        <v>1236</v>
      </c>
      <c r="NWH2148" s="626" t="s">
        <v>1236</v>
      </c>
      <c r="NWI2148" s="626" t="s">
        <v>1236</v>
      </c>
      <c r="NWJ2148" s="626" t="s">
        <v>1236</v>
      </c>
      <c r="NWK2148" s="626" t="s">
        <v>1236</v>
      </c>
      <c r="NWL2148" s="626" t="s">
        <v>1236</v>
      </c>
      <c r="NWM2148" s="626" t="s">
        <v>1236</v>
      </c>
      <c r="NWN2148" s="626" t="s">
        <v>1236</v>
      </c>
      <c r="NWO2148" s="626" t="s">
        <v>1236</v>
      </c>
      <c r="NWP2148" s="626" t="s">
        <v>1236</v>
      </c>
      <c r="NWQ2148" s="626" t="s">
        <v>1236</v>
      </c>
      <c r="NWR2148" s="626" t="s">
        <v>1236</v>
      </c>
      <c r="NWS2148" s="626" t="s">
        <v>1236</v>
      </c>
      <c r="NWT2148" s="626" t="s">
        <v>1236</v>
      </c>
      <c r="NWU2148" s="626" t="s">
        <v>1236</v>
      </c>
      <c r="NWV2148" s="626" t="s">
        <v>1236</v>
      </c>
      <c r="NWW2148" s="626" t="s">
        <v>1236</v>
      </c>
      <c r="NWX2148" s="626" t="s">
        <v>1236</v>
      </c>
      <c r="NWY2148" s="626" t="s">
        <v>1236</v>
      </c>
      <c r="NWZ2148" s="626" t="s">
        <v>1236</v>
      </c>
      <c r="NXA2148" s="626" t="s">
        <v>1236</v>
      </c>
      <c r="NXB2148" s="626" t="s">
        <v>1236</v>
      </c>
      <c r="NXC2148" s="626" t="s">
        <v>1236</v>
      </c>
      <c r="NXD2148" s="626" t="s">
        <v>1236</v>
      </c>
      <c r="NXE2148" s="626" t="s">
        <v>1236</v>
      </c>
      <c r="NXF2148" s="626" t="s">
        <v>1236</v>
      </c>
      <c r="NXG2148" s="626" t="s">
        <v>1236</v>
      </c>
      <c r="NXH2148" s="626" t="s">
        <v>1236</v>
      </c>
      <c r="NXI2148" s="626" t="s">
        <v>1236</v>
      </c>
      <c r="NXJ2148" s="626" t="s">
        <v>1236</v>
      </c>
      <c r="NXK2148" s="626" t="s">
        <v>1236</v>
      </c>
      <c r="NXL2148" s="626" t="s">
        <v>1236</v>
      </c>
      <c r="NXM2148" s="626" t="s">
        <v>1236</v>
      </c>
      <c r="NXN2148" s="626" t="s">
        <v>1236</v>
      </c>
      <c r="NXO2148" s="626" t="s">
        <v>1236</v>
      </c>
      <c r="NXP2148" s="626" t="s">
        <v>1236</v>
      </c>
      <c r="NXQ2148" s="626" t="s">
        <v>1236</v>
      </c>
      <c r="NXR2148" s="626" t="s">
        <v>1236</v>
      </c>
      <c r="NXS2148" s="626" t="s">
        <v>1236</v>
      </c>
      <c r="NXT2148" s="626" t="s">
        <v>1236</v>
      </c>
      <c r="NXU2148" s="626" t="s">
        <v>1236</v>
      </c>
      <c r="NXV2148" s="626" t="s">
        <v>1236</v>
      </c>
      <c r="NXW2148" s="626" t="s">
        <v>1236</v>
      </c>
      <c r="NXX2148" s="626" t="s">
        <v>1236</v>
      </c>
      <c r="NXY2148" s="626" t="s">
        <v>1236</v>
      </c>
      <c r="NXZ2148" s="626" t="s">
        <v>1236</v>
      </c>
      <c r="NYA2148" s="626" t="s">
        <v>1236</v>
      </c>
      <c r="NYB2148" s="626" t="s">
        <v>1236</v>
      </c>
      <c r="NYC2148" s="626" t="s">
        <v>1236</v>
      </c>
      <c r="NYD2148" s="626" t="s">
        <v>1236</v>
      </c>
      <c r="NYE2148" s="626" t="s">
        <v>1236</v>
      </c>
      <c r="NYF2148" s="626" t="s">
        <v>1236</v>
      </c>
      <c r="NYG2148" s="626" t="s">
        <v>1236</v>
      </c>
      <c r="NYH2148" s="626" t="s">
        <v>1236</v>
      </c>
      <c r="NYI2148" s="626" t="s">
        <v>1236</v>
      </c>
      <c r="NYJ2148" s="626" t="s">
        <v>1236</v>
      </c>
      <c r="NYK2148" s="626" t="s">
        <v>1236</v>
      </c>
      <c r="NYL2148" s="626" t="s">
        <v>1236</v>
      </c>
      <c r="NYM2148" s="626" t="s">
        <v>1236</v>
      </c>
      <c r="NYN2148" s="626" t="s">
        <v>1236</v>
      </c>
      <c r="NYO2148" s="626" t="s">
        <v>1236</v>
      </c>
      <c r="NYP2148" s="626" t="s">
        <v>1236</v>
      </c>
      <c r="NYQ2148" s="626" t="s">
        <v>1236</v>
      </c>
      <c r="NYR2148" s="626" t="s">
        <v>1236</v>
      </c>
      <c r="NYS2148" s="626" t="s">
        <v>1236</v>
      </c>
      <c r="NYT2148" s="626" t="s">
        <v>1236</v>
      </c>
      <c r="NYU2148" s="626" t="s">
        <v>1236</v>
      </c>
      <c r="NYV2148" s="626" t="s">
        <v>1236</v>
      </c>
      <c r="NYW2148" s="626" t="s">
        <v>1236</v>
      </c>
      <c r="NYX2148" s="626" t="s">
        <v>1236</v>
      </c>
      <c r="NYY2148" s="626" t="s">
        <v>1236</v>
      </c>
      <c r="NYZ2148" s="626" t="s">
        <v>1236</v>
      </c>
      <c r="NZA2148" s="626" t="s">
        <v>1236</v>
      </c>
      <c r="NZB2148" s="626" t="s">
        <v>1236</v>
      </c>
      <c r="NZC2148" s="626" t="s">
        <v>1236</v>
      </c>
      <c r="NZD2148" s="626" t="s">
        <v>1236</v>
      </c>
      <c r="NZE2148" s="626" t="s">
        <v>1236</v>
      </c>
      <c r="NZF2148" s="626" t="s">
        <v>1236</v>
      </c>
      <c r="NZG2148" s="626" t="s">
        <v>1236</v>
      </c>
      <c r="NZH2148" s="626" t="s">
        <v>1236</v>
      </c>
      <c r="NZI2148" s="626" t="s">
        <v>1236</v>
      </c>
      <c r="NZJ2148" s="626" t="s">
        <v>1236</v>
      </c>
      <c r="NZK2148" s="626" t="s">
        <v>1236</v>
      </c>
      <c r="NZL2148" s="626" t="s">
        <v>1236</v>
      </c>
      <c r="NZM2148" s="626" t="s">
        <v>1236</v>
      </c>
      <c r="NZN2148" s="626" t="s">
        <v>1236</v>
      </c>
      <c r="NZO2148" s="626" t="s">
        <v>1236</v>
      </c>
      <c r="NZP2148" s="626" t="s">
        <v>1236</v>
      </c>
      <c r="NZQ2148" s="626" t="s">
        <v>1236</v>
      </c>
      <c r="NZR2148" s="626" t="s">
        <v>1236</v>
      </c>
      <c r="NZS2148" s="626" t="s">
        <v>1236</v>
      </c>
      <c r="NZT2148" s="626" t="s">
        <v>1236</v>
      </c>
      <c r="NZU2148" s="626" t="s">
        <v>1236</v>
      </c>
      <c r="NZV2148" s="626" t="s">
        <v>1236</v>
      </c>
      <c r="NZW2148" s="626" t="s">
        <v>1236</v>
      </c>
      <c r="NZX2148" s="626" t="s">
        <v>1236</v>
      </c>
      <c r="NZY2148" s="626" t="s">
        <v>1236</v>
      </c>
      <c r="NZZ2148" s="626" t="s">
        <v>1236</v>
      </c>
      <c r="OAA2148" s="626" t="s">
        <v>1236</v>
      </c>
      <c r="OAB2148" s="626" t="s">
        <v>1236</v>
      </c>
      <c r="OAC2148" s="626" t="s">
        <v>1236</v>
      </c>
      <c r="OAD2148" s="626" t="s">
        <v>1236</v>
      </c>
      <c r="OAE2148" s="626" t="s">
        <v>1236</v>
      </c>
      <c r="OAF2148" s="626" t="s">
        <v>1236</v>
      </c>
      <c r="OAG2148" s="626" t="s">
        <v>1236</v>
      </c>
      <c r="OAH2148" s="626" t="s">
        <v>1236</v>
      </c>
      <c r="OAI2148" s="626" t="s">
        <v>1236</v>
      </c>
      <c r="OAJ2148" s="626" t="s">
        <v>1236</v>
      </c>
      <c r="OAK2148" s="626" t="s">
        <v>1236</v>
      </c>
      <c r="OAL2148" s="626" t="s">
        <v>1236</v>
      </c>
      <c r="OAM2148" s="626" t="s">
        <v>1236</v>
      </c>
      <c r="OAN2148" s="626" t="s">
        <v>1236</v>
      </c>
      <c r="OAO2148" s="626" t="s">
        <v>1236</v>
      </c>
      <c r="OAP2148" s="626" t="s">
        <v>1236</v>
      </c>
      <c r="OAQ2148" s="626" t="s">
        <v>1236</v>
      </c>
      <c r="OAR2148" s="626" t="s">
        <v>1236</v>
      </c>
      <c r="OAS2148" s="626" t="s">
        <v>1236</v>
      </c>
      <c r="OAT2148" s="626" t="s">
        <v>1236</v>
      </c>
      <c r="OAU2148" s="626" t="s">
        <v>1236</v>
      </c>
      <c r="OAV2148" s="626" t="s">
        <v>1236</v>
      </c>
      <c r="OAW2148" s="626" t="s">
        <v>1236</v>
      </c>
      <c r="OAX2148" s="626" t="s">
        <v>1236</v>
      </c>
      <c r="OAY2148" s="626" t="s">
        <v>1236</v>
      </c>
      <c r="OAZ2148" s="626" t="s">
        <v>1236</v>
      </c>
      <c r="OBA2148" s="626" t="s">
        <v>1236</v>
      </c>
      <c r="OBB2148" s="626" t="s">
        <v>1236</v>
      </c>
      <c r="OBC2148" s="626" t="s">
        <v>1236</v>
      </c>
      <c r="OBD2148" s="626" t="s">
        <v>1236</v>
      </c>
      <c r="OBE2148" s="626" t="s">
        <v>1236</v>
      </c>
      <c r="OBF2148" s="626" t="s">
        <v>1236</v>
      </c>
      <c r="OBG2148" s="626" t="s">
        <v>1236</v>
      </c>
      <c r="OBH2148" s="626" t="s">
        <v>1236</v>
      </c>
      <c r="OBI2148" s="626" t="s">
        <v>1236</v>
      </c>
      <c r="OBJ2148" s="626" t="s">
        <v>1236</v>
      </c>
      <c r="OBK2148" s="626" t="s">
        <v>1236</v>
      </c>
      <c r="OBL2148" s="626" t="s">
        <v>1236</v>
      </c>
      <c r="OBM2148" s="626" t="s">
        <v>1236</v>
      </c>
      <c r="OBN2148" s="626" t="s">
        <v>1236</v>
      </c>
      <c r="OBO2148" s="626" t="s">
        <v>1236</v>
      </c>
      <c r="OBP2148" s="626" t="s">
        <v>1236</v>
      </c>
      <c r="OBQ2148" s="626" t="s">
        <v>1236</v>
      </c>
      <c r="OBR2148" s="626" t="s">
        <v>1236</v>
      </c>
      <c r="OBS2148" s="626" t="s">
        <v>1236</v>
      </c>
      <c r="OBT2148" s="626" t="s">
        <v>1236</v>
      </c>
      <c r="OBU2148" s="626" t="s">
        <v>1236</v>
      </c>
      <c r="OBV2148" s="626" t="s">
        <v>1236</v>
      </c>
      <c r="OBW2148" s="626" t="s">
        <v>1236</v>
      </c>
      <c r="OBX2148" s="626" t="s">
        <v>1236</v>
      </c>
      <c r="OBY2148" s="626" t="s">
        <v>1236</v>
      </c>
      <c r="OBZ2148" s="626" t="s">
        <v>1236</v>
      </c>
      <c r="OCA2148" s="626" t="s">
        <v>1236</v>
      </c>
      <c r="OCB2148" s="626" t="s">
        <v>1236</v>
      </c>
      <c r="OCC2148" s="626" t="s">
        <v>1236</v>
      </c>
      <c r="OCD2148" s="626" t="s">
        <v>1236</v>
      </c>
      <c r="OCE2148" s="626" t="s">
        <v>1236</v>
      </c>
      <c r="OCF2148" s="626" t="s">
        <v>1236</v>
      </c>
      <c r="OCG2148" s="626" t="s">
        <v>1236</v>
      </c>
      <c r="OCH2148" s="626" t="s">
        <v>1236</v>
      </c>
      <c r="OCI2148" s="626" t="s">
        <v>1236</v>
      </c>
      <c r="OCJ2148" s="626" t="s">
        <v>1236</v>
      </c>
      <c r="OCK2148" s="626" t="s">
        <v>1236</v>
      </c>
      <c r="OCL2148" s="626" t="s">
        <v>1236</v>
      </c>
      <c r="OCM2148" s="626" t="s">
        <v>1236</v>
      </c>
      <c r="OCN2148" s="626" t="s">
        <v>1236</v>
      </c>
      <c r="OCO2148" s="626" t="s">
        <v>1236</v>
      </c>
      <c r="OCP2148" s="626" t="s">
        <v>1236</v>
      </c>
      <c r="OCQ2148" s="626" t="s">
        <v>1236</v>
      </c>
      <c r="OCR2148" s="626" t="s">
        <v>1236</v>
      </c>
      <c r="OCS2148" s="626" t="s">
        <v>1236</v>
      </c>
      <c r="OCT2148" s="626" t="s">
        <v>1236</v>
      </c>
      <c r="OCU2148" s="626" t="s">
        <v>1236</v>
      </c>
      <c r="OCV2148" s="626" t="s">
        <v>1236</v>
      </c>
      <c r="OCW2148" s="626" t="s">
        <v>1236</v>
      </c>
      <c r="OCX2148" s="626" t="s">
        <v>1236</v>
      </c>
      <c r="OCY2148" s="626" t="s">
        <v>1236</v>
      </c>
      <c r="OCZ2148" s="626" t="s">
        <v>1236</v>
      </c>
      <c r="ODA2148" s="626" t="s">
        <v>1236</v>
      </c>
      <c r="ODB2148" s="626" t="s">
        <v>1236</v>
      </c>
      <c r="ODC2148" s="626" t="s">
        <v>1236</v>
      </c>
      <c r="ODD2148" s="626" t="s">
        <v>1236</v>
      </c>
      <c r="ODE2148" s="626" t="s">
        <v>1236</v>
      </c>
      <c r="ODF2148" s="626" t="s">
        <v>1236</v>
      </c>
      <c r="ODG2148" s="626" t="s">
        <v>1236</v>
      </c>
      <c r="ODH2148" s="626" t="s">
        <v>1236</v>
      </c>
      <c r="ODI2148" s="626" t="s">
        <v>1236</v>
      </c>
      <c r="ODJ2148" s="626" t="s">
        <v>1236</v>
      </c>
      <c r="ODK2148" s="626" t="s">
        <v>1236</v>
      </c>
      <c r="ODL2148" s="626" t="s">
        <v>1236</v>
      </c>
      <c r="ODM2148" s="626" t="s">
        <v>1236</v>
      </c>
      <c r="ODN2148" s="626" t="s">
        <v>1236</v>
      </c>
      <c r="ODO2148" s="626" t="s">
        <v>1236</v>
      </c>
      <c r="ODP2148" s="626" t="s">
        <v>1236</v>
      </c>
      <c r="ODQ2148" s="626" t="s">
        <v>1236</v>
      </c>
      <c r="ODR2148" s="626" t="s">
        <v>1236</v>
      </c>
      <c r="ODS2148" s="626" t="s">
        <v>1236</v>
      </c>
      <c r="ODT2148" s="626" t="s">
        <v>1236</v>
      </c>
      <c r="ODU2148" s="626" t="s">
        <v>1236</v>
      </c>
      <c r="ODV2148" s="626" t="s">
        <v>1236</v>
      </c>
      <c r="ODW2148" s="626" t="s">
        <v>1236</v>
      </c>
      <c r="ODX2148" s="626" t="s">
        <v>1236</v>
      </c>
      <c r="ODY2148" s="626" t="s">
        <v>1236</v>
      </c>
      <c r="ODZ2148" s="626" t="s">
        <v>1236</v>
      </c>
      <c r="OEA2148" s="626" t="s">
        <v>1236</v>
      </c>
      <c r="OEB2148" s="626" t="s">
        <v>1236</v>
      </c>
      <c r="OEC2148" s="626" t="s">
        <v>1236</v>
      </c>
      <c r="OED2148" s="626" t="s">
        <v>1236</v>
      </c>
      <c r="OEE2148" s="626" t="s">
        <v>1236</v>
      </c>
      <c r="OEF2148" s="626" t="s">
        <v>1236</v>
      </c>
      <c r="OEG2148" s="626" t="s">
        <v>1236</v>
      </c>
      <c r="OEH2148" s="626" t="s">
        <v>1236</v>
      </c>
      <c r="OEI2148" s="626" t="s">
        <v>1236</v>
      </c>
      <c r="OEJ2148" s="626" t="s">
        <v>1236</v>
      </c>
      <c r="OEK2148" s="626" t="s">
        <v>1236</v>
      </c>
      <c r="OEL2148" s="626" t="s">
        <v>1236</v>
      </c>
      <c r="OEM2148" s="626" t="s">
        <v>1236</v>
      </c>
      <c r="OEN2148" s="626" t="s">
        <v>1236</v>
      </c>
      <c r="OEO2148" s="626" t="s">
        <v>1236</v>
      </c>
      <c r="OEP2148" s="626" t="s">
        <v>1236</v>
      </c>
      <c r="OEQ2148" s="626" t="s">
        <v>1236</v>
      </c>
      <c r="OER2148" s="626" t="s">
        <v>1236</v>
      </c>
      <c r="OES2148" s="626" t="s">
        <v>1236</v>
      </c>
      <c r="OET2148" s="626" t="s">
        <v>1236</v>
      </c>
      <c r="OEU2148" s="626" t="s">
        <v>1236</v>
      </c>
      <c r="OEV2148" s="626" t="s">
        <v>1236</v>
      </c>
      <c r="OEW2148" s="626" t="s">
        <v>1236</v>
      </c>
      <c r="OEX2148" s="626" t="s">
        <v>1236</v>
      </c>
      <c r="OEY2148" s="626" t="s">
        <v>1236</v>
      </c>
      <c r="OEZ2148" s="626" t="s">
        <v>1236</v>
      </c>
      <c r="OFA2148" s="626" t="s">
        <v>1236</v>
      </c>
      <c r="OFB2148" s="626" t="s">
        <v>1236</v>
      </c>
      <c r="OFC2148" s="626" t="s">
        <v>1236</v>
      </c>
      <c r="OFD2148" s="626" t="s">
        <v>1236</v>
      </c>
      <c r="OFE2148" s="626" t="s">
        <v>1236</v>
      </c>
      <c r="OFF2148" s="626" t="s">
        <v>1236</v>
      </c>
      <c r="OFG2148" s="626" t="s">
        <v>1236</v>
      </c>
      <c r="OFH2148" s="626" t="s">
        <v>1236</v>
      </c>
      <c r="OFI2148" s="626" t="s">
        <v>1236</v>
      </c>
      <c r="OFJ2148" s="626" t="s">
        <v>1236</v>
      </c>
      <c r="OFK2148" s="626" t="s">
        <v>1236</v>
      </c>
      <c r="OFL2148" s="626" t="s">
        <v>1236</v>
      </c>
      <c r="OFM2148" s="626" t="s">
        <v>1236</v>
      </c>
      <c r="OFN2148" s="626" t="s">
        <v>1236</v>
      </c>
      <c r="OFO2148" s="626" t="s">
        <v>1236</v>
      </c>
      <c r="OFP2148" s="626" t="s">
        <v>1236</v>
      </c>
      <c r="OFQ2148" s="626" t="s">
        <v>1236</v>
      </c>
      <c r="OFR2148" s="626" t="s">
        <v>1236</v>
      </c>
      <c r="OFS2148" s="626" t="s">
        <v>1236</v>
      </c>
      <c r="OFT2148" s="626" t="s">
        <v>1236</v>
      </c>
      <c r="OFU2148" s="626" t="s">
        <v>1236</v>
      </c>
      <c r="OFV2148" s="626" t="s">
        <v>1236</v>
      </c>
      <c r="OFW2148" s="626" t="s">
        <v>1236</v>
      </c>
      <c r="OFX2148" s="626" t="s">
        <v>1236</v>
      </c>
      <c r="OFY2148" s="626" t="s">
        <v>1236</v>
      </c>
      <c r="OFZ2148" s="626" t="s">
        <v>1236</v>
      </c>
      <c r="OGA2148" s="626" t="s">
        <v>1236</v>
      </c>
      <c r="OGB2148" s="626" t="s">
        <v>1236</v>
      </c>
      <c r="OGC2148" s="626" t="s">
        <v>1236</v>
      </c>
      <c r="OGD2148" s="626" t="s">
        <v>1236</v>
      </c>
      <c r="OGE2148" s="626" t="s">
        <v>1236</v>
      </c>
      <c r="OGF2148" s="626" t="s">
        <v>1236</v>
      </c>
      <c r="OGG2148" s="626" t="s">
        <v>1236</v>
      </c>
      <c r="OGH2148" s="626" t="s">
        <v>1236</v>
      </c>
      <c r="OGI2148" s="626" t="s">
        <v>1236</v>
      </c>
      <c r="OGJ2148" s="626" t="s">
        <v>1236</v>
      </c>
      <c r="OGK2148" s="626" t="s">
        <v>1236</v>
      </c>
      <c r="OGL2148" s="626" t="s">
        <v>1236</v>
      </c>
      <c r="OGM2148" s="626" t="s">
        <v>1236</v>
      </c>
      <c r="OGN2148" s="626" t="s">
        <v>1236</v>
      </c>
      <c r="OGO2148" s="626" t="s">
        <v>1236</v>
      </c>
      <c r="OGP2148" s="626" t="s">
        <v>1236</v>
      </c>
      <c r="OGQ2148" s="626" t="s">
        <v>1236</v>
      </c>
      <c r="OGR2148" s="626" t="s">
        <v>1236</v>
      </c>
      <c r="OGS2148" s="626" t="s">
        <v>1236</v>
      </c>
      <c r="OGT2148" s="626" t="s">
        <v>1236</v>
      </c>
      <c r="OGU2148" s="626" t="s">
        <v>1236</v>
      </c>
      <c r="OGV2148" s="626" t="s">
        <v>1236</v>
      </c>
      <c r="OGW2148" s="626" t="s">
        <v>1236</v>
      </c>
      <c r="OGX2148" s="626" t="s">
        <v>1236</v>
      </c>
      <c r="OGY2148" s="626" t="s">
        <v>1236</v>
      </c>
      <c r="OGZ2148" s="626" t="s">
        <v>1236</v>
      </c>
      <c r="OHA2148" s="626" t="s">
        <v>1236</v>
      </c>
      <c r="OHB2148" s="626" t="s">
        <v>1236</v>
      </c>
      <c r="OHC2148" s="626" t="s">
        <v>1236</v>
      </c>
      <c r="OHD2148" s="626" t="s">
        <v>1236</v>
      </c>
      <c r="OHE2148" s="626" t="s">
        <v>1236</v>
      </c>
      <c r="OHF2148" s="626" t="s">
        <v>1236</v>
      </c>
      <c r="OHG2148" s="626" t="s">
        <v>1236</v>
      </c>
      <c r="OHH2148" s="626" t="s">
        <v>1236</v>
      </c>
      <c r="OHI2148" s="626" t="s">
        <v>1236</v>
      </c>
      <c r="OHJ2148" s="626" t="s">
        <v>1236</v>
      </c>
      <c r="OHK2148" s="626" t="s">
        <v>1236</v>
      </c>
      <c r="OHL2148" s="626" t="s">
        <v>1236</v>
      </c>
      <c r="OHM2148" s="626" t="s">
        <v>1236</v>
      </c>
      <c r="OHN2148" s="626" t="s">
        <v>1236</v>
      </c>
      <c r="OHO2148" s="626" t="s">
        <v>1236</v>
      </c>
      <c r="OHP2148" s="626" t="s">
        <v>1236</v>
      </c>
      <c r="OHQ2148" s="626" t="s">
        <v>1236</v>
      </c>
      <c r="OHR2148" s="626" t="s">
        <v>1236</v>
      </c>
      <c r="OHS2148" s="626" t="s">
        <v>1236</v>
      </c>
      <c r="OHT2148" s="626" t="s">
        <v>1236</v>
      </c>
      <c r="OHU2148" s="626" t="s">
        <v>1236</v>
      </c>
      <c r="OHV2148" s="626" t="s">
        <v>1236</v>
      </c>
      <c r="OHW2148" s="626" t="s">
        <v>1236</v>
      </c>
      <c r="OHX2148" s="626" t="s">
        <v>1236</v>
      </c>
      <c r="OHY2148" s="626" t="s">
        <v>1236</v>
      </c>
      <c r="OHZ2148" s="626" t="s">
        <v>1236</v>
      </c>
      <c r="OIA2148" s="626" t="s">
        <v>1236</v>
      </c>
      <c r="OIB2148" s="626" t="s">
        <v>1236</v>
      </c>
      <c r="OIC2148" s="626" t="s">
        <v>1236</v>
      </c>
      <c r="OID2148" s="626" t="s">
        <v>1236</v>
      </c>
      <c r="OIE2148" s="626" t="s">
        <v>1236</v>
      </c>
      <c r="OIF2148" s="626" t="s">
        <v>1236</v>
      </c>
      <c r="OIG2148" s="626" t="s">
        <v>1236</v>
      </c>
      <c r="OIH2148" s="626" t="s">
        <v>1236</v>
      </c>
      <c r="OII2148" s="626" t="s">
        <v>1236</v>
      </c>
      <c r="OIJ2148" s="626" t="s">
        <v>1236</v>
      </c>
      <c r="OIK2148" s="626" t="s">
        <v>1236</v>
      </c>
      <c r="OIL2148" s="626" t="s">
        <v>1236</v>
      </c>
      <c r="OIM2148" s="626" t="s">
        <v>1236</v>
      </c>
      <c r="OIN2148" s="626" t="s">
        <v>1236</v>
      </c>
      <c r="OIO2148" s="626" t="s">
        <v>1236</v>
      </c>
      <c r="OIP2148" s="626" t="s">
        <v>1236</v>
      </c>
      <c r="OIQ2148" s="626" t="s">
        <v>1236</v>
      </c>
      <c r="OIR2148" s="626" t="s">
        <v>1236</v>
      </c>
      <c r="OIS2148" s="626" t="s">
        <v>1236</v>
      </c>
      <c r="OIT2148" s="626" t="s">
        <v>1236</v>
      </c>
      <c r="OIU2148" s="626" t="s">
        <v>1236</v>
      </c>
      <c r="OIV2148" s="626" t="s">
        <v>1236</v>
      </c>
      <c r="OIW2148" s="626" t="s">
        <v>1236</v>
      </c>
      <c r="OIX2148" s="626" t="s">
        <v>1236</v>
      </c>
      <c r="OIY2148" s="626" t="s">
        <v>1236</v>
      </c>
      <c r="OIZ2148" s="626" t="s">
        <v>1236</v>
      </c>
      <c r="OJA2148" s="626" t="s">
        <v>1236</v>
      </c>
      <c r="OJB2148" s="626" t="s">
        <v>1236</v>
      </c>
      <c r="OJC2148" s="626" t="s">
        <v>1236</v>
      </c>
      <c r="OJD2148" s="626" t="s">
        <v>1236</v>
      </c>
      <c r="OJE2148" s="626" t="s">
        <v>1236</v>
      </c>
      <c r="OJF2148" s="626" t="s">
        <v>1236</v>
      </c>
      <c r="OJG2148" s="626" t="s">
        <v>1236</v>
      </c>
      <c r="OJH2148" s="626" t="s">
        <v>1236</v>
      </c>
      <c r="OJI2148" s="626" t="s">
        <v>1236</v>
      </c>
      <c r="OJJ2148" s="626" t="s">
        <v>1236</v>
      </c>
      <c r="OJK2148" s="626" t="s">
        <v>1236</v>
      </c>
      <c r="OJL2148" s="626" t="s">
        <v>1236</v>
      </c>
      <c r="OJM2148" s="626" t="s">
        <v>1236</v>
      </c>
      <c r="OJN2148" s="626" t="s">
        <v>1236</v>
      </c>
      <c r="OJO2148" s="626" t="s">
        <v>1236</v>
      </c>
      <c r="OJP2148" s="626" t="s">
        <v>1236</v>
      </c>
      <c r="OJQ2148" s="626" t="s">
        <v>1236</v>
      </c>
      <c r="OJR2148" s="626" t="s">
        <v>1236</v>
      </c>
      <c r="OJS2148" s="626" t="s">
        <v>1236</v>
      </c>
      <c r="OJT2148" s="626" t="s">
        <v>1236</v>
      </c>
      <c r="OJU2148" s="626" t="s">
        <v>1236</v>
      </c>
      <c r="OJV2148" s="626" t="s">
        <v>1236</v>
      </c>
      <c r="OJW2148" s="626" t="s">
        <v>1236</v>
      </c>
      <c r="OJX2148" s="626" t="s">
        <v>1236</v>
      </c>
      <c r="OJY2148" s="626" t="s">
        <v>1236</v>
      </c>
      <c r="OJZ2148" s="626" t="s">
        <v>1236</v>
      </c>
      <c r="OKA2148" s="626" t="s">
        <v>1236</v>
      </c>
      <c r="OKB2148" s="626" t="s">
        <v>1236</v>
      </c>
      <c r="OKC2148" s="626" t="s">
        <v>1236</v>
      </c>
      <c r="OKD2148" s="626" t="s">
        <v>1236</v>
      </c>
      <c r="OKE2148" s="626" t="s">
        <v>1236</v>
      </c>
      <c r="OKF2148" s="626" t="s">
        <v>1236</v>
      </c>
      <c r="OKG2148" s="626" t="s">
        <v>1236</v>
      </c>
      <c r="OKH2148" s="626" t="s">
        <v>1236</v>
      </c>
      <c r="OKI2148" s="626" t="s">
        <v>1236</v>
      </c>
      <c r="OKJ2148" s="626" t="s">
        <v>1236</v>
      </c>
      <c r="OKK2148" s="626" t="s">
        <v>1236</v>
      </c>
      <c r="OKL2148" s="626" t="s">
        <v>1236</v>
      </c>
      <c r="OKM2148" s="626" t="s">
        <v>1236</v>
      </c>
      <c r="OKN2148" s="626" t="s">
        <v>1236</v>
      </c>
      <c r="OKO2148" s="626" t="s">
        <v>1236</v>
      </c>
      <c r="OKP2148" s="626" t="s">
        <v>1236</v>
      </c>
      <c r="OKQ2148" s="626" t="s">
        <v>1236</v>
      </c>
      <c r="OKR2148" s="626" t="s">
        <v>1236</v>
      </c>
      <c r="OKS2148" s="626" t="s">
        <v>1236</v>
      </c>
      <c r="OKT2148" s="626" t="s">
        <v>1236</v>
      </c>
      <c r="OKU2148" s="626" t="s">
        <v>1236</v>
      </c>
      <c r="OKV2148" s="626" t="s">
        <v>1236</v>
      </c>
      <c r="OKW2148" s="626" t="s">
        <v>1236</v>
      </c>
      <c r="OKX2148" s="626" t="s">
        <v>1236</v>
      </c>
      <c r="OKY2148" s="626" t="s">
        <v>1236</v>
      </c>
      <c r="OKZ2148" s="626" t="s">
        <v>1236</v>
      </c>
      <c r="OLA2148" s="626" t="s">
        <v>1236</v>
      </c>
      <c r="OLB2148" s="626" t="s">
        <v>1236</v>
      </c>
      <c r="OLC2148" s="626" t="s">
        <v>1236</v>
      </c>
      <c r="OLD2148" s="626" t="s">
        <v>1236</v>
      </c>
      <c r="OLE2148" s="626" t="s">
        <v>1236</v>
      </c>
      <c r="OLF2148" s="626" t="s">
        <v>1236</v>
      </c>
      <c r="OLG2148" s="626" t="s">
        <v>1236</v>
      </c>
      <c r="OLH2148" s="626" t="s">
        <v>1236</v>
      </c>
      <c r="OLI2148" s="626" t="s">
        <v>1236</v>
      </c>
      <c r="OLJ2148" s="626" t="s">
        <v>1236</v>
      </c>
      <c r="OLK2148" s="626" t="s">
        <v>1236</v>
      </c>
      <c r="OLL2148" s="626" t="s">
        <v>1236</v>
      </c>
      <c r="OLM2148" s="626" t="s">
        <v>1236</v>
      </c>
      <c r="OLN2148" s="626" t="s">
        <v>1236</v>
      </c>
      <c r="OLO2148" s="626" t="s">
        <v>1236</v>
      </c>
      <c r="OLP2148" s="626" t="s">
        <v>1236</v>
      </c>
      <c r="OLQ2148" s="626" t="s">
        <v>1236</v>
      </c>
      <c r="OLR2148" s="626" t="s">
        <v>1236</v>
      </c>
      <c r="OLS2148" s="626" t="s">
        <v>1236</v>
      </c>
      <c r="OLT2148" s="626" t="s">
        <v>1236</v>
      </c>
      <c r="OLU2148" s="626" t="s">
        <v>1236</v>
      </c>
      <c r="OLV2148" s="626" t="s">
        <v>1236</v>
      </c>
      <c r="OLW2148" s="626" t="s">
        <v>1236</v>
      </c>
      <c r="OLX2148" s="626" t="s">
        <v>1236</v>
      </c>
      <c r="OLY2148" s="626" t="s">
        <v>1236</v>
      </c>
      <c r="OLZ2148" s="626" t="s">
        <v>1236</v>
      </c>
      <c r="OMA2148" s="626" t="s">
        <v>1236</v>
      </c>
      <c r="OMB2148" s="626" t="s">
        <v>1236</v>
      </c>
      <c r="OMC2148" s="626" t="s">
        <v>1236</v>
      </c>
      <c r="OMD2148" s="626" t="s">
        <v>1236</v>
      </c>
      <c r="OME2148" s="626" t="s">
        <v>1236</v>
      </c>
      <c r="OMF2148" s="626" t="s">
        <v>1236</v>
      </c>
      <c r="OMG2148" s="626" t="s">
        <v>1236</v>
      </c>
      <c r="OMH2148" s="626" t="s">
        <v>1236</v>
      </c>
      <c r="OMI2148" s="626" t="s">
        <v>1236</v>
      </c>
      <c r="OMJ2148" s="626" t="s">
        <v>1236</v>
      </c>
      <c r="OMK2148" s="626" t="s">
        <v>1236</v>
      </c>
      <c r="OML2148" s="626" t="s">
        <v>1236</v>
      </c>
      <c r="OMM2148" s="626" t="s">
        <v>1236</v>
      </c>
      <c r="OMN2148" s="626" t="s">
        <v>1236</v>
      </c>
      <c r="OMO2148" s="626" t="s">
        <v>1236</v>
      </c>
      <c r="OMP2148" s="626" t="s">
        <v>1236</v>
      </c>
      <c r="OMQ2148" s="626" t="s">
        <v>1236</v>
      </c>
      <c r="OMR2148" s="626" t="s">
        <v>1236</v>
      </c>
      <c r="OMS2148" s="626" t="s">
        <v>1236</v>
      </c>
      <c r="OMT2148" s="626" t="s">
        <v>1236</v>
      </c>
      <c r="OMU2148" s="626" t="s">
        <v>1236</v>
      </c>
      <c r="OMV2148" s="626" t="s">
        <v>1236</v>
      </c>
      <c r="OMW2148" s="626" t="s">
        <v>1236</v>
      </c>
      <c r="OMX2148" s="626" t="s">
        <v>1236</v>
      </c>
      <c r="OMY2148" s="626" t="s">
        <v>1236</v>
      </c>
      <c r="OMZ2148" s="626" t="s">
        <v>1236</v>
      </c>
      <c r="ONA2148" s="626" t="s">
        <v>1236</v>
      </c>
      <c r="ONB2148" s="626" t="s">
        <v>1236</v>
      </c>
      <c r="ONC2148" s="626" t="s">
        <v>1236</v>
      </c>
      <c r="OND2148" s="626" t="s">
        <v>1236</v>
      </c>
      <c r="ONE2148" s="626" t="s">
        <v>1236</v>
      </c>
      <c r="ONF2148" s="626" t="s">
        <v>1236</v>
      </c>
      <c r="ONG2148" s="626" t="s">
        <v>1236</v>
      </c>
      <c r="ONH2148" s="626" t="s">
        <v>1236</v>
      </c>
      <c r="ONI2148" s="626" t="s">
        <v>1236</v>
      </c>
      <c r="ONJ2148" s="626" t="s">
        <v>1236</v>
      </c>
      <c r="ONK2148" s="626" t="s">
        <v>1236</v>
      </c>
      <c r="ONL2148" s="626" t="s">
        <v>1236</v>
      </c>
      <c r="ONM2148" s="626" t="s">
        <v>1236</v>
      </c>
      <c r="ONN2148" s="626" t="s">
        <v>1236</v>
      </c>
      <c r="ONO2148" s="626" t="s">
        <v>1236</v>
      </c>
      <c r="ONP2148" s="626" t="s">
        <v>1236</v>
      </c>
      <c r="ONQ2148" s="626" t="s">
        <v>1236</v>
      </c>
      <c r="ONR2148" s="626" t="s">
        <v>1236</v>
      </c>
      <c r="ONS2148" s="626" t="s">
        <v>1236</v>
      </c>
      <c r="ONT2148" s="626" t="s">
        <v>1236</v>
      </c>
      <c r="ONU2148" s="626" t="s">
        <v>1236</v>
      </c>
      <c r="ONV2148" s="626" t="s">
        <v>1236</v>
      </c>
      <c r="ONW2148" s="626" t="s">
        <v>1236</v>
      </c>
      <c r="ONX2148" s="626" t="s">
        <v>1236</v>
      </c>
      <c r="ONY2148" s="626" t="s">
        <v>1236</v>
      </c>
      <c r="ONZ2148" s="626" t="s">
        <v>1236</v>
      </c>
      <c r="OOA2148" s="626" t="s">
        <v>1236</v>
      </c>
      <c r="OOB2148" s="626" t="s">
        <v>1236</v>
      </c>
      <c r="OOC2148" s="626" t="s">
        <v>1236</v>
      </c>
      <c r="OOD2148" s="626" t="s">
        <v>1236</v>
      </c>
      <c r="OOE2148" s="626" t="s">
        <v>1236</v>
      </c>
      <c r="OOF2148" s="626" t="s">
        <v>1236</v>
      </c>
      <c r="OOG2148" s="626" t="s">
        <v>1236</v>
      </c>
      <c r="OOH2148" s="626" t="s">
        <v>1236</v>
      </c>
      <c r="OOI2148" s="626" t="s">
        <v>1236</v>
      </c>
      <c r="OOJ2148" s="626" t="s">
        <v>1236</v>
      </c>
      <c r="OOK2148" s="626" t="s">
        <v>1236</v>
      </c>
      <c r="OOL2148" s="626" t="s">
        <v>1236</v>
      </c>
      <c r="OOM2148" s="626" t="s">
        <v>1236</v>
      </c>
      <c r="OON2148" s="626" t="s">
        <v>1236</v>
      </c>
      <c r="OOO2148" s="626" t="s">
        <v>1236</v>
      </c>
      <c r="OOP2148" s="626" t="s">
        <v>1236</v>
      </c>
      <c r="OOQ2148" s="626" t="s">
        <v>1236</v>
      </c>
      <c r="OOR2148" s="626" t="s">
        <v>1236</v>
      </c>
      <c r="OOS2148" s="626" t="s">
        <v>1236</v>
      </c>
      <c r="OOT2148" s="626" t="s">
        <v>1236</v>
      </c>
      <c r="OOU2148" s="626" t="s">
        <v>1236</v>
      </c>
      <c r="OOV2148" s="626" t="s">
        <v>1236</v>
      </c>
      <c r="OOW2148" s="626" t="s">
        <v>1236</v>
      </c>
      <c r="OOX2148" s="626" t="s">
        <v>1236</v>
      </c>
      <c r="OOY2148" s="626" t="s">
        <v>1236</v>
      </c>
      <c r="OOZ2148" s="626" t="s">
        <v>1236</v>
      </c>
      <c r="OPA2148" s="626" t="s">
        <v>1236</v>
      </c>
      <c r="OPB2148" s="626" t="s">
        <v>1236</v>
      </c>
      <c r="OPC2148" s="626" t="s">
        <v>1236</v>
      </c>
      <c r="OPD2148" s="626" t="s">
        <v>1236</v>
      </c>
      <c r="OPE2148" s="626" t="s">
        <v>1236</v>
      </c>
      <c r="OPF2148" s="626" t="s">
        <v>1236</v>
      </c>
      <c r="OPG2148" s="626" t="s">
        <v>1236</v>
      </c>
      <c r="OPH2148" s="626" t="s">
        <v>1236</v>
      </c>
      <c r="OPI2148" s="626" t="s">
        <v>1236</v>
      </c>
      <c r="OPJ2148" s="626" t="s">
        <v>1236</v>
      </c>
      <c r="OPK2148" s="626" t="s">
        <v>1236</v>
      </c>
      <c r="OPL2148" s="626" t="s">
        <v>1236</v>
      </c>
      <c r="OPM2148" s="626" t="s">
        <v>1236</v>
      </c>
      <c r="OPN2148" s="626" t="s">
        <v>1236</v>
      </c>
      <c r="OPO2148" s="626" t="s">
        <v>1236</v>
      </c>
      <c r="OPP2148" s="626" t="s">
        <v>1236</v>
      </c>
      <c r="OPQ2148" s="626" t="s">
        <v>1236</v>
      </c>
      <c r="OPR2148" s="626" t="s">
        <v>1236</v>
      </c>
      <c r="OPS2148" s="626" t="s">
        <v>1236</v>
      </c>
      <c r="OPT2148" s="626" t="s">
        <v>1236</v>
      </c>
      <c r="OPU2148" s="626" t="s">
        <v>1236</v>
      </c>
      <c r="OPV2148" s="626" t="s">
        <v>1236</v>
      </c>
      <c r="OPW2148" s="626" t="s">
        <v>1236</v>
      </c>
      <c r="OPX2148" s="626" t="s">
        <v>1236</v>
      </c>
      <c r="OPY2148" s="626" t="s">
        <v>1236</v>
      </c>
      <c r="OPZ2148" s="626" t="s">
        <v>1236</v>
      </c>
      <c r="OQA2148" s="626" t="s">
        <v>1236</v>
      </c>
      <c r="OQB2148" s="626" t="s">
        <v>1236</v>
      </c>
      <c r="OQC2148" s="626" t="s">
        <v>1236</v>
      </c>
      <c r="OQD2148" s="626" t="s">
        <v>1236</v>
      </c>
      <c r="OQE2148" s="626" t="s">
        <v>1236</v>
      </c>
      <c r="OQF2148" s="626" t="s">
        <v>1236</v>
      </c>
      <c r="OQG2148" s="626" t="s">
        <v>1236</v>
      </c>
      <c r="OQH2148" s="626" t="s">
        <v>1236</v>
      </c>
      <c r="OQI2148" s="626" t="s">
        <v>1236</v>
      </c>
      <c r="OQJ2148" s="626" t="s">
        <v>1236</v>
      </c>
      <c r="OQK2148" s="626" t="s">
        <v>1236</v>
      </c>
      <c r="OQL2148" s="626" t="s">
        <v>1236</v>
      </c>
      <c r="OQM2148" s="626" t="s">
        <v>1236</v>
      </c>
      <c r="OQN2148" s="626" t="s">
        <v>1236</v>
      </c>
      <c r="OQO2148" s="626" t="s">
        <v>1236</v>
      </c>
      <c r="OQP2148" s="626" t="s">
        <v>1236</v>
      </c>
      <c r="OQQ2148" s="626" t="s">
        <v>1236</v>
      </c>
      <c r="OQR2148" s="626" t="s">
        <v>1236</v>
      </c>
      <c r="OQS2148" s="626" t="s">
        <v>1236</v>
      </c>
      <c r="OQT2148" s="626" t="s">
        <v>1236</v>
      </c>
      <c r="OQU2148" s="626" t="s">
        <v>1236</v>
      </c>
      <c r="OQV2148" s="626" t="s">
        <v>1236</v>
      </c>
      <c r="OQW2148" s="626" t="s">
        <v>1236</v>
      </c>
      <c r="OQX2148" s="626" t="s">
        <v>1236</v>
      </c>
      <c r="OQY2148" s="626" t="s">
        <v>1236</v>
      </c>
      <c r="OQZ2148" s="626" t="s">
        <v>1236</v>
      </c>
      <c r="ORA2148" s="626" t="s">
        <v>1236</v>
      </c>
      <c r="ORB2148" s="626" t="s">
        <v>1236</v>
      </c>
      <c r="ORC2148" s="626" t="s">
        <v>1236</v>
      </c>
      <c r="ORD2148" s="626" t="s">
        <v>1236</v>
      </c>
      <c r="ORE2148" s="626" t="s">
        <v>1236</v>
      </c>
      <c r="ORF2148" s="626" t="s">
        <v>1236</v>
      </c>
      <c r="ORG2148" s="626" t="s">
        <v>1236</v>
      </c>
      <c r="ORH2148" s="626" t="s">
        <v>1236</v>
      </c>
      <c r="ORI2148" s="626" t="s">
        <v>1236</v>
      </c>
      <c r="ORJ2148" s="626" t="s">
        <v>1236</v>
      </c>
      <c r="ORK2148" s="626" t="s">
        <v>1236</v>
      </c>
      <c r="ORL2148" s="626" t="s">
        <v>1236</v>
      </c>
      <c r="ORM2148" s="626" t="s">
        <v>1236</v>
      </c>
      <c r="ORN2148" s="626" t="s">
        <v>1236</v>
      </c>
      <c r="ORO2148" s="626" t="s">
        <v>1236</v>
      </c>
      <c r="ORP2148" s="626" t="s">
        <v>1236</v>
      </c>
      <c r="ORQ2148" s="626" t="s">
        <v>1236</v>
      </c>
      <c r="ORR2148" s="626" t="s">
        <v>1236</v>
      </c>
      <c r="ORS2148" s="626" t="s">
        <v>1236</v>
      </c>
      <c r="ORT2148" s="626" t="s">
        <v>1236</v>
      </c>
      <c r="ORU2148" s="626" t="s">
        <v>1236</v>
      </c>
      <c r="ORV2148" s="626" t="s">
        <v>1236</v>
      </c>
      <c r="ORW2148" s="626" t="s">
        <v>1236</v>
      </c>
      <c r="ORX2148" s="626" t="s">
        <v>1236</v>
      </c>
      <c r="ORY2148" s="626" t="s">
        <v>1236</v>
      </c>
      <c r="ORZ2148" s="626" t="s">
        <v>1236</v>
      </c>
      <c r="OSA2148" s="626" t="s">
        <v>1236</v>
      </c>
      <c r="OSB2148" s="626" t="s">
        <v>1236</v>
      </c>
      <c r="OSC2148" s="626" t="s">
        <v>1236</v>
      </c>
      <c r="OSD2148" s="626" t="s">
        <v>1236</v>
      </c>
      <c r="OSE2148" s="626" t="s">
        <v>1236</v>
      </c>
      <c r="OSF2148" s="626" t="s">
        <v>1236</v>
      </c>
      <c r="OSG2148" s="626" t="s">
        <v>1236</v>
      </c>
      <c r="OSH2148" s="626" t="s">
        <v>1236</v>
      </c>
      <c r="OSI2148" s="626" t="s">
        <v>1236</v>
      </c>
      <c r="OSJ2148" s="626" t="s">
        <v>1236</v>
      </c>
      <c r="OSK2148" s="626" t="s">
        <v>1236</v>
      </c>
      <c r="OSL2148" s="626" t="s">
        <v>1236</v>
      </c>
      <c r="OSM2148" s="626" t="s">
        <v>1236</v>
      </c>
      <c r="OSN2148" s="626" t="s">
        <v>1236</v>
      </c>
      <c r="OSO2148" s="626" t="s">
        <v>1236</v>
      </c>
      <c r="OSP2148" s="626" t="s">
        <v>1236</v>
      </c>
      <c r="OSQ2148" s="626" t="s">
        <v>1236</v>
      </c>
      <c r="OSR2148" s="626" t="s">
        <v>1236</v>
      </c>
      <c r="OSS2148" s="626" t="s">
        <v>1236</v>
      </c>
      <c r="OST2148" s="626" t="s">
        <v>1236</v>
      </c>
      <c r="OSU2148" s="626" t="s">
        <v>1236</v>
      </c>
      <c r="OSV2148" s="626" t="s">
        <v>1236</v>
      </c>
      <c r="OSW2148" s="626" t="s">
        <v>1236</v>
      </c>
      <c r="OSX2148" s="626" t="s">
        <v>1236</v>
      </c>
      <c r="OSY2148" s="626" t="s">
        <v>1236</v>
      </c>
      <c r="OSZ2148" s="626" t="s">
        <v>1236</v>
      </c>
      <c r="OTA2148" s="626" t="s">
        <v>1236</v>
      </c>
      <c r="OTB2148" s="626" t="s">
        <v>1236</v>
      </c>
      <c r="OTC2148" s="626" t="s">
        <v>1236</v>
      </c>
      <c r="OTD2148" s="626" t="s">
        <v>1236</v>
      </c>
      <c r="OTE2148" s="626" t="s">
        <v>1236</v>
      </c>
      <c r="OTF2148" s="626" t="s">
        <v>1236</v>
      </c>
      <c r="OTG2148" s="626" t="s">
        <v>1236</v>
      </c>
      <c r="OTH2148" s="626" t="s">
        <v>1236</v>
      </c>
      <c r="OTI2148" s="626" t="s">
        <v>1236</v>
      </c>
      <c r="OTJ2148" s="626" t="s">
        <v>1236</v>
      </c>
      <c r="OTK2148" s="626" t="s">
        <v>1236</v>
      </c>
      <c r="OTL2148" s="626" t="s">
        <v>1236</v>
      </c>
      <c r="OTM2148" s="626" t="s">
        <v>1236</v>
      </c>
      <c r="OTN2148" s="626" t="s">
        <v>1236</v>
      </c>
      <c r="OTO2148" s="626" t="s">
        <v>1236</v>
      </c>
      <c r="OTP2148" s="626" t="s">
        <v>1236</v>
      </c>
      <c r="OTQ2148" s="626" t="s">
        <v>1236</v>
      </c>
      <c r="OTR2148" s="626" t="s">
        <v>1236</v>
      </c>
      <c r="OTS2148" s="626" t="s">
        <v>1236</v>
      </c>
      <c r="OTT2148" s="626" t="s">
        <v>1236</v>
      </c>
      <c r="OTU2148" s="626" t="s">
        <v>1236</v>
      </c>
      <c r="OTV2148" s="626" t="s">
        <v>1236</v>
      </c>
      <c r="OTW2148" s="626" t="s">
        <v>1236</v>
      </c>
      <c r="OTX2148" s="626" t="s">
        <v>1236</v>
      </c>
      <c r="OTY2148" s="626" t="s">
        <v>1236</v>
      </c>
      <c r="OTZ2148" s="626" t="s">
        <v>1236</v>
      </c>
      <c r="OUA2148" s="626" t="s">
        <v>1236</v>
      </c>
      <c r="OUB2148" s="626" t="s">
        <v>1236</v>
      </c>
      <c r="OUC2148" s="626" t="s">
        <v>1236</v>
      </c>
      <c r="OUD2148" s="626" t="s">
        <v>1236</v>
      </c>
      <c r="OUE2148" s="626" t="s">
        <v>1236</v>
      </c>
      <c r="OUF2148" s="626" t="s">
        <v>1236</v>
      </c>
      <c r="OUG2148" s="626" t="s">
        <v>1236</v>
      </c>
      <c r="OUH2148" s="626" t="s">
        <v>1236</v>
      </c>
      <c r="OUI2148" s="626" t="s">
        <v>1236</v>
      </c>
      <c r="OUJ2148" s="626" t="s">
        <v>1236</v>
      </c>
      <c r="OUK2148" s="626" t="s">
        <v>1236</v>
      </c>
      <c r="OUL2148" s="626" t="s">
        <v>1236</v>
      </c>
      <c r="OUM2148" s="626" t="s">
        <v>1236</v>
      </c>
      <c r="OUN2148" s="626" t="s">
        <v>1236</v>
      </c>
      <c r="OUO2148" s="626" t="s">
        <v>1236</v>
      </c>
      <c r="OUP2148" s="626" t="s">
        <v>1236</v>
      </c>
      <c r="OUQ2148" s="626" t="s">
        <v>1236</v>
      </c>
      <c r="OUR2148" s="626" t="s">
        <v>1236</v>
      </c>
      <c r="OUS2148" s="626" t="s">
        <v>1236</v>
      </c>
      <c r="OUT2148" s="626" t="s">
        <v>1236</v>
      </c>
      <c r="OUU2148" s="626" t="s">
        <v>1236</v>
      </c>
      <c r="OUV2148" s="626" t="s">
        <v>1236</v>
      </c>
      <c r="OUW2148" s="626" t="s">
        <v>1236</v>
      </c>
      <c r="OUX2148" s="626" t="s">
        <v>1236</v>
      </c>
      <c r="OUY2148" s="626" t="s">
        <v>1236</v>
      </c>
      <c r="OUZ2148" s="626" t="s">
        <v>1236</v>
      </c>
      <c r="OVA2148" s="626" t="s">
        <v>1236</v>
      </c>
      <c r="OVB2148" s="626" t="s">
        <v>1236</v>
      </c>
      <c r="OVC2148" s="626" t="s">
        <v>1236</v>
      </c>
      <c r="OVD2148" s="626" t="s">
        <v>1236</v>
      </c>
      <c r="OVE2148" s="626" t="s">
        <v>1236</v>
      </c>
      <c r="OVF2148" s="626" t="s">
        <v>1236</v>
      </c>
      <c r="OVG2148" s="626" t="s">
        <v>1236</v>
      </c>
      <c r="OVH2148" s="626" t="s">
        <v>1236</v>
      </c>
      <c r="OVI2148" s="626" t="s">
        <v>1236</v>
      </c>
      <c r="OVJ2148" s="626" t="s">
        <v>1236</v>
      </c>
      <c r="OVK2148" s="626" t="s">
        <v>1236</v>
      </c>
      <c r="OVL2148" s="626" t="s">
        <v>1236</v>
      </c>
      <c r="OVM2148" s="626" t="s">
        <v>1236</v>
      </c>
      <c r="OVN2148" s="626" t="s">
        <v>1236</v>
      </c>
      <c r="OVO2148" s="626" t="s">
        <v>1236</v>
      </c>
      <c r="OVP2148" s="626" t="s">
        <v>1236</v>
      </c>
      <c r="OVQ2148" s="626" t="s">
        <v>1236</v>
      </c>
      <c r="OVR2148" s="626" t="s">
        <v>1236</v>
      </c>
      <c r="OVS2148" s="626" t="s">
        <v>1236</v>
      </c>
      <c r="OVT2148" s="626" t="s">
        <v>1236</v>
      </c>
      <c r="OVU2148" s="626" t="s">
        <v>1236</v>
      </c>
      <c r="OVV2148" s="626" t="s">
        <v>1236</v>
      </c>
      <c r="OVW2148" s="626" t="s">
        <v>1236</v>
      </c>
      <c r="OVX2148" s="626" t="s">
        <v>1236</v>
      </c>
      <c r="OVY2148" s="626" t="s">
        <v>1236</v>
      </c>
      <c r="OVZ2148" s="626" t="s">
        <v>1236</v>
      </c>
      <c r="OWA2148" s="626" t="s">
        <v>1236</v>
      </c>
      <c r="OWB2148" s="626" t="s">
        <v>1236</v>
      </c>
      <c r="OWC2148" s="626" t="s">
        <v>1236</v>
      </c>
      <c r="OWD2148" s="626" t="s">
        <v>1236</v>
      </c>
      <c r="OWE2148" s="626" t="s">
        <v>1236</v>
      </c>
      <c r="OWF2148" s="626" t="s">
        <v>1236</v>
      </c>
      <c r="OWG2148" s="626" t="s">
        <v>1236</v>
      </c>
      <c r="OWH2148" s="626" t="s">
        <v>1236</v>
      </c>
      <c r="OWI2148" s="626" t="s">
        <v>1236</v>
      </c>
      <c r="OWJ2148" s="626" t="s">
        <v>1236</v>
      </c>
      <c r="OWK2148" s="626" t="s">
        <v>1236</v>
      </c>
      <c r="OWL2148" s="626" t="s">
        <v>1236</v>
      </c>
      <c r="OWM2148" s="626" t="s">
        <v>1236</v>
      </c>
      <c r="OWN2148" s="626" t="s">
        <v>1236</v>
      </c>
      <c r="OWO2148" s="626" t="s">
        <v>1236</v>
      </c>
      <c r="OWP2148" s="626" t="s">
        <v>1236</v>
      </c>
      <c r="OWQ2148" s="626" t="s">
        <v>1236</v>
      </c>
      <c r="OWR2148" s="626" t="s">
        <v>1236</v>
      </c>
      <c r="OWS2148" s="626" t="s">
        <v>1236</v>
      </c>
      <c r="OWT2148" s="626" t="s">
        <v>1236</v>
      </c>
      <c r="OWU2148" s="626" t="s">
        <v>1236</v>
      </c>
      <c r="OWV2148" s="626" t="s">
        <v>1236</v>
      </c>
      <c r="OWW2148" s="626" t="s">
        <v>1236</v>
      </c>
      <c r="OWX2148" s="626" t="s">
        <v>1236</v>
      </c>
      <c r="OWY2148" s="626" t="s">
        <v>1236</v>
      </c>
      <c r="OWZ2148" s="626" t="s">
        <v>1236</v>
      </c>
      <c r="OXA2148" s="626" t="s">
        <v>1236</v>
      </c>
      <c r="OXB2148" s="626" t="s">
        <v>1236</v>
      </c>
      <c r="OXC2148" s="626" t="s">
        <v>1236</v>
      </c>
      <c r="OXD2148" s="626" t="s">
        <v>1236</v>
      </c>
      <c r="OXE2148" s="626" t="s">
        <v>1236</v>
      </c>
      <c r="OXF2148" s="626" t="s">
        <v>1236</v>
      </c>
      <c r="OXG2148" s="626" t="s">
        <v>1236</v>
      </c>
      <c r="OXH2148" s="626" t="s">
        <v>1236</v>
      </c>
      <c r="OXI2148" s="626" t="s">
        <v>1236</v>
      </c>
      <c r="OXJ2148" s="626" t="s">
        <v>1236</v>
      </c>
      <c r="OXK2148" s="626" t="s">
        <v>1236</v>
      </c>
      <c r="OXL2148" s="626" t="s">
        <v>1236</v>
      </c>
      <c r="OXM2148" s="626" t="s">
        <v>1236</v>
      </c>
      <c r="OXN2148" s="626" t="s">
        <v>1236</v>
      </c>
      <c r="OXO2148" s="626" t="s">
        <v>1236</v>
      </c>
      <c r="OXP2148" s="626" t="s">
        <v>1236</v>
      </c>
      <c r="OXQ2148" s="626" t="s">
        <v>1236</v>
      </c>
      <c r="OXR2148" s="626" t="s">
        <v>1236</v>
      </c>
      <c r="OXS2148" s="626" t="s">
        <v>1236</v>
      </c>
      <c r="OXT2148" s="626" t="s">
        <v>1236</v>
      </c>
      <c r="OXU2148" s="626" t="s">
        <v>1236</v>
      </c>
      <c r="OXV2148" s="626" t="s">
        <v>1236</v>
      </c>
      <c r="OXW2148" s="626" t="s">
        <v>1236</v>
      </c>
      <c r="OXX2148" s="626" t="s">
        <v>1236</v>
      </c>
      <c r="OXY2148" s="626" t="s">
        <v>1236</v>
      </c>
      <c r="OXZ2148" s="626" t="s">
        <v>1236</v>
      </c>
      <c r="OYA2148" s="626" t="s">
        <v>1236</v>
      </c>
      <c r="OYB2148" s="626" t="s">
        <v>1236</v>
      </c>
      <c r="OYC2148" s="626" t="s">
        <v>1236</v>
      </c>
      <c r="OYD2148" s="626" t="s">
        <v>1236</v>
      </c>
      <c r="OYE2148" s="626" t="s">
        <v>1236</v>
      </c>
      <c r="OYF2148" s="626" t="s">
        <v>1236</v>
      </c>
      <c r="OYG2148" s="626" t="s">
        <v>1236</v>
      </c>
      <c r="OYH2148" s="626" t="s">
        <v>1236</v>
      </c>
      <c r="OYI2148" s="626" t="s">
        <v>1236</v>
      </c>
      <c r="OYJ2148" s="626" t="s">
        <v>1236</v>
      </c>
      <c r="OYK2148" s="626" t="s">
        <v>1236</v>
      </c>
      <c r="OYL2148" s="626" t="s">
        <v>1236</v>
      </c>
      <c r="OYM2148" s="626" t="s">
        <v>1236</v>
      </c>
      <c r="OYN2148" s="626" t="s">
        <v>1236</v>
      </c>
      <c r="OYO2148" s="626" t="s">
        <v>1236</v>
      </c>
      <c r="OYP2148" s="626" t="s">
        <v>1236</v>
      </c>
      <c r="OYQ2148" s="626" t="s">
        <v>1236</v>
      </c>
      <c r="OYR2148" s="626" t="s">
        <v>1236</v>
      </c>
      <c r="OYS2148" s="626" t="s">
        <v>1236</v>
      </c>
      <c r="OYT2148" s="626" t="s">
        <v>1236</v>
      </c>
      <c r="OYU2148" s="626" t="s">
        <v>1236</v>
      </c>
      <c r="OYV2148" s="626" t="s">
        <v>1236</v>
      </c>
      <c r="OYW2148" s="626" t="s">
        <v>1236</v>
      </c>
      <c r="OYX2148" s="626" t="s">
        <v>1236</v>
      </c>
      <c r="OYY2148" s="626" t="s">
        <v>1236</v>
      </c>
      <c r="OYZ2148" s="626" t="s">
        <v>1236</v>
      </c>
      <c r="OZA2148" s="626" t="s">
        <v>1236</v>
      </c>
      <c r="OZB2148" s="626" t="s">
        <v>1236</v>
      </c>
      <c r="OZC2148" s="626" t="s">
        <v>1236</v>
      </c>
      <c r="OZD2148" s="626" t="s">
        <v>1236</v>
      </c>
      <c r="OZE2148" s="626" t="s">
        <v>1236</v>
      </c>
      <c r="OZF2148" s="626" t="s">
        <v>1236</v>
      </c>
      <c r="OZG2148" s="626" t="s">
        <v>1236</v>
      </c>
      <c r="OZH2148" s="626" t="s">
        <v>1236</v>
      </c>
      <c r="OZI2148" s="626" t="s">
        <v>1236</v>
      </c>
      <c r="OZJ2148" s="626" t="s">
        <v>1236</v>
      </c>
      <c r="OZK2148" s="626" t="s">
        <v>1236</v>
      </c>
      <c r="OZL2148" s="626" t="s">
        <v>1236</v>
      </c>
      <c r="OZM2148" s="626" t="s">
        <v>1236</v>
      </c>
      <c r="OZN2148" s="626" t="s">
        <v>1236</v>
      </c>
      <c r="OZO2148" s="626" t="s">
        <v>1236</v>
      </c>
      <c r="OZP2148" s="626" t="s">
        <v>1236</v>
      </c>
      <c r="OZQ2148" s="626" t="s">
        <v>1236</v>
      </c>
      <c r="OZR2148" s="626" t="s">
        <v>1236</v>
      </c>
      <c r="OZS2148" s="626" t="s">
        <v>1236</v>
      </c>
      <c r="OZT2148" s="626" t="s">
        <v>1236</v>
      </c>
      <c r="OZU2148" s="626" t="s">
        <v>1236</v>
      </c>
      <c r="OZV2148" s="626" t="s">
        <v>1236</v>
      </c>
      <c r="OZW2148" s="626" t="s">
        <v>1236</v>
      </c>
      <c r="OZX2148" s="626" t="s">
        <v>1236</v>
      </c>
      <c r="OZY2148" s="626" t="s">
        <v>1236</v>
      </c>
      <c r="OZZ2148" s="626" t="s">
        <v>1236</v>
      </c>
      <c r="PAA2148" s="626" t="s">
        <v>1236</v>
      </c>
      <c r="PAB2148" s="626" t="s">
        <v>1236</v>
      </c>
      <c r="PAC2148" s="626" t="s">
        <v>1236</v>
      </c>
      <c r="PAD2148" s="626" t="s">
        <v>1236</v>
      </c>
      <c r="PAE2148" s="626" t="s">
        <v>1236</v>
      </c>
      <c r="PAF2148" s="626" t="s">
        <v>1236</v>
      </c>
      <c r="PAG2148" s="626" t="s">
        <v>1236</v>
      </c>
      <c r="PAH2148" s="626" t="s">
        <v>1236</v>
      </c>
      <c r="PAI2148" s="626" t="s">
        <v>1236</v>
      </c>
      <c r="PAJ2148" s="626" t="s">
        <v>1236</v>
      </c>
      <c r="PAK2148" s="626" t="s">
        <v>1236</v>
      </c>
      <c r="PAL2148" s="626" t="s">
        <v>1236</v>
      </c>
      <c r="PAM2148" s="626" t="s">
        <v>1236</v>
      </c>
      <c r="PAN2148" s="626" t="s">
        <v>1236</v>
      </c>
      <c r="PAO2148" s="626" t="s">
        <v>1236</v>
      </c>
      <c r="PAP2148" s="626" t="s">
        <v>1236</v>
      </c>
      <c r="PAQ2148" s="626" t="s">
        <v>1236</v>
      </c>
      <c r="PAR2148" s="626" t="s">
        <v>1236</v>
      </c>
      <c r="PAS2148" s="626" t="s">
        <v>1236</v>
      </c>
      <c r="PAT2148" s="626" t="s">
        <v>1236</v>
      </c>
      <c r="PAU2148" s="626" t="s">
        <v>1236</v>
      </c>
      <c r="PAV2148" s="626" t="s">
        <v>1236</v>
      </c>
      <c r="PAW2148" s="626" t="s">
        <v>1236</v>
      </c>
      <c r="PAX2148" s="626" t="s">
        <v>1236</v>
      </c>
      <c r="PAY2148" s="626" t="s">
        <v>1236</v>
      </c>
      <c r="PAZ2148" s="626" t="s">
        <v>1236</v>
      </c>
      <c r="PBA2148" s="626" t="s">
        <v>1236</v>
      </c>
      <c r="PBB2148" s="626" t="s">
        <v>1236</v>
      </c>
      <c r="PBC2148" s="626" t="s">
        <v>1236</v>
      </c>
      <c r="PBD2148" s="626" t="s">
        <v>1236</v>
      </c>
      <c r="PBE2148" s="626" t="s">
        <v>1236</v>
      </c>
      <c r="PBF2148" s="626" t="s">
        <v>1236</v>
      </c>
      <c r="PBG2148" s="626" t="s">
        <v>1236</v>
      </c>
      <c r="PBH2148" s="626" t="s">
        <v>1236</v>
      </c>
      <c r="PBI2148" s="626" t="s">
        <v>1236</v>
      </c>
      <c r="PBJ2148" s="626" t="s">
        <v>1236</v>
      </c>
      <c r="PBK2148" s="626" t="s">
        <v>1236</v>
      </c>
      <c r="PBL2148" s="626" t="s">
        <v>1236</v>
      </c>
      <c r="PBM2148" s="626" t="s">
        <v>1236</v>
      </c>
      <c r="PBN2148" s="626" t="s">
        <v>1236</v>
      </c>
      <c r="PBO2148" s="626" t="s">
        <v>1236</v>
      </c>
      <c r="PBP2148" s="626" t="s">
        <v>1236</v>
      </c>
      <c r="PBQ2148" s="626" t="s">
        <v>1236</v>
      </c>
      <c r="PBR2148" s="626" t="s">
        <v>1236</v>
      </c>
      <c r="PBS2148" s="626" t="s">
        <v>1236</v>
      </c>
      <c r="PBT2148" s="626" t="s">
        <v>1236</v>
      </c>
      <c r="PBU2148" s="626" t="s">
        <v>1236</v>
      </c>
      <c r="PBV2148" s="626" t="s">
        <v>1236</v>
      </c>
      <c r="PBW2148" s="626" t="s">
        <v>1236</v>
      </c>
      <c r="PBX2148" s="626" t="s">
        <v>1236</v>
      </c>
      <c r="PBY2148" s="626" t="s">
        <v>1236</v>
      </c>
      <c r="PBZ2148" s="626" t="s">
        <v>1236</v>
      </c>
      <c r="PCA2148" s="626" t="s">
        <v>1236</v>
      </c>
      <c r="PCB2148" s="626" t="s">
        <v>1236</v>
      </c>
      <c r="PCC2148" s="626" t="s">
        <v>1236</v>
      </c>
      <c r="PCD2148" s="626" t="s">
        <v>1236</v>
      </c>
      <c r="PCE2148" s="626" t="s">
        <v>1236</v>
      </c>
      <c r="PCF2148" s="626" t="s">
        <v>1236</v>
      </c>
      <c r="PCG2148" s="626" t="s">
        <v>1236</v>
      </c>
      <c r="PCH2148" s="626" t="s">
        <v>1236</v>
      </c>
      <c r="PCI2148" s="626" t="s">
        <v>1236</v>
      </c>
      <c r="PCJ2148" s="626" t="s">
        <v>1236</v>
      </c>
      <c r="PCK2148" s="626" t="s">
        <v>1236</v>
      </c>
      <c r="PCL2148" s="626" t="s">
        <v>1236</v>
      </c>
      <c r="PCM2148" s="626" t="s">
        <v>1236</v>
      </c>
      <c r="PCN2148" s="626" t="s">
        <v>1236</v>
      </c>
      <c r="PCO2148" s="626" t="s">
        <v>1236</v>
      </c>
      <c r="PCP2148" s="626" t="s">
        <v>1236</v>
      </c>
      <c r="PCQ2148" s="626" t="s">
        <v>1236</v>
      </c>
      <c r="PCR2148" s="626" t="s">
        <v>1236</v>
      </c>
      <c r="PCS2148" s="626" t="s">
        <v>1236</v>
      </c>
      <c r="PCT2148" s="626" t="s">
        <v>1236</v>
      </c>
      <c r="PCU2148" s="626" t="s">
        <v>1236</v>
      </c>
      <c r="PCV2148" s="626" t="s">
        <v>1236</v>
      </c>
      <c r="PCW2148" s="626" t="s">
        <v>1236</v>
      </c>
      <c r="PCX2148" s="626" t="s">
        <v>1236</v>
      </c>
      <c r="PCY2148" s="626" t="s">
        <v>1236</v>
      </c>
      <c r="PCZ2148" s="626" t="s">
        <v>1236</v>
      </c>
      <c r="PDA2148" s="626" t="s">
        <v>1236</v>
      </c>
      <c r="PDB2148" s="626" t="s">
        <v>1236</v>
      </c>
      <c r="PDC2148" s="626" t="s">
        <v>1236</v>
      </c>
      <c r="PDD2148" s="626" t="s">
        <v>1236</v>
      </c>
      <c r="PDE2148" s="626" t="s">
        <v>1236</v>
      </c>
      <c r="PDF2148" s="626" t="s">
        <v>1236</v>
      </c>
      <c r="PDG2148" s="626" t="s">
        <v>1236</v>
      </c>
      <c r="PDH2148" s="626" t="s">
        <v>1236</v>
      </c>
      <c r="PDI2148" s="626" t="s">
        <v>1236</v>
      </c>
      <c r="PDJ2148" s="626" t="s">
        <v>1236</v>
      </c>
      <c r="PDK2148" s="626" t="s">
        <v>1236</v>
      </c>
      <c r="PDL2148" s="626" t="s">
        <v>1236</v>
      </c>
      <c r="PDM2148" s="626" t="s">
        <v>1236</v>
      </c>
      <c r="PDN2148" s="626" t="s">
        <v>1236</v>
      </c>
      <c r="PDO2148" s="626" t="s">
        <v>1236</v>
      </c>
      <c r="PDP2148" s="626" t="s">
        <v>1236</v>
      </c>
      <c r="PDQ2148" s="626" t="s">
        <v>1236</v>
      </c>
      <c r="PDR2148" s="626" t="s">
        <v>1236</v>
      </c>
      <c r="PDS2148" s="626" t="s">
        <v>1236</v>
      </c>
      <c r="PDT2148" s="626" t="s">
        <v>1236</v>
      </c>
      <c r="PDU2148" s="626" t="s">
        <v>1236</v>
      </c>
      <c r="PDV2148" s="626" t="s">
        <v>1236</v>
      </c>
      <c r="PDW2148" s="626" t="s">
        <v>1236</v>
      </c>
      <c r="PDX2148" s="626" t="s">
        <v>1236</v>
      </c>
      <c r="PDY2148" s="626" t="s">
        <v>1236</v>
      </c>
      <c r="PDZ2148" s="626" t="s">
        <v>1236</v>
      </c>
      <c r="PEA2148" s="626" t="s">
        <v>1236</v>
      </c>
      <c r="PEB2148" s="626" t="s">
        <v>1236</v>
      </c>
      <c r="PEC2148" s="626" t="s">
        <v>1236</v>
      </c>
      <c r="PED2148" s="626" t="s">
        <v>1236</v>
      </c>
      <c r="PEE2148" s="626" t="s">
        <v>1236</v>
      </c>
      <c r="PEF2148" s="626" t="s">
        <v>1236</v>
      </c>
      <c r="PEG2148" s="626" t="s">
        <v>1236</v>
      </c>
      <c r="PEH2148" s="626" t="s">
        <v>1236</v>
      </c>
      <c r="PEI2148" s="626" t="s">
        <v>1236</v>
      </c>
      <c r="PEJ2148" s="626" t="s">
        <v>1236</v>
      </c>
      <c r="PEK2148" s="626" t="s">
        <v>1236</v>
      </c>
      <c r="PEL2148" s="626" t="s">
        <v>1236</v>
      </c>
      <c r="PEM2148" s="626" t="s">
        <v>1236</v>
      </c>
      <c r="PEN2148" s="626" t="s">
        <v>1236</v>
      </c>
      <c r="PEO2148" s="626" t="s">
        <v>1236</v>
      </c>
      <c r="PEP2148" s="626" t="s">
        <v>1236</v>
      </c>
      <c r="PEQ2148" s="626" t="s">
        <v>1236</v>
      </c>
      <c r="PER2148" s="626" t="s">
        <v>1236</v>
      </c>
      <c r="PES2148" s="626" t="s">
        <v>1236</v>
      </c>
      <c r="PET2148" s="626" t="s">
        <v>1236</v>
      </c>
      <c r="PEU2148" s="626" t="s">
        <v>1236</v>
      </c>
      <c r="PEV2148" s="626" t="s">
        <v>1236</v>
      </c>
      <c r="PEW2148" s="626" t="s">
        <v>1236</v>
      </c>
      <c r="PEX2148" s="626" t="s">
        <v>1236</v>
      </c>
      <c r="PEY2148" s="626" t="s">
        <v>1236</v>
      </c>
      <c r="PEZ2148" s="626" t="s">
        <v>1236</v>
      </c>
      <c r="PFA2148" s="626" t="s">
        <v>1236</v>
      </c>
      <c r="PFB2148" s="626" t="s">
        <v>1236</v>
      </c>
      <c r="PFC2148" s="626" t="s">
        <v>1236</v>
      </c>
      <c r="PFD2148" s="626" t="s">
        <v>1236</v>
      </c>
      <c r="PFE2148" s="626" t="s">
        <v>1236</v>
      </c>
      <c r="PFF2148" s="626" t="s">
        <v>1236</v>
      </c>
      <c r="PFG2148" s="626" t="s">
        <v>1236</v>
      </c>
      <c r="PFH2148" s="626" t="s">
        <v>1236</v>
      </c>
      <c r="PFI2148" s="626" t="s">
        <v>1236</v>
      </c>
      <c r="PFJ2148" s="626" t="s">
        <v>1236</v>
      </c>
      <c r="PFK2148" s="626" t="s">
        <v>1236</v>
      </c>
      <c r="PFL2148" s="626" t="s">
        <v>1236</v>
      </c>
      <c r="PFM2148" s="626" t="s">
        <v>1236</v>
      </c>
      <c r="PFN2148" s="626" t="s">
        <v>1236</v>
      </c>
      <c r="PFO2148" s="626" t="s">
        <v>1236</v>
      </c>
      <c r="PFP2148" s="626" t="s">
        <v>1236</v>
      </c>
      <c r="PFQ2148" s="626" t="s">
        <v>1236</v>
      </c>
      <c r="PFR2148" s="626" t="s">
        <v>1236</v>
      </c>
      <c r="PFS2148" s="626" t="s">
        <v>1236</v>
      </c>
      <c r="PFT2148" s="626" t="s">
        <v>1236</v>
      </c>
      <c r="PFU2148" s="626" t="s">
        <v>1236</v>
      </c>
      <c r="PFV2148" s="626" t="s">
        <v>1236</v>
      </c>
      <c r="PFW2148" s="626" t="s">
        <v>1236</v>
      </c>
      <c r="PFX2148" s="626" t="s">
        <v>1236</v>
      </c>
      <c r="PFY2148" s="626" t="s">
        <v>1236</v>
      </c>
      <c r="PFZ2148" s="626" t="s">
        <v>1236</v>
      </c>
      <c r="PGA2148" s="626" t="s">
        <v>1236</v>
      </c>
      <c r="PGB2148" s="626" t="s">
        <v>1236</v>
      </c>
      <c r="PGC2148" s="626" t="s">
        <v>1236</v>
      </c>
      <c r="PGD2148" s="626" t="s">
        <v>1236</v>
      </c>
      <c r="PGE2148" s="626" t="s">
        <v>1236</v>
      </c>
      <c r="PGF2148" s="626" t="s">
        <v>1236</v>
      </c>
      <c r="PGG2148" s="626" t="s">
        <v>1236</v>
      </c>
      <c r="PGH2148" s="626" t="s">
        <v>1236</v>
      </c>
      <c r="PGI2148" s="626" t="s">
        <v>1236</v>
      </c>
      <c r="PGJ2148" s="626" t="s">
        <v>1236</v>
      </c>
      <c r="PGK2148" s="626" t="s">
        <v>1236</v>
      </c>
      <c r="PGL2148" s="626" t="s">
        <v>1236</v>
      </c>
      <c r="PGM2148" s="626" t="s">
        <v>1236</v>
      </c>
      <c r="PGN2148" s="626" t="s">
        <v>1236</v>
      </c>
      <c r="PGO2148" s="626" t="s">
        <v>1236</v>
      </c>
      <c r="PGP2148" s="626" t="s">
        <v>1236</v>
      </c>
      <c r="PGQ2148" s="626" t="s">
        <v>1236</v>
      </c>
      <c r="PGR2148" s="626" t="s">
        <v>1236</v>
      </c>
      <c r="PGS2148" s="626" t="s">
        <v>1236</v>
      </c>
      <c r="PGT2148" s="626" t="s">
        <v>1236</v>
      </c>
      <c r="PGU2148" s="626" t="s">
        <v>1236</v>
      </c>
      <c r="PGV2148" s="626" t="s">
        <v>1236</v>
      </c>
      <c r="PGW2148" s="626" t="s">
        <v>1236</v>
      </c>
      <c r="PGX2148" s="626" t="s">
        <v>1236</v>
      </c>
      <c r="PGY2148" s="626" t="s">
        <v>1236</v>
      </c>
      <c r="PGZ2148" s="626" t="s">
        <v>1236</v>
      </c>
      <c r="PHA2148" s="626" t="s">
        <v>1236</v>
      </c>
      <c r="PHB2148" s="626" t="s">
        <v>1236</v>
      </c>
      <c r="PHC2148" s="626" t="s">
        <v>1236</v>
      </c>
      <c r="PHD2148" s="626" t="s">
        <v>1236</v>
      </c>
      <c r="PHE2148" s="626" t="s">
        <v>1236</v>
      </c>
      <c r="PHF2148" s="626" t="s">
        <v>1236</v>
      </c>
      <c r="PHG2148" s="626" t="s">
        <v>1236</v>
      </c>
      <c r="PHH2148" s="626" t="s">
        <v>1236</v>
      </c>
      <c r="PHI2148" s="626" t="s">
        <v>1236</v>
      </c>
      <c r="PHJ2148" s="626" t="s">
        <v>1236</v>
      </c>
      <c r="PHK2148" s="626" t="s">
        <v>1236</v>
      </c>
      <c r="PHL2148" s="626" t="s">
        <v>1236</v>
      </c>
      <c r="PHM2148" s="626" t="s">
        <v>1236</v>
      </c>
      <c r="PHN2148" s="626" t="s">
        <v>1236</v>
      </c>
      <c r="PHO2148" s="626" t="s">
        <v>1236</v>
      </c>
      <c r="PHP2148" s="626" t="s">
        <v>1236</v>
      </c>
      <c r="PHQ2148" s="626" t="s">
        <v>1236</v>
      </c>
      <c r="PHR2148" s="626" t="s">
        <v>1236</v>
      </c>
      <c r="PHS2148" s="626" t="s">
        <v>1236</v>
      </c>
      <c r="PHT2148" s="626" t="s">
        <v>1236</v>
      </c>
      <c r="PHU2148" s="626" t="s">
        <v>1236</v>
      </c>
      <c r="PHV2148" s="626" t="s">
        <v>1236</v>
      </c>
      <c r="PHW2148" s="626" t="s">
        <v>1236</v>
      </c>
      <c r="PHX2148" s="626" t="s">
        <v>1236</v>
      </c>
      <c r="PHY2148" s="626" t="s">
        <v>1236</v>
      </c>
      <c r="PHZ2148" s="626" t="s">
        <v>1236</v>
      </c>
      <c r="PIA2148" s="626" t="s">
        <v>1236</v>
      </c>
      <c r="PIB2148" s="626" t="s">
        <v>1236</v>
      </c>
      <c r="PIC2148" s="626" t="s">
        <v>1236</v>
      </c>
      <c r="PID2148" s="626" t="s">
        <v>1236</v>
      </c>
      <c r="PIE2148" s="626" t="s">
        <v>1236</v>
      </c>
      <c r="PIF2148" s="626" t="s">
        <v>1236</v>
      </c>
      <c r="PIG2148" s="626" t="s">
        <v>1236</v>
      </c>
      <c r="PIH2148" s="626" t="s">
        <v>1236</v>
      </c>
      <c r="PII2148" s="626" t="s">
        <v>1236</v>
      </c>
      <c r="PIJ2148" s="626" t="s">
        <v>1236</v>
      </c>
      <c r="PIK2148" s="626" t="s">
        <v>1236</v>
      </c>
      <c r="PIL2148" s="626" t="s">
        <v>1236</v>
      </c>
      <c r="PIM2148" s="626" t="s">
        <v>1236</v>
      </c>
      <c r="PIN2148" s="626" t="s">
        <v>1236</v>
      </c>
      <c r="PIO2148" s="626" t="s">
        <v>1236</v>
      </c>
      <c r="PIP2148" s="626" t="s">
        <v>1236</v>
      </c>
      <c r="PIQ2148" s="626" t="s">
        <v>1236</v>
      </c>
      <c r="PIR2148" s="626" t="s">
        <v>1236</v>
      </c>
      <c r="PIS2148" s="626" t="s">
        <v>1236</v>
      </c>
      <c r="PIT2148" s="626" t="s">
        <v>1236</v>
      </c>
      <c r="PIU2148" s="626" t="s">
        <v>1236</v>
      </c>
      <c r="PIV2148" s="626" t="s">
        <v>1236</v>
      </c>
      <c r="PIW2148" s="626" t="s">
        <v>1236</v>
      </c>
      <c r="PIX2148" s="626" t="s">
        <v>1236</v>
      </c>
      <c r="PIY2148" s="626" t="s">
        <v>1236</v>
      </c>
      <c r="PIZ2148" s="626" t="s">
        <v>1236</v>
      </c>
      <c r="PJA2148" s="626" t="s">
        <v>1236</v>
      </c>
      <c r="PJB2148" s="626" t="s">
        <v>1236</v>
      </c>
      <c r="PJC2148" s="626" t="s">
        <v>1236</v>
      </c>
      <c r="PJD2148" s="626" t="s">
        <v>1236</v>
      </c>
      <c r="PJE2148" s="626" t="s">
        <v>1236</v>
      </c>
      <c r="PJF2148" s="626" t="s">
        <v>1236</v>
      </c>
      <c r="PJG2148" s="626" t="s">
        <v>1236</v>
      </c>
      <c r="PJH2148" s="626" t="s">
        <v>1236</v>
      </c>
      <c r="PJI2148" s="626" t="s">
        <v>1236</v>
      </c>
      <c r="PJJ2148" s="626" t="s">
        <v>1236</v>
      </c>
      <c r="PJK2148" s="626" t="s">
        <v>1236</v>
      </c>
      <c r="PJL2148" s="626" t="s">
        <v>1236</v>
      </c>
      <c r="PJM2148" s="626" t="s">
        <v>1236</v>
      </c>
      <c r="PJN2148" s="626" t="s">
        <v>1236</v>
      </c>
      <c r="PJO2148" s="626" t="s">
        <v>1236</v>
      </c>
      <c r="PJP2148" s="626" t="s">
        <v>1236</v>
      </c>
      <c r="PJQ2148" s="626" t="s">
        <v>1236</v>
      </c>
      <c r="PJR2148" s="626" t="s">
        <v>1236</v>
      </c>
      <c r="PJS2148" s="626" t="s">
        <v>1236</v>
      </c>
      <c r="PJT2148" s="626" t="s">
        <v>1236</v>
      </c>
      <c r="PJU2148" s="626" t="s">
        <v>1236</v>
      </c>
      <c r="PJV2148" s="626" t="s">
        <v>1236</v>
      </c>
      <c r="PJW2148" s="626" t="s">
        <v>1236</v>
      </c>
      <c r="PJX2148" s="626" t="s">
        <v>1236</v>
      </c>
      <c r="PJY2148" s="626" t="s">
        <v>1236</v>
      </c>
      <c r="PJZ2148" s="626" t="s">
        <v>1236</v>
      </c>
      <c r="PKA2148" s="626" t="s">
        <v>1236</v>
      </c>
      <c r="PKB2148" s="626" t="s">
        <v>1236</v>
      </c>
      <c r="PKC2148" s="626" t="s">
        <v>1236</v>
      </c>
      <c r="PKD2148" s="626" t="s">
        <v>1236</v>
      </c>
      <c r="PKE2148" s="626" t="s">
        <v>1236</v>
      </c>
      <c r="PKF2148" s="626" t="s">
        <v>1236</v>
      </c>
      <c r="PKG2148" s="626" t="s">
        <v>1236</v>
      </c>
      <c r="PKH2148" s="626" t="s">
        <v>1236</v>
      </c>
      <c r="PKI2148" s="626" t="s">
        <v>1236</v>
      </c>
      <c r="PKJ2148" s="626" t="s">
        <v>1236</v>
      </c>
      <c r="PKK2148" s="626" t="s">
        <v>1236</v>
      </c>
      <c r="PKL2148" s="626" t="s">
        <v>1236</v>
      </c>
      <c r="PKM2148" s="626" t="s">
        <v>1236</v>
      </c>
      <c r="PKN2148" s="626" t="s">
        <v>1236</v>
      </c>
      <c r="PKO2148" s="626" t="s">
        <v>1236</v>
      </c>
      <c r="PKP2148" s="626" t="s">
        <v>1236</v>
      </c>
      <c r="PKQ2148" s="626" t="s">
        <v>1236</v>
      </c>
      <c r="PKR2148" s="626" t="s">
        <v>1236</v>
      </c>
      <c r="PKS2148" s="626" t="s">
        <v>1236</v>
      </c>
      <c r="PKT2148" s="626" t="s">
        <v>1236</v>
      </c>
      <c r="PKU2148" s="626" t="s">
        <v>1236</v>
      </c>
      <c r="PKV2148" s="626" t="s">
        <v>1236</v>
      </c>
      <c r="PKW2148" s="626" t="s">
        <v>1236</v>
      </c>
      <c r="PKX2148" s="626" t="s">
        <v>1236</v>
      </c>
      <c r="PKY2148" s="626" t="s">
        <v>1236</v>
      </c>
      <c r="PKZ2148" s="626" t="s">
        <v>1236</v>
      </c>
      <c r="PLA2148" s="626" t="s">
        <v>1236</v>
      </c>
      <c r="PLB2148" s="626" t="s">
        <v>1236</v>
      </c>
      <c r="PLC2148" s="626" t="s">
        <v>1236</v>
      </c>
      <c r="PLD2148" s="626" t="s">
        <v>1236</v>
      </c>
      <c r="PLE2148" s="626" t="s">
        <v>1236</v>
      </c>
      <c r="PLF2148" s="626" t="s">
        <v>1236</v>
      </c>
      <c r="PLG2148" s="626" t="s">
        <v>1236</v>
      </c>
      <c r="PLH2148" s="626" t="s">
        <v>1236</v>
      </c>
      <c r="PLI2148" s="626" t="s">
        <v>1236</v>
      </c>
      <c r="PLJ2148" s="626" t="s">
        <v>1236</v>
      </c>
      <c r="PLK2148" s="626" t="s">
        <v>1236</v>
      </c>
      <c r="PLL2148" s="626" t="s">
        <v>1236</v>
      </c>
      <c r="PLM2148" s="626" t="s">
        <v>1236</v>
      </c>
      <c r="PLN2148" s="626" t="s">
        <v>1236</v>
      </c>
      <c r="PLO2148" s="626" t="s">
        <v>1236</v>
      </c>
      <c r="PLP2148" s="626" t="s">
        <v>1236</v>
      </c>
      <c r="PLQ2148" s="626" t="s">
        <v>1236</v>
      </c>
      <c r="PLR2148" s="626" t="s">
        <v>1236</v>
      </c>
      <c r="PLS2148" s="626" t="s">
        <v>1236</v>
      </c>
      <c r="PLT2148" s="626" t="s">
        <v>1236</v>
      </c>
      <c r="PLU2148" s="626" t="s">
        <v>1236</v>
      </c>
      <c r="PLV2148" s="626" t="s">
        <v>1236</v>
      </c>
      <c r="PLW2148" s="626" t="s">
        <v>1236</v>
      </c>
      <c r="PLX2148" s="626" t="s">
        <v>1236</v>
      </c>
      <c r="PLY2148" s="626" t="s">
        <v>1236</v>
      </c>
      <c r="PLZ2148" s="626" t="s">
        <v>1236</v>
      </c>
      <c r="PMA2148" s="626" t="s">
        <v>1236</v>
      </c>
      <c r="PMB2148" s="626" t="s">
        <v>1236</v>
      </c>
      <c r="PMC2148" s="626" t="s">
        <v>1236</v>
      </c>
      <c r="PMD2148" s="626" t="s">
        <v>1236</v>
      </c>
      <c r="PME2148" s="626" t="s">
        <v>1236</v>
      </c>
      <c r="PMF2148" s="626" t="s">
        <v>1236</v>
      </c>
      <c r="PMG2148" s="626" t="s">
        <v>1236</v>
      </c>
      <c r="PMH2148" s="626" t="s">
        <v>1236</v>
      </c>
      <c r="PMI2148" s="626" t="s">
        <v>1236</v>
      </c>
      <c r="PMJ2148" s="626" t="s">
        <v>1236</v>
      </c>
      <c r="PMK2148" s="626" t="s">
        <v>1236</v>
      </c>
      <c r="PML2148" s="626" t="s">
        <v>1236</v>
      </c>
      <c r="PMM2148" s="626" t="s">
        <v>1236</v>
      </c>
      <c r="PMN2148" s="626" t="s">
        <v>1236</v>
      </c>
      <c r="PMO2148" s="626" t="s">
        <v>1236</v>
      </c>
      <c r="PMP2148" s="626" t="s">
        <v>1236</v>
      </c>
      <c r="PMQ2148" s="626" t="s">
        <v>1236</v>
      </c>
      <c r="PMR2148" s="626" t="s">
        <v>1236</v>
      </c>
      <c r="PMS2148" s="626" t="s">
        <v>1236</v>
      </c>
      <c r="PMT2148" s="626" t="s">
        <v>1236</v>
      </c>
      <c r="PMU2148" s="626" t="s">
        <v>1236</v>
      </c>
      <c r="PMV2148" s="626" t="s">
        <v>1236</v>
      </c>
      <c r="PMW2148" s="626" t="s">
        <v>1236</v>
      </c>
      <c r="PMX2148" s="626" t="s">
        <v>1236</v>
      </c>
      <c r="PMY2148" s="626" t="s">
        <v>1236</v>
      </c>
      <c r="PMZ2148" s="626" t="s">
        <v>1236</v>
      </c>
      <c r="PNA2148" s="626" t="s">
        <v>1236</v>
      </c>
      <c r="PNB2148" s="626" t="s">
        <v>1236</v>
      </c>
      <c r="PNC2148" s="626" t="s">
        <v>1236</v>
      </c>
      <c r="PND2148" s="626" t="s">
        <v>1236</v>
      </c>
      <c r="PNE2148" s="626" t="s">
        <v>1236</v>
      </c>
      <c r="PNF2148" s="626" t="s">
        <v>1236</v>
      </c>
      <c r="PNG2148" s="626" t="s">
        <v>1236</v>
      </c>
      <c r="PNH2148" s="626" t="s">
        <v>1236</v>
      </c>
      <c r="PNI2148" s="626" t="s">
        <v>1236</v>
      </c>
      <c r="PNJ2148" s="626" t="s">
        <v>1236</v>
      </c>
      <c r="PNK2148" s="626" t="s">
        <v>1236</v>
      </c>
      <c r="PNL2148" s="626" t="s">
        <v>1236</v>
      </c>
      <c r="PNM2148" s="626" t="s">
        <v>1236</v>
      </c>
      <c r="PNN2148" s="626" t="s">
        <v>1236</v>
      </c>
      <c r="PNO2148" s="626" t="s">
        <v>1236</v>
      </c>
      <c r="PNP2148" s="626" t="s">
        <v>1236</v>
      </c>
      <c r="PNQ2148" s="626" t="s">
        <v>1236</v>
      </c>
      <c r="PNR2148" s="626" t="s">
        <v>1236</v>
      </c>
      <c r="PNS2148" s="626" t="s">
        <v>1236</v>
      </c>
      <c r="PNT2148" s="626" t="s">
        <v>1236</v>
      </c>
      <c r="PNU2148" s="626" t="s">
        <v>1236</v>
      </c>
      <c r="PNV2148" s="626" t="s">
        <v>1236</v>
      </c>
      <c r="PNW2148" s="626" t="s">
        <v>1236</v>
      </c>
      <c r="PNX2148" s="626" t="s">
        <v>1236</v>
      </c>
      <c r="PNY2148" s="626" t="s">
        <v>1236</v>
      </c>
      <c r="PNZ2148" s="626" t="s">
        <v>1236</v>
      </c>
      <c r="POA2148" s="626" t="s">
        <v>1236</v>
      </c>
      <c r="POB2148" s="626" t="s">
        <v>1236</v>
      </c>
      <c r="POC2148" s="626" t="s">
        <v>1236</v>
      </c>
      <c r="POD2148" s="626" t="s">
        <v>1236</v>
      </c>
      <c r="POE2148" s="626" t="s">
        <v>1236</v>
      </c>
      <c r="POF2148" s="626" t="s">
        <v>1236</v>
      </c>
      <c r="POG2148" s="626" t="s">
        <v>1236</v>
      </c>
      <c r="POH2148" s="626" t="s">
        <v>1236</v>
      </c>
      <c r="POI2148" s="626" t="s">
        <v>1236</v>
      </c>
      <c r="POJ2148" s="626" t="s">
        <v>1236</v>
      </c>
      <c r="POK2148" s="626" t="s">
        <v>1236</v>
      </c>
      <c r="POL2148" s="626" t="s">
        <v>1236</v>
      </c>
      <c r="POM2148" s="626" t="s">
        <v>1236</v>
      </c>
      <c r="PON2148" s="626" t="s">
        <v>1236</v>
      </c>
      <c r="POO2148" s="626" t="s">
        <v>1236</v>
      </c>
      <c r="POP2148" s="626" t="s">
        <v>1236</v>
      </c>
      <c r="POQ2148" s="626" t="s">
        <v>1236</v>
      </c>
      <c r="POR2148" s="626" t="s">
        <v>1236</v>
      </c>
      <c r="POS2148" s="626" t="s">
        <v>1236</v>
      </c>
      <c r="POT2148" s="626" t="s">
        <v>1236</v>
      </c>
      <c r="POU2148" s="626" t="s">
        <v>1236</v>
      </c>
      <c r="POV2148" s="626" t="s">
        <v>1236</v>
      </c>
      <c r="POW2148" s="626" t="s">
        <v>1236</v>
      </c>
      <c r="POX2148" s="626" t="s">
        <v>1236</v>
      </c>
      <c r="POY2148" s="626" t="s">
        <v>1236</v>
      </c>
      <c r="POZ2148" s="626" t="s">
        <v>1236</v>
      </c>
      <c r="PPA2148" s="626" t="s">
        <v>1236</v>
      </c>
      <c r="PPB2148" s="626" t="s">
        <v>1236</v>
      </c>
      <c r="PPC2148" s="626" t="s">
        <v>1236</v>
      </c>
      <c r="PPD2148" s="626" t="s">
        <v>1236</v>
      </c>
      <c r="PPE2148" s="626" t="s">
        <v>1236</v>
      </c>
      <c r="PPF2148" s="626" t="s">
        <v>1236</v>
      </c>
      <c r="PPG2148" s="626" t="s">
        <v>1236</v>
      </c>
      <c r="PPH2148" s="626" t="s">
        <v>1236</v>
      </c>
      <c r="PPI2148" s="626" t="s">
        <v>1236</v>
      </c>
      <c r="PPJ2148" s="626" t="s">
        <v>1236</v>
      </c>
      <c r="PPK2148" s="626" t="s">
        <v>1236</v>
      </c>
      <c r="PPL2148" s="626" t="s">
        <v>1236</v>
      </c>
      <c r="PPM2148" s="626" t="s">
        <v>1236</v>
      </c>
      <c r="PPN2148" s="626" t="s">
        <v>1236</v>
      </c>
      <c r="PPO2148" s="626" t="s">
        <v>1236</v>
      </c>
      <c r="PPP2148" s="626" t="s">
        <v>1236</v>
      </c>
      <c r="PPQ2148" s="626" t="s">
        <v>1236</v>
      </c>
      <c r="PPR2148" s="626" t="s">
        <v>1236</v>
      </c>
      <c r="PPS2148" s="626" t="s">
        <v>1236</v>
      </c>
      <c r="PPT2148" s="626" t="s">
        <v>1236</v>
      </c>
      <c r="PPU2148" s="626" t="s">
        <v>1236</v>
      </c>
      <c r="PPV2148" s="626" t="s">
        <v>1236</v>
      </c>
      <c r="PPW2148" s="626" t="s">
        <v>1236</v>
      </c>
      <c r="PPX2148" s="626" t="s">
        <v>1236</v>
      </c>
      <c r="PPY2148" s="626" t="s">
        <v>1236</v>
      </c>
      <c r="PPZ2148" s="626" t="s">
        <v>1236</v>
      </c>
      <c r="PQA2148" s="626" t="s">
        <v>1236</v>
      </c>
      <c r="PQB2148" s="626" t="s">
        <v>1236</v>
      </c>
      <c r="PQC2148" s="626" t="s">
        <v>1236</v>
      </c>
      <c r="PQD2148" s="626" t="s">
        <v>1236</v>
      </c>
      <c r="PQE2148" s="626" t="s">
        <v>1236</v>
      </c>
      <c r="PQF2148" s="626" t="s">
        <v>1236</v>
      </c>
      <c r="PQG2148" s="626" t="s">
        <v>1236</v>
      </c>
      <c r="PQH2148" s="626" t="s">
        <v>1236</v>
      </c>
      <c r="PQI2148" s="626" t="s">
        <v>1236</v>
      </c>
      <c r="PQJ2148" s="626" t="s">
        <v>1236</v>
      </c>
      <c r="PQK2148" s="626" t="s">
        <v>1236</v>
      </c>
      <c r="PQL2148" s="626" t="s">
        <v>1236</v>
      </c>
      <c r="PQM2148" s="626" t="s">
        <v>1236</v>
      </c>
      <c r="PQN2148" s="626" t="s">
        <v>1236</v>
      </c>
      <c r="PQO2148" s="626" t="s">
        <v>1236</v>
      </c>
      <c r="PQP2148" s="626" t="s">
        <v>1236</v>
      </c>
      <c r="PQQ2148" s="626" t="s">
        <v>1236</v>
      </c>
      <c r="PQR2148" s="626" t="s">
        <v>1236</v>
      </c>
      <c r="PQS2148" s="626" t="s">
        <v>1236</v>
      </c>
      <c r="PQT2148" s="626" t="s">
        <v>1236</v>
      </c>
      <c r="PQU2148" s="626" t="s">
        <v>1236</v>
      </c>
      <c r="PQV2148" s="626" t="s">
        <v>1236</v>
      </c>
      <c r="PQW2148" s="626" t="s">
        <v>1236</v>
      </c>
      <c r="PQX2148" s="626" t="s">
        <v>1236</v>
      </c>
      <c r="PQY2148" s="626" t="s">
        <v>1236</v>
      </c>
      <c r="PQZ2148" s="626" t="s">
        <v>1236</v>
      </c>
      <c r="PRA2148" s="626" t="s">
        <v>1236</v>
      </c>
      <c r="PRB2148" s="626" t="s">
        <v>1236</v>
      </c>
      <c r="PRC2148" s="626" t="s">
        <v>1236</v>
      </c>
      <c r="PRD2148" s="626" t="s">
        <v>1236</v>
      </c>
      <c r="PRE2148" s="626" t="s">
        <v>1236</v>
      </c>
      <c r="PRF2148" s="626" t="s">
        <v>1236</v>
      </c>
      <c r="PRG2148" s="626" t="s">
        <v>1236</v>
      </c>
      <c r="PRH2148" s="626" t="s">
        <v>1236</v>
      </c>
      <c r="PRI2148" s="626" t="s">
        <v>1236</v>
      </c>
      <c r="PRJ2148" s="626" t="s">
        <v>1236</v>
      </c>
      <c r="PRK2148" s="626" t="s">
        <v>1236</v>
      </c>
      <c r="PRL2148" s="626" t="s">
        <v>1236</v>
      </c>
      <c r="PRM2148" s="626" t="s">
        <v>1236</v>
      </c>
      <c r="PRN2148" s="626" t="s">
        <v>1236</v>
      </c>
      <c r="PRO2148" s="626" t="s">
        <v>1236</v>
      </c>
      <c r="PRP2148" s="626" t="s">
        <v>1236</v>
      </c>
      <c r="PRQ2148" s="626" t="s">
        <v>1236</v>
      </c>
      <c r="PRR2148" s="626" t="s">
        <v>1236</v>
      </c>
      <c r="PRS2148" s="626" t="s">
        <v>1236</v>
      </c>
      <c r="PRT2148" s="626" t="s">
        <v>1236</v>
      </c>
      <c r="PRU2148" s="626" t="s">
        <v>1236</v>
      </c>
      <c r="PRV2148" s="626" t="s">
        <v>1236</v>
      </c>
      <c r="PRW2148" s="626" t="s">
        <v>1236</v>
      </c>
      <c r="PRX2148" s="626" t="s">
        <v>1236</v>
      </c>
      <c r="PRY2148" s="626" t="s">
        <v>1236</v>
      </c>
      <c r="PRZ2148" s="626" t="s">
        <v>1236</v>
      </c>
      <c r="PSA2148" s="626" t="s">
        <v>1236</v>
      </c>
      <c r="PSB2148" s="626" t="s">
        <v>1236</v>
      </c>
      <c r="PSC2148" s="626" t="s">
        <v>1236</v>
      </c>
      <c r="PSD2148" s="626" t="s">
        <v>1236</v>
      </c>
      <c r="PSE2148" s="626" t="s">
        <v>1236</v>
      </c>
      <c r="PSF2148" s="626" t="s">
        <v>1236</v>
      </c>
      <c r="PSG2148" s="626" t="s">
        <v>1236</v>
      </c>
      <c r="PSH2148" s="626" t="s">
        <v>1236</v>
      </c>
      <c r="PSI2148" s="626" t="s">
        <v>1236</v>
      </c>
      <c r="PSJ2148" s="626" t="s">
        <v>1236</v>
      </c>
      <c r="PSK2148" s="626" t="s">
        <v>1236</v>
      </c>
      <c r="PSL2148" s="626" t="s">
        <v>1236</v>
      </c>
      <c r="PSM2148" s="626" t="s">
        <v>1236</v>
      </c>
      <c r="PSN2148" s="626" t="s">
        <v>1236</v>
      </c>
      <c r="PSO2148" s="626" t="s">
        <v>1236</v>
      </c>
      <c r="PSP2148" s="626" t="s">
        <v>1236</v>
      </c>
      <c r="PSQ2148" s="626" t="s">
        <v>1236</v>
      </c>
      <c r="PSR2148" s="626" t="s">
        <v>1236</v>
      </c>
      <c r="PSS2148" s="626" t="s">
        <v>1236</v>
      </c>
      <c r="PST2148" s="626" t="s">
        <v>1236</v>
      </c>
      <c r="PSU2148" s="626" t="s">
        <v>1236</v>
      </c>
      <c r="PSV2148" s="626" t="s">
        <v>1236</v>
      </c>
      <c r="PSW2148" s="626" t="s">
        <v>1236</v>
      </c>
      <c r="PSX2148" s="626" t="s">
        <v>1236</v>
      </c>
      <c r="PSY2148" s="626" t="s">
        <v>1236</v>
      </c>
      <c r="PSZ2148" s="626" t="s">
        <v>1236</v>
      </c>
      <c r="PTA2148" s="626" t="s">
        <v>1236</v>
      </c>
      <c r="PTB2148" s="626" t="s">
        <v>1236</v>
      </c>
      <c r="PTC2148" s="626" t="s">
        <v>1236</v>
      </c>
      <c r="PTD2148" s="626" t="s">
        <v>1236</v>
      </c>
      <c r="PTE2148" s="626" t="s">
        <v>1236</v>
      </c>
      <c r="PTF2148" s="626" t="s">
        <v>1236</v>
      </c>
      <c r="PTG2148" s="626" t="s">
        <v>1236</v>
      </c>
      <c r="PTH2148" s="626" t="s">
        <v>1236</v>
      </c>
      <c r="PTI2148" s="626" t="s">
        <v>1236</v>
      </c>
      <c r="PTJ2148" s="626" t="s">
        <v>1236</v>
      </c>
      <c r="PTK2148" s="626" t="s">
        <v>1236</v>
      </c>
      <c r="PTL2148" s="626" t="s">
        <v>1236</v>
      </c>
      <c r="PTM2148" s="626" t="s">
        <v>1236</v>
      </c>
      <c r="PTN2148" s="626" t="s">
        <v>1236</v>
      </c>
      <c r="PTO2148" s="626" t="s">
        <v>1236</v>
      </c>
      <c r="PTP2148" s="626" t="s">
        <v>1236</v>
      </c>
      <c r="PTQ2148" s="626" t="s">
        <v>1236</v>
      </c>
      <c r="PTR2148" s="626" t="s">
        <v>1236</v>
      </c>
      <c r="PTS2148" s="626" t="s">
        <v>1236</v>
      </c>
      <c r="PTT2148" s="626" t="s">
        <v>1236</v>
      </c>
      <c r="PTU2148" s="626" t="s">
        <v>1236</v>
      </c>
      <c r="PTV2148" s="626" t="s">
        <v>1236</v>
      </c>
      <c r="PTW2148" s="626" t="s">
        <v>1236</v>
      </c>
      <c r="PTX2148" s="626" t="s">
        <v>1236</v>
      </c>
      <c r="PTY2148" s="626" t="s">
        <v>1236</v>
      </c>
      <c r="PTZ2148" s="626" t="s">
        <v>1236</v>
      </c>
      <c r="PUA2148" s="626" t="s">
        <v>1236</v>
      </c>
      <c r="PUB2148" s="626" t="s">
        <v>1236</v>
      </c>
      <c r="PUC2148" s="626" t="s">
        <v>1236</v>
      </c>
      <c r="PUD2148" s="626" t="s">
        <v>1236</v>
      </c>
      <c r="PUE2148" s="626" t="s">
        <v>1236</v>
      </c>
      <c r="PUF2148" s="626" t="s">
        <v>1236</v>
      </c>
      <c r="PUG2148" s="626" t="s">
        <v>1236</v>
      </c>
      <c r="PUH2148" s="626" t="s">
        <v>1236</v>
      </c>
      <c r="PUI2148" s="626" t="s">
        <v>1236</v>
      </c>
      <c r="PUJ2148" s="626" t="s">
        <v>1236</v>
      </c>
      <c r="PUK2148" s="626" t="s">
        <v>1236</v>
      </c>
      <c r="PUL2148" s="626" t="s">
        <v>1236</v>
      </c>
      <c r="PUM2148" s="626" t="s">
        <v>1236</v>
      </c>
      <c r="PUN2148" s="626" t="s">
        <v>1236</v>
      </c>
      <c r="PUO2148" s="626" t="s">
        <v>1236</v>
      </c>
      <c r="PUP2148" s="626" t="s">
        <v>1236</v>
      </c>
      <c r="PUQ2148" s="626" t="s">
        <v>1236</v>
      </c>
      <c r="PUR2148" s="626" t="s">
        <v>1236</v>
      </c>
      <c r="PUS2148" s="626" t="s">
        <v>1236</v>
      </c>
      <c r="PUT2148" s="626" t="s">
        <v>1236</v>
      </c>
      <c r="PUU2148" s="626" t="s">
        <v>1236</v>
      </c>
      <c r="PUV2148" s="626" t="s">
        <v>1236</v>
      </c>
      <c r="PUW2148" s="626" t="s">
        <v>1236</v>
      </c>
      <c r="PUX2148" s="626" t="s">
        <v>1236</v>
      </c>
      <c r="PUY2148" s="626" t="s">
        <v>1236</v>
      </c>
      <c r="PUZ2148" s="626" t="s">
        <v>1236</v>
      </c>
      <c r="PVA2148" s="626" t="s">
        <v>1236</v>
      </c>
      <c r="PVB2148" s="626" t="s">
        <v>1236</v>
      </c>
      <c r="PVC2148" s="626" t="s">
        <v>1236</v>
      </c>
      <c r="PVD2148" s="626" t="s">
        <v>1236</v>
      </c>
      <c r="PVE2148" s="626" t="s">
        <v>1236</v>
      </c>
      <c r="PVF2148" s="626" t="s">
        <v>1236</v>
      </c>
      <c r="PVG2148" s="626" t="s">
        <v>1236</v>
      </c>
      <c r="PVH2148" s="626" t="s">
        <v>1236</v>
      </c>
      <c r="PVI2148" s="626" t="s">
        <v>1236</v>
      </c>
      <c r="PVJ2148" s="626" t="s">
        <v>1236</v>
      </c>
      <c r="PVK2148" s="626" t="s">
        <v>1236</v>
      </c>
      <c r="PVL2148" s="626" t="s">
        <v>1236</v>
      </c>
      <c r="PVM2148" s="626" t="s">
        <v>1236</v>
      </c>
      <c r="PVN2148" s="626" t="s">
        <v>1236</v>
      </c>
      <c r="PVO2148" s="626" t="s">
        <v>1236</v>
      </c>
      <c r="PVP2148" s="626" t="s">
        <v>1236</v>
      </c>
      <c r="PVQ2148" s="626" t="s">
        <v>1236</v>
      </c>
      <c r="PVR2148" s="626" t="s">
        <v>1236</v>
      </c>
      <c r="PVS2148" s="626" t="s">
        <v>1236</v>
      </c>
      <c r="PVT2148" s="626" t="s">
        <v>1236</v>
      </c>
      <c r="PVU2148" s="626" t="s">
        <v>1236</v>
      </c>
      <c r="PVV2148" s="626" t="s">
        <v>1236</v>
      </c>
      <c r="PVW2148" s="626" t="s">
        <v>1236</v>
      </c>
      <c r="PVX2148" s="626" t="s">
        <v>1236</v>
      </c>
      <c r="PVY2148" s="626" t="s">
        <v>1236</v>
      </c>
      <c r="PVZ2148" s="626" t="s">
        <v>1236</v>
      </c>
      <c r="PWA2148" s="626" t="s">
        <v>1236</v>
      </c>
      <c r="PWB2148" s="626" t="s">
        <v>1236</v>
      </c>
      <c r="PWC2148" s="626" t="s">
        <v>1236</v>
      </c>
      <c r="PWD2148" s="626" t="s">
        <v>1236</v>
      </c>
      <c r="PWE2148" s="626" t="s">
        <v>1236</v>
      </c>
      <c r="PWF2148" s="626" t="s">
        <v>1236</v>
      </c>
      <c r="PWG2148" s="626" t="s">
        <v>1236</v>
      </c>
      <c r="PWH2148" s="626" t="s">
        <v>1236</v>
      </c>
      <c r="PWI2148" s="626" t="s">
        <v>1236</v>
      </c>
      <c r="PWJ2148" s="626" t="s">
        <v>1236</v>
      </c>
      <c r="PWK2148" s="626" t="s">
        <v>1236</v>
      </c>
      <c r="PWL2148" s="626" t="s">
        <v>1236</v>
      </c>
      <c r="PWM2148" s="626" t="s">
        <v>1236</v>
      </c>
      <c r="PWN2148" s="626" t="s">
        <v>1236</v>
      </c>
      <c r="PWO2148" s="626" t="s">
        <v>1236</v>
      </c>
      <c r="PWP2148" s="626" t="s">
        <v>1236</v>
      </c>
      <c r="PWQ2148" s="626" t="s">
        <v>1236</v>
      </c>
      <c r="PWR2148" s="626" t="s">
        <v>1236</v>
      </c>
      <c r="PWS2148" s="626" t="s">
        <v>1236</v>
      </c>
      <c r="PWT2148" s="626" t="s">
        <v>1236</v>
      </c>
      <c r="PWU2148" s="626" t="s">
        <v>1236</v>
      </c>
      <c r="PWV2148" s="626" t="s">
        <v>1236</v>
      </c>
      <c r="PWW2148" s="626" t="s">
        <v>1236</v>
      </c>
      <c r="PWX2148" s="626" t="s">
        <v>1236</v>
      </c>
      <c r="PWY2148" s="626" t="s">
        <v>1236</v>
      </c>
      <c r="PWZ2148" s="626" t="s">
        <v>1236</v>
      </c>
      <c r="PXA2148" s="626" t="s">
        <v>1236</v>
      </c>
      <c r="PXB2148" s="626" t="s">
        <v>1236</v>
      </c>
      <c r="PXC2148" s="626" t="s">
        <v>1236</v>
      </c>
      <c r="PXD2148" s="626" t="s">
        <v>1236</v>
      </c>
      <c r="PXE2148" s="626" t="s">
        <v>1236</v>
      </c>
      <c r="PXF2148" s="626" t="s">
        <v>1236</v>
      </c>
      <c r="PXG2148" s="626" t="s">
        <v>1236</v>
      </c>
      <c r="PXH2148" s="626" t="s">
        <v>1236</v>
      </c>
      <c r="PXI2148" s="626" t="s">
        <v>1236</v>
      </c>
      <c r="PXJ2148" s="626" t="s">
        <v>1236</v>
      </c>
      <c r="PXK2148" s="626" t="s">
        <v>1236</v>
      </c>
      <c r="PXL2148" s="626" t="s">
        <v>1236</v>
      </c>
      <c r="PXM2148" s="626" t="s">
        <v>1236</v>
      </c>
      <c r="PXN2148" s="626" t="s">
        <v>1236</v>
      </c>
      <c r="PXO2148" s="626" t="s">
        <v>1236</v>
      </c>
      <c r="PXP2148" s="626" t="s">
        <v>1236</v>
      </c>
      <c r="PXQ2148" s="626" t="s">
        <v>1236</v>
      </c>
      <c r="PXR2148" s="626" t="s">
        <v>1236</v>
      </c>
      <c r="PXS2148" s="626" t="s">
        <v>1236</v>
      </c>
      <c r="PXT2148" s="626" t="s">
        <v>1236</v>
      </c>
      <c r="PXU2148" s="626" t="s">
        <v>1236</v>
      </c>
      <c r="PXV2148" s="626" t="s">
        <v>1236</v>
      </c>
      <c r="PXW2148" s="626" t="s">
        <v>1236</v>
      </c>
      <c r="PXX2148" s="626" t="s">
        <v>1236</v>
      </c>
      <c r="PXY2148" s="626" t="s">
        <v>1236</v>
      </c>
      <c r="PXZ2148" s="626" t="s">
        <v>1236</v>
      </c>
      <c r="PYA2148" s="626" t="s">
        <v>1236</v>
      </c>
      <c r="PYB2148" s="626" t="s">
        <v>1236</v>
      </c>
      <c r="PYC2148" s="626" t="s">
        <v>1236</v>
      </c>
      <c r="PYD2148" s="626" t="s">
        <v>1236</v>
      </c>
      <c r="PYE2148" s="626" t="s">
        <v>1236</v>
      </c>
      <c r="PYF2148" s="626" t="s">
        <v>1236</v>
      </c>
      <c r="PYG2148" s="626" t="s">
        <v>1236</v>
      </c>
      <c r="PYH2148" s="626" t="s">
        <v>1236</v>
      </c>
      <c r="PYI2148" s="626" t="s">
        <v>1236</v>
      </c>
      <c r="PYJ2148" s="626" t="s">
        <v>1236</v>
      </c>
      <c r="PYK2148" s="626" t="s">
        <v>1236</v>
      </c>
      <c r="PYL2148" s="626" t="s">
        <v>1236</v>
      </c>
      <c r="PYM2148" s="626" t="s">
        <v>1236</v>
      </c>
      <c r="PYN2148" s="626" t="s">
        <v>1236</v>
      </c>
      <c r="PYO2148" s="626" t="s">
        <v>1236</v>
      </c>
      <c r="PYP2148" s="626" t="s">
        <v>1236</v>
      </c>
      <c r="PYQ2148" s="626" t="s">
        <v>1236</v>
      </c>
      <c r="PYR2148" s="626" t="s">
        <v>1236</v>
      </c>
      <c r="PYS2148" s="626" t="s">
        <v>1236</v>
      </c>
      <c r="PYT2148" s="626" t="s">
        <v>1236</v>
      </c>
      <c r="PYU2148" s="626" t="s">
        <v>1236</v>
      </c>
      <c r="PYV2148" s="626" t="s">
        <v>1236</v>
      </c>
      <c r="PYW2148" s="626" t="s">
        <v>1236</v>
      </c>
      <c r="PYX2148" s="626" t="s">
        <v>1236</v>
      </c>
      <c r="PYY2148" s="626" t="s">
        <v>1236</v>
      </c>
      <c r="PYZ2148" s="626" t="s">
        <v>1236</v>
      </c>
      <c r="PZA2148" s="626" t="s">
        <v>1236</v>
      </c>
      <c r="PZB2148" s="626" t="s">
        <v>1236</v>
      </c>
      <c r="PZC2148" s="626" t="s">
        <v>1236</v>
      </c>
      <c r="PZD2148" s="626" t="s">
        <v>1236</v>
      </c>
      <c r="PZE2148" s="626" t="s">
        <v>1236</v>
      </c>
      <c r="PZF2148" s="626" t="s">
        <v>1236</v>
      </c>
      <c r="PZG2148" s="626" t="s">
        <v>1236</v>
      </c>
      <c r="PZH2148" s="626" t="s">
        <v>1236</v>
      </c>
      <c r="PZI2148" s="626" t="s">
        <v>1236</v>
      </c>
      <c r="PZJ2148" s="626" t="s">
        <v>1236</v>
      </c>
      <c r="PZK2148" s="626" t="s">
        <v>1236</v>
      </c>
      <c r="PZL2148" s="626" t="s">
        <v>1236</v>
      </c>
      <c r="PZM2148" s="626" t="s">
        <v>1236</v>
      </c>
      <c r="PZN2148" s="626" t="s">
        <v>1236</v>
      </c>
      <c r="PZO2148" s="626" t="s">
        <v>1236</v>
      </c>
      <c r="PZP2148" s="626" t="s">
        <v>1236</v>
      </c>
      <c r="PZQ2148" s="626" t="s">
        <v>1236</v>
      </c>
      <c r="PZR2148" s="626" t="s">
        <v>1236</v>
      </c>
      <c r="PZS2148" s="626" t="s">
        <v>1236</v>
      </c>
      <c r="PZT2148" s="626" t="s">
        <v>1236</v>
      </c>
      <c r="PZU2148" s="626" t="s">
        <v>1236</v>
      </c>
      <c r="PZV2148" s="626" t="s">
        <v>1236</v>
      </c>
      <c r="PZW2148" s="626" t="s">
        <v>1236</v>
      </c>
      <c r="PZX2148" s="626" t="s">
        <v>1236</v>
      </c>
      <c r="PZY2148" s="626" t="s">
        <v>1236</v>
      </c>
      <c r="PZZ2148" s="626" t="s">
        <v>1236</v>
      </c>
      <c r="QAA2148" s="626" t="s">
        <v>1236</v>
      </c>
      <c r="QAB2148" s="626" t="s">
        <v>1236</v>
      </c>
      <c r="QAC2148" s="626" t="s">
        <v>1236</v>
      </c>
      <c r="QAD2148" s="626" t="s">
        <v>1236</v>
      </c>
      <c r="QAE2148" s="626" t="s">
        <v>1236</v>
      </c>
      <c r="QAF2148" s="626" t="s">
        <v>1236</v>
      </c>
      <c r="QAG2148" s="626" t="s">
        <v>1236</v>
      </c>
      <c r="QAH2148" s="626" t="s">
        <v>1236</v>
      </c>
      <c r="QAI2148" s="626" t="s">
        <v>1236</v>
      </c>
      <c r="QAJ2148" s="626" t="s">
        <v>1236</v>
      </c>
      <c r="QAK2148" s="626" t="s">
        <v>1236</v>
      </c>
      <c r="QAL2148" s="626" t="s">
        <v>1236</v>
      </c>
      <c r="QAM2148" s="626" t="s">
        <v>1236</v>
      </c>
      <c r="QAN2148" s="626" t="s">
        <v>1236</v>
      </c>
      <c r="QAO2148" s="626" t="s">
        <v>1236</v>
      </c>
      <c r="QAP2148" s="626" t="s">
        <v>1236</v>
      </c>
      <c r="QAQ2148" s="626" t="s">
        <v>1236</v>
      </c>
      <c r="QAR2148" s="626" t="s">
        <v>1236</v>
      </c>
      <c r="QAS2148" s="626" t="s">
        <v>1236</v>
      </c>
      <c r="QAT2148" s="626" t="s">
        <v>1236</v>
      </c>
      <c r="QAU2148" s="626" t="s">
        <v>1236</v>
      </c>
      <c r="QAV2148" s="626" t="s">
        <v>1236</v>
      </c>
      <c r="QAW2148" s="626" t="s">
        <v>1236</v>
      </c>
      <c r="QAX2148" s="626" t="s">
        <v>1236</v>
      </c>
      <c r="QAY2148" s="626" t="s">
        <v>1236</v>
      </c>
      <c r="QAZ2148" s="626" t="s">
        <v>1236</v>
      </c>
      <c r="QBA2148" s="626" t="s">
        <v>1236</v>
      </c>
      <c r="QBB2148" s="626" t="s">
        <v>1236</v>
      </c>
      <c r="QBC2148" s="626" t="s">
        <v>1236</v>
      </c>
      <c r="QBD2148" s="626" t="s">
        <v>1236</v>
      </c>
      <c r="QBE2148" s="626" t="s">
        <v>1236</v>
      </c>
      <c r="QBF2148" s="626" t="s">
        <v>1236</v>
      </c>
      <c r="QBG2148" s="626" t="s">
        <v>1236</v>
      </c>
      <c r="QBH2148" s="626" t="s">
        <v>1236</v>
      </c>
      <c r="QBI2148" s="626" t="s">
        <v>1236</v>
      </c>
      <c r="QBJ2148" s="626" t="s">
        <v>1236</v>
      </c>
      <c r="QBK2148" s="626" t="s">
        <v>1236</v>
      </c>
      <c r="QBL2148" s="626" t="s">
        <v>1236</v>
      </c>
      <c r="QBM2148" s="626" t="s">
        <v>1236</v>
      </c>
      <c r="QBN2148" s="626" t="s">
        <v>1236</v>
      </c>
      <c r="QBO2148" s="626" t="s">
        <v>1236</v>
      </c>
      <c r="QBP2148" s="626" t="s">
        <v>1236</v>
      </c>
      <c r="QBQ2148" s="626" t="s">
        <v>1236</v>
      </c>
      <c r="QBR2148" s="626" t="s">
        <v>1236</v>
      </c>
      <c r="QBS2148" s="626" t="s">
        <v>1236</v>
      </c>
      <c r="QBT2148" s="626" t="s">
        <v>1236</v>
      </c>
      <c r="QBU2148" s="626" t="s">
        <v>1236</v>
      </c>
      <c r="QBV2148" s="626" t="s">
        <v>1236</v>
      </c>
      <c r="QBW2148" s="626" t="s">
        <v>1236</v>
      </c>
      <c r="QBX2148" s="626" t="s">
        <v>1236</v>
      </c>
      <c r="QBY2148" s="626" t="s">
        <v>1236</v>
      </c>
      <c r="QBZ2148" s="626" t="s">
        <v>1236</v>
      </c>
      <c r="QCA2148" s="626" t="s">
        <v>1236</v>
      </c>
      <c r="QCB2148" s="626" t="s">
        <v>1236</v>
      </c>
      <c r="QCC2148" s="626" t="s">
        <v>1236</v>
      </c>
      <c r="QCD2148" s="626" t="s">
        <v>1236</v>
      </c>
      <c r="QCE2148" s="626" t="s">
        <v>1236</v>
      </c>
      <c r="QCF2148" s="626" t="s">
        <v>1236</v>
      </c>
      <c r="QCG2148" s="626" t="s">
        <v>1236</v>
      </c>
      <c r="QCH2148" s="626" t="s">
        <v>1236</v>
      </c>
      <c r="QCI2148" s="626" t="s">
        <v>1236</v>
      </c>
      <c r="QCJ2148" s="626" t="s">
        <v>1236</v>
      </c>
      <c r="QCK2148" s="626" t="s">
        <v>1236</v>
      </c>
      <c r="QCL2148" s="626" t="s">
        <v>1236</v>
      </c>
      <c r="QCM2148" s="626" t="s">
        <v>1236</v>
      </c>
      <c r="QCN2148" s="626" t="s">
        <v>1236</v>
      </c>
      <c r="QCO2148" s="626" t="s">
        <v>1236</v>
      </c>
      <c r="QCP2148" s="626" t="s">
        <v>1236</v>
      </c>
      <c r="QCQ2148" s="626" t="s">
        <v>1236</v>
      </c>
      <c r="QCR2148" s="626" t="s">
        <v>1236</v>
      </c>
      <c r="QCS2148" s="626" t="s">
        <v>1236</v>
      </c>
      <c r="QCT2148" s="626" t="s">
        <v>1236</v>
      </c>
      <c r="QCU2148" s="626" t="s">
        <v>1236</v>
      </c>
      <c r="QCV2148" s="626" t="s">
        <v>1236</v>
      </c>
      <c r="QCW2148" s="626" t="s">
        <v>1236</v>
      </c>
      <c r="QCX2148" s="626" t="s">
        <v>1236</v>
      </c>
      <c r="QCY2148" s="626" t="s">
        <v>1236</v>
      </c>
      <c r="QCZ2148" s="626" t="s">
        <v>1236</v>
      </c>
      <c r="QDA2148" s="626" t="s">
        <v>1236</v>
      </c>
      <c r="QDB2148" s="626" t="s">
        <v>1236</v>
      </c>
      <c r="QDC2148" s="626" t="s">
        <v>1236</v>
      </c>
      <c r="QDD2148" s="626" t="s">
        <v>1236</v>
      </c>
      <c r="QDE2148" s="626" t="s">
        <v>1236</v>
      </c>
      <c r="QDF2148" s="626" t="s">
        <v>1236</v>
      </c>
      <c r="QDG2148" s="626" t="s">
        <v>1236</v>
      </c>
      <c r="QDH2148" s="626" t="s">
        <v>1236</v>
      </c>
      <c r="QDI2148" s="626" t="s">
        <v>1236</v>
      </c>
      <c r="QDJ2148" s="626" t="s">
        <v>1236</v>
      </c>
      <c r="QDK2148" s="626" t="s">
        <v>1236</v>
      </c>
      <c r="QDL2148" s="626" t="s">
        <v>1236</v>
      </c>
      <c r="QDM2148" s="626" t="s">
        <v>1236</v>
      </c>
      <c r="QDN2148" s="626" t="s">
        <v>1236</v>
      </c>
      <c r="QDO2148" s="626" t="s">
        <v>1236</v>
      </c>
      <c r="QDP2148" s="626" t="s">
        <v>1236</v>
      </c>
      <c r="QDQ2148" s="626" t="s">
        <v>1236</v>
      </c>
      <c r="QDR2148" s="626" t="s">
        <v>1236</v>
      </c>
      <c r="QDS2148" s="626" t="s">
        <v>1236</v>
      </c>
      <c r="QDT2148" s="626" t="s">
        <v>1236</v>
      </c>
      <c r="QDU2148" s="626" t="s">
        <v>1236</v>
      </c>
      <c r="QDV2148" s="626" t="s">
        <v>1236</v>
      </c>
      <c r="QDW2148" s="626" t="s">
        <v>1236</v>
      </c>
      <c r="QDX2148" s="626" t="s">
        <v>1236</v>
      </c>
      <c r="QDY2148" s="626" t="s">
        <v>1236</v>
      </c>
      <c r="QDZ2148" s="626" t="s">
        <v>1236</v>
      </c>
      <c r="QEA2148" s="626" t="s">
        <v>1236</v>
      </c>
      <c r="QEB2148" s="626" t="s">
        <v>1236</v>
      </c>
      <c r="QEC2148" s="626" t="s">
        <v>1236</v>
      </c>
      <c r="QED2148" s="626" t="s">
        <v>1236</v>
      </c>
      <c r="QEE2148" s="626" t="s">
        <v>1236</v>
      </c>
      <c r="QEF2148" s="626" t="s">
        <v>1236</v>
      </c>
      <c r="QEG2148" s="626" t="s">
        <v>1236</v>
      </c>
      <c r="QEH2148" s="626" t="s">
        <v>1236</v>
      </c>
      <c r="QEI2148" s="626" t="s">
        <v>1236</v>
      </c>
      <c r="QEJ2148" s="626" t="s">
        <v>1236</v>
      </c>
      <c r="QEK2148" s="626" t="s">
        <v>1236</v>
      </c>
      <c r="QEL2148" s="626" t="s">
        <v>1236</v>
      </c>
      <c r="QEM2148" s="626" t="s">
        <v>1236</v>
      </c>
      <c r="QEN2148" s="626" t="s">
        <v>1236</v>
      </c>
      <c r="QEO2148" s="626" t="s">
        <v>1236</v>
      </c>
      <c r="QEP2148" s="626" t="s">
        <v>1236</v>
      </c>
      <c r="QEQ2148" s="626" t="s">
        <v>1236</v>
      </c>
      <c r="QER2148" s="626" t="s">
        <v>1236</v>
      </c>
      <c r="QES2148" s="626" t="s">
        <v>1236</v>
      </c>
      <c r="QET2148" s="626" t="s">
        <v>1236</v>
      </c>
      <c r="QEU2148" s="626" t="s">
        <v>1236</v>
      </c>
      <c r="QEV2148" s="626" t="s">
        <v>1236</v>
      </c>
      <c r="QEW2148" s="626" t="s">
        <v>1236</v>
      </c>
      <c r="QEX2148" s="626" t="s">
        <v>1236</v>
      </c>
      <c r="QEY2148" s="626" t="s">
        <v>1236</v>
      </c>
      <c r="QEZ2148" s="626" t="s">
        <v>1236</v>
      </c>
      <c r="QFA2148" s="626" t="s">
        <v>1236</v>
      </c>
      <c r="QFB2148" s="626" t="s">
        <v>1236</v>
      </c>
      <c r="QFC2148" s="626" t="s">
        <v>1236</v>
      </c>
      <c r="QFD2148" s="626" t="s">
        <v>1236</v>
      </c>
      <c r="QFE2148" s="626" t="s">
        <v>1236</v>
      </c>
      <c r="QFF2148" s="626" t="s">
        <v>1236</v>
      </c>
      <c r="QFG2148" s="626" t="s">
        <v>1236</v>
      </c>
      <c r="QFH2148" s="626" t="s">
        <v>1236</v>
      </c>
      <c r="QFI2148" s="626" t="s">
        <v>1236</v>
      </c>
      <c r="QFJ2148" s="626" t="s">
        <v>1236</v>
      </c>
      <c r="QFK2148" s="626" t="s">
        <v>1236</v>
      </c>
      <c r="QFL2148" s="626" t="s">
        <v>1236</v>
      </c>
      <c r="QFM2148" s="626" t="s">
        <v>1236</v>
      </c>
      <c r="QFN2148" s="626" t="s">
        <v>1236</v>
      </c>
      <c r="QFO2148" s="626" t="s">
        <v>1236</v>
      </c>
      <c r="QFP2148" s="626" t="s">
        <v>1236</v>
      </c>
      <c r="QFQ2148" s="626" t="s">
        <v>1236</v>
      </c>
      <c r="QFR2148" s="626" t="s">
        <v>1236</v>
      </c>
      <c r="QFS2148" s="626" t="s">
        <v>1236</v>
      </c>
      <c r="QFT2148" s="626" t="s">
        <v>1236</v>
      </c>
      <c r="QFU2148" s="626" t="s">
        <v>1236</v>
      </c>
      <c r="QFV2148" s="626" t="s">
        <v>1236</v>
      </c>
      <c r="QFW2148" s="626" t="s">
        <v>1236</v>
      </c>
      <c r="QFX2148" s="626" t="s">
        <v>1236</v>
      </c>
      <c r="QFY2148" s="626" t="s">
        <v>1236</v>
      </c>
      <c r="QFZ2148" s="626" t="s">
        <v>1236</v>
      </c>
      <c r="QGA2148" s="626" t="s">
        <v>1236</v>
      </c>
      <c r="QGB2148" s="626" t="s">
        <v>1236</v>
      </c>
      <c r="QGC2148" s="626" t="s">
        <v>1236</v>
      </c>
      <c r="QGD2148" s="626" t="s">
        <v>1236</v>
      </c>
      <c r="QGE2148" s="626" t="s">
        <v>1236</v>
      </c>
      <c r="QGF2148" s="626" t="s">
        <v>1236</v>
      </c>
      <c r="QGG2148" s="626" t="s">
        <v>1236</v>
      </c>
      <c r="QGH2148" s="626" t="s">
        <v>1236</v>
      </c>
      <c r="QGI2148" s="626" t="s">
        <v>1236</v>
      </c>
      <c r="QGJ2148" s="626" t="s">
        <v>1236</v>
      </c>
      <c r="QGK2148" s="626" t="s">
        <v>1236</v>
      </c>
      <c r="QGL2148" s="626" t="s">
        <v>1236</v>
      </c>
      <c r="QGM2148" s="626" t="s">
        <v>1236</v>
      </c>
      <c r="QGN2148" s="626" t="s">
        <v>1236</v>
      </c>
      <c r="QGO2148" s="626" t="s">
        <v>1236</v>
      </c>
      <c r="QGP2148" s="626" t="s">
        <v>1236</v>
      </c>
      <c r="QGQ2148" s="626" t="s">
        <v>1236</v>
      </c>
      <c r="QGR2148" s="626" t="s">
        <v>1236</v>
      </c>
      <c r="QGS2148" s="626" t="s">
        <v>1236</v>
      </c>
      <c r="QGT2148" s="626" t="s">
        <v>1236</v>
      </c>
      <c r="QGU2148" s="626" t="s">
        <v>1236</v>
      </c>
      <c r="QGV2148" s="626" t="s">
        <v>1236</v>
      </c>
      <c r="QGW2148" s="626" t="s">
        <v>1236</v>
      </c>
      <c r="QGX2148" s="626" t="s">
        <v>1236</v>
      </c>
      <c r="QGY2148" s="626" t="s">
        <v>1236</v>
      </c>
      <c r="QGZ2148" s="626" t="s">
        <v>1236</v>
      </c>
      <c r="QHA2148" s="626" t="s">
        <v>1236</v>
      </c>
      <c r="QHB2148" s="626" t="s">
        <v>1236</v>
      </c>
      <c r="QHC2148" s="626" t="s">
        <v>1236</v>
      </c>
      <c r="QHD2148" s="626" t="s">
        <v>1236</v>
      </c>
      <c r="QHE2148" s="626" t="s">
        <v>1236</v>
      </c>
      <c r="QHF2148" s="626" t="s">
        <v>1236</v>
      </c>
      <c r="QHG2148" s="626" t="s">
        <v>1236</v>
      </c>
      <c r="QHH2148" s="626" t="s">
        <v>1236</v>
      </c>
      <c r="QHI2148" s="626" t="s">
        <v>1236</v>
      </c>
      <c r="QHJ2148" s="626" t="s">
        <v>1236</v>
      </c>
      <c r="QHK2148" s="626" t="s">
        <v>1236</v>
      </c>
      <c r="QHL2148" s="626" t="s">
        <v>1236</v>
      </c>
      <c r="QHM2148" s="626" t="s">
        <v>1236</v>
      </c>
      <c r="QHN2148" s="626" t="s">
        <v>1236</v>
      </c>
      <c r="QHO2148" s="626" t="s">
        <v>1236</v>
      </c>
      <c r="QHP2148" s="626" t="s">
        <v>1236</v>
      </c>
      <c r="QHQ2148" s="626" t="s">
        <v>1236</v>
      </c>
      <c r="QHR2148" s="626" t="s">
        <v>1236</v>
      </c>
      <c r="QHS2148" s="626" t="s">
        <v>1236</v>
      </c>
      <c r="QHT2148" s="626" t="s">
        <v>1236</v>
      </c>
      <c r="QHU2148" s="626" t="s">
        <v>1236</v>
      </c>
      <c r="QHV2148" s="626" t="s">
        <v>1236</v>
      </c>
      <c r="QHW2148" s="626" t="s">
        <v>1236</v>
      </c>
      <c r="QHX2148" s="626" t="s">
        <v>1236</v>
      </c>
      <c r="QHY2148" s="626" t="s">
        <v>1236</v>
      </c>
      <c r="QHZ2148" s="626" t="s">
        <v>1236</v>
      </c>
      <c r="QIA2148" s="626" t="s">
        <v>1236</v>
      </c>
      <c r="QIB2148" s="626" t="s">
        <v>1236</v>
      </c>
      <c r="QIC2148" s="626" t="s">
        <v>1236</v>
      </c>
      <c r="QID2148" s="626" t="s">
        <v>1236</v>
      </c>
      <c r="QIE2148" s="626" t="s">
        <v>1236</v>
      </c>
      <c r="QIF2148" s="626" t="s">
        <v>1236</v>
      </c>
      <c r="QIG2148" s="626" t="s">
        <v>1236</v>
      </c>
      <c r="QIH2148" s="626" t="s">
        <v>1236</v>
      </c>
      <c r="QII2148" s="626" t="s">
        <v>1236</v>
      </c>
      <c r="QIJ2148" s="626" t="s">
        <v>1236</v>
      </c>
      <c r="QIK2148" s="626" t="s">
        <v>1236</v>
      </c>
      <c r="QIL2148" s="626" t="s">
        <v>1236</v>
      </c>
      <c r="QIM2148" s="626" t="s">
        <v>1236</v>
      </c>
      <c r="QIN2148" s="626" t="s">
        <v>1236</v>
      </c>
      <c r="QIO2148" s="626" t="s">
        <v>1236</v>
      </c>
      <c r="QIP2148" s="626" t="s">
        <v>1236</v>
      </c>
      <c r="QIQ2148" s="626" t="s">
        <v>1236</v>
      </c>
      <c r="QIR2148" s="626" t="s">
        <v>1236</v>
      </c>
      <c r="QIS2148" s="626" t="s">
        <v>1236</v>
      </c>
      <c r="QIT2148" s="626" t="s">
        <v>1236</v>
      </c>
      <c r="QIU2148" s="626" t="s">
        <v>1236</v>
      </c>
      <c r="QIV2148" s="626" t="s">
        <v>1236</v>
      </c>
      <c r="QIW2148" s="626" t="s">
        <v>1236</v>
      </c>
      <c r="QIX2148" s="626" t="s">
        <v>1236</v>
      </c>
      <c r="QIY2148" s="626" t="s">
        <v>1236</v>
      </c>
      <c r="QIZ2148" s="626" t="s">
        <v>1236</v>
      </c>
      <c r="QJA2148" s="626" t="s">
        <v>1236</v>
      </c>
      <c r="QJB2148" s="626" t="s">
        <v>1236</v>
      </c>
      <c r="QJC2148" s="626" t="s">
        <v>1236</v>
      </c>
      <c r="QJD2148" s="626" t="s">
        <v>1236</v>
      </c>
      <c r="QJE2148" s="626" t="s">
        <v>1236</v>
      </c>
      <c r="QJF2148" s="626" t="s">
        <v>1236</v>
      </c>
      <c r="QJG2148" s="626" t="s">
        <v>1236</v>
      </c>
      <c r="QJH2148" s="626" t="s">
        <v>1236</v>
      </c>
      <c r="QJI2148" s="626" t="s">
        <v>1236</v>
      </c>
      <c r="QJJ2148" s="626" t="s">
        <v>1236</v>
      </c>
      <c r="QJK2148" s="626" t="s">
        <v>1236</v>
      </c>
      <c r="QJL2148" s="626" t="s">
        <v>1236</v>
      </c>
      <c r="QJM2148" s="626" t="s">
        <v>1236</v>
      </c>
      <c r="QJN2148" s="626" t="s">
        <v>1236</v>
      </c>
      <c r="QJO2148" s="626" t="s">
        <v>1236</v>
      </c>
      <c r="QJP2148" s="626" t="s">
        <v>1236</v>
      </c>
      <c r="QJQ2148" s="626" t="s">
        <v>1236</v>
      </c>
      <c r="QJR2148" s="626" t="s">
        <v>1236</v>
      </c>
      <c r="QJS2148" s="626" t="s">
        <v>1236</v>
      </c>
      <c r="QJT2148" s="626" t="s">
        <v>1236</v>
      </c>
      <c r="QJU2148" s="626" t="s">
        <v>1236</v>
      </c>
      <c r="QJV2148" s="626" t="s">
        <v>1236</v>
      </c>
      <c r="QJW2148" s="626" t="s">
        <v>1236</v>
      </c>
      <c r="QJX2148" s="626" t="s">
        <v>1236</v>
      </c>
      <c r="QJY2148" s="626" t="s">
        <v>1236</v>
      </c>
      <c r="QJZ2148" s="626" t="s">
        <v>1236</v>
      </c>
      <c r="QKA2148" s="626" t="s">
        <v>1236</v>
      </c>
      <c r="QKB2148" s="626" t="s">
        <v>1236</v>
      </c>
      <c r="QKC2148" s="626" t="s">
        <v>1236</v>
      </c>
      <c r="QKD2148" s="626" t="s">
        <v>1236</v>
      </c>
      <c r="QKE2148" s="626" t="s">
        <v>1236</v>
      </c>
      <c r="QKF2148" s="626" t="s">
        <v>1236</v>
      </c>
      <c r="QKG2148" s="626" t="s">
        <v>1236</v>
      </c>
      <c r="QKH2148" s="626" t="s">
        <v>1236</v>
      </c>
      <c r="QKI2148" s="626" t="s">
        <v>1236</v>
      </c>
      <c r="QKJ2148" s="626" t="s">
        <v>1236</v>
      </c>
      <c r="QKK2148" s="626" t="s">
        <v>1236</v>
      </c>
      <c r="QKL2148" s="626" t="s">
        <v>1236</v>
      </c>
      <c r="QKM2148" s="626" t="s">
        <v>1236</v>
      </c>
      <c r="QKN2148" s="626" t="s">
        <v>1236</v>
      </c>
      <c r="QKO2148" s="626" t="s">
        <v>1236</v>
      </c>
      <c r="QKP2148" s="626" t="s">
        <v>1236</v>
      </c>
      <c r="QKQ2148" s="626" t="s">
        <v>1236</v>
      </c>
      <c r="QKR2148" s="626" t="s">
        <v>1236</v>
      </c>
      <c r="QKS2148" s="626" t="s">
        <v>1236</v>
      </c>
      <c r="QKT2148" s="626" t="s">
        <v>1236</v>
      </c>
      <c r="QKU2148" s="626" t="s">
        <v>1236</v>
      </c>
      <c r="QKV2148" s="626" t="s">
        <v>1236</v>
      </c>
      <c r="QKW2148" s="626" t="s">
        <v>1236</v>
      </c>
      <c r="QKX2148" s="626" t="s">
        <v>1236</v>
      </c>
      <c r="QKY2148" s="626" t="s">
        <v>1236</v>
      </c>
      <c r="QKZ2148" s="626" t="s">
        <v>1236</v>
      </c>
      <c r="QLA2148" s="626" t="s">
        <v>1236</v>
      </c>
      <c r="QLB2148" s="626" t="s">
        <v>1236</v>
      </c>
      <c r="QLC2148" s="626" t="s">
        <v>1236</v>
      </c>
      <c r="QLD2148" s="626" t="s">
        <v>1236</v>
      </c>
      <c r="QLE2148" s="626" t="s">
        <v>1236</v>
      </c>
      <c r="QLF2148" s="626" t="s">
        <v>1236</v>
      </c>
      <c r="QLG2148" s="626" t="s">
        <v>1236</v>
      </c>
      <c r="QLH2148" s="626" t="s">
        <v>1236</v>
      </c>
      <c r="QLI2148" s="626" t="s">
        <v>1236</v>
      </c>
      <c r="QLJ2148" s="626" t="s">
        <v>1236</v>
      </c>
      <c r="QLK2148" s="626" t="s">
        <v>1236</v>
      </c>
      <c r="QLL2148" s="626" t="s">
        <v>1236</v>
      </c>
      <c r="QLM2148" s="626" t="s">
        <v>1236</v>
      </c>
      <c r="QLN2148" s="626" t="s">
        <v>1236</v>
      </c>
      <c r="QLO2148" s="626" t="s">
        <v>1236</v>
      </c>
      <c r="QLP2148" s="626" t="s">
        <v>1236</v>
      </c>
      <c r="QLQ2148" s="626" t="s">
        <v>1236</v>
      </c>
      <c r="QLR2148" s="626" t="s">
        <v>1236</v>
      </c>
      <c r="QLS2148" s="626" t="s">
        <v>1236</v>
      </c>
      <c r="QLT2148" s="626" t="s">
        <v>1236</v>
      </c>
      <c r="QLU2148" s="626" t="s">
        <v>1236</v>
      </c>
      <c r="QLV2148" s="626" t="s">
        <v>1236</v>
      </c>
      <c r="QLW2148" s="626" t="s">
        <v>1236</v>
      </c>
      <c r="QLX2148" s="626" t="s">
        <v>1236</v>
      </c>
      <c r="QLY2148" s="626" t="s">
        <v>1236</v>
      </c>
      <c r="QLZ2148" s="626" t="s">
        <v>1236</v>
      </c>
      <c r="QMA2148" s="626" t="s">
        <v>1236</v>
      </c>
      <c r="QMB2148" s="626" t="s">
        <v>1236</v>
      </c>
      <c r="QMC2148" s="626" t="s">
        <v>1236</v>
      </c>
      <c r="QMD2148" s="626" t="s">
        <v>1236</v>
      </c>
      <c r="QME2148" s="626" t="s">
        <v>1236</v>
      </c>
      <c r="QMF2148" s="626" t="s">
        <v>1236</v>
      </c>
      <c r="QMG2148" s="626" t="s">
        <v>1236</v>
      </c>
      <c r="QMH2148" s="626" t="s">
        <v>1236</v>
      </c>
      <c r="QMI2148" s="626" t="s">
        <v>1236</v>
      </c>
      <c r="QMJ2148" s="626" t="s">
        <v>1236</v>
      </c>
      <c r="QMK2148" s="626" t="s">
        <v>1236</v>
      </c>
      <c r="QML2148" s="626" t="s">
        <v>1236</v>
      </c>
      <c r="QMM2148" s="626" t="s">
        <v>1236</v>
      </c>
      <c r="QMN2148" s="626" t="s">
        <v>1236</v>
      </c>
      <c r="QMO2148" s="626" t="s">
        <v>1236</v>
      </c>
      <c r="QMP2148" s="626" t="s">
        <v>1236</v>
      </c>
      <c r="QMQ2148" s="626" t="s">
        <v>1236</v>
      </c>
      <c r="QMR2148" s="626" t="s">
        <v>1236</v>
      </c>
      <c r="QMS2148" s="626" t="s">
        <v>1236</v>
      </c>
      <c r="QMT2148" s="626" t="s">
        <v>1236</v>
      </c>
      <c r="QMU2148" s="626" t="s">
        <v>1236</v>
      </c>
      <c r="QMV2148" s="626" t="s">
        <v>1236</v>
      </c>
      <c r="QMW2148" s="626" t="s">
        <v>1236</v>
      </c>
      <c r="QMX2148" s="626" t="s">
        <v>1236</v>
      </c>
      <c r="QMY2148" s="626" t="s">
        <v>1236</v>
      </c>
      <c r="QMZ2148" s="626" t="s">
        <v>1236</v>
      </c>
      <c r="QNA2148" s="626" t="s">
        <v>1236</v>
      </c>
      <c r="QNB2148" s="626" t="s">
        <v>1236</v>
      </c>
      <c r="QNC2148" s="626" t="s">
        <v>1236</v>
      </c>
      <c r="QND2148" s="626" t="s">
        <v>1236</v>
      </c>
      <c r="QNE2148" s="626" t="s">
        <v>1236</v>
      </c>
      <c r="QNF2148" s="626" t="s">
        <v>1236</v>
      </c>
      <c r="QNG2148" s="626" t="s">
        <v>1236</v>
      </c>
      <c r="QNH2148" s="626" t="s">
        <v>1236</v>
      </c>
      <c r="QNI2148" s="626" t="s">
        <v>1236</v>
      </c>
      <c r="QNJ2148" s="626" t="s">
        <v>1236</v>
      </c>
      <c r="QNK2148" s="626" t="s">
        <v>1236</v>
      </c>
      <c r="QNL2148" s="626" t="s">
        <v>1236</v>
      </c>
      <c r="QNM2148" s="626" t="s">
        <v>1236</v>
      </c>
      <c r="QNN2148" s="626" t="s">
        <v>1236</v>
      </c>
      <c r="QNO2148" s="626" t="s">
        <v>1236</v>
      </c>
      <c r="QNP2148" s="626" t="s">
        <v>1236</v>
      </c>
      <c r="QNQ2148" s="626" t="s">
        <v>1236</v>
      </c>
      <c r="QNR2148" s="626" t="s">
        <v>1236</v>
      </c>
      <c r="QNS2148" s="626" t="s">
        <v>1236</v>
      </c>
      <c r="QNT2148" s="626" t="s">
        <v>1236</v>
      </c>
      <c r="QNU2148" s="626" t="s">
        <v>1236</v>
      </c>
      <c r="QNV2148" s="626" t="s">
        <v>1236</v>
      </c>
      <c r="QNW2148" s="626" t="s">
        <v>1236</v>
      </c>
      <c r="QNX2148" s="626" t="s">
        <v>1236</v>
      </c>
      <c r="QNY2148" s="626" t="s">
        <v>1236</v>
      </c>
      <c r="QNZ2148" s="626" t="s">
        <v>1236</v>
      </c>
      <c r="QOA2148" s="626" t="s">
        <v>1236</v>
      </c>
      <c r="QOB2148" s="626" t="s">
        <v>1236</v>
      </c>
      <c r="QOC2148" s="626" t="s">
        <v>1236</v>
      </c>
      <c r="QOD2148" s="626" t="s">
        <v>1236</v>
      </c>
      <c r="QOE2148" s="626" t="s">
        <v>1236</v>
      </c>
      <c r="QOF2148" s="626" t="s">
        <v>1236</v>
      </c>
      <c r="QOG2148" s="626" t="s">
        <v>1236</v>
      </c>
      <c r="QOH2148" s="626" t="s">
        <v>1236</v>
      </c>
      <c r="QOI2148" s="626" t="s">
        <v>1236</v>
      </c>
      <c r="QOJ2148" s="626" t="s">
        <v>1236</v>
      </c>
      <c r="QOK2148" s="626" t="s">
        <v>1236</v>
      </c>
      <c r="QOL2148" s="626" t="s">
        <v>1236</v>
      </c>
      <c r="QOM2148" s="626" t="s">
        <v>1236</v>
      </c>
      <c r="QON2148" s="626" t="s">
        <v>1236</v>
      </c>
      <c r="QOO2148" s="626" t="s">
        <v>1236</v>
      </c>
      <c r="QOP2148" s="626" t="s">
        <v>1236</v>
      </c>
      <c r="QOQ2148" s="626" t="s">
        <v>1236</v>
      </c>
      <c r="QOR2148" s="626" t="s">
        <v>1236</v>
      </c>
      <c r="QOS2148" s="626" t="s">
        <v>1236</v>
      </c>
      <c r="QOT2148" s="626" t="s">
        <v>1236</v>
      </c>
      <c r="QOU2148" s="626" t="s">
        <v>1236</v>
      </c>
      <c r="QOV2148" s="626" t="s">
        <v>1236</v>
      </c>
      <c r="QOW2148" s="626" t="s">
        <v>1236</v>
      </c>
      <c r="QOX2148" s="626" t="s">
        <v>1236</v>
      </c>
      <c r="QOY2148" s="626" t="s">
        <v>1236</v>
      </c>
      <c r="QOZ2148" s="626" t="s">
        <v>1236</v>
      </c>
      <c r="QPA2148" s="626" t="s">
        <v>1236</v>
      </c>
      <c r="QPB2148" s="626" t="s">
        <v>1236</v>
      </c>
      <c r="QPC2148" s="626" t="s">
        <v>1236</v>
      </c>
      <c r="QPD2148" s="626" t="s">
        <v>1236</v>
      </c>
      <c r="QPE2148" s="626" t="s">
        <v>1236</v>
      </c>
      <c r="QPF2148" s="626" t="s">
        <v>1236</v>
      </c>
      <c r="QPG2148" s="626" t="s">
        <v>1236</v>
      </c>
      <c r="QPH2148" s="626" t="s">
        <v>1236</v>
      </c>
      <c r="QPI2148" s="626" t="s">
        <v>1236</v>
      </c>
      <c r="QPJ2148" s="626" t="s">
        <v>1236</v>
      </c>
      <c r="QPK2148" s="626" t="s">
        <v>1236</v>
      </c>
      <c r="QPL2148" s="626" t="s">
        <v>1236</v>
      </c>
      <c r="QPM2148" s="626" t="s">
        <v>1236</v>
      </c>
      <c r="QPN2148" s="626" t="s">
        <v>1236</v>
      </c>
      <c r="QPO2148" s="626" t="s">
        <v>1236</v>
      </c>
      <c r="QPP2148" s="626" t="s">
        <v>1236</v>
      </c>
      <c r="QPQ2148" s="626" t="s">
        <v>1236</v>
      </c>
      <c r="QPR2148" s="626" t="s">
        <v>1236</v>
      </c>
      <c r="QPS2148" s="626" t="s">
        <v>1236</v>
      </c>
      <c r="QPT2148" s="626" t="s">
        <v>1236</v>
      </c>
      <c r="QPU2148" s="626" t="s">
        <v>1236</v>
      </c>
      <c r="QPV2148" s="626" t="s">
        <v>1236</v>
      </c>
      <c r="QPW2148" s="626" t="s">
        <v>1236</v>
      </c>
      <c r="QPX2148" s="626" t="s">
        <v>1236</v>
      </c>
      <c r="QPY2148" s="626" t="s">
        <v>1236</v>
      </c>
      <c r="QPZ2148" s="626" t="s">
        <v>1236</v>
      </c>
      <c r="QQA2148" s="626" t="s">
        <v>1236</v>
      </c>
      <c r="QQB2148" s="626" t="s">
        <v>1236</v>
      </c>
      <c r="QQC2148" s="626" t="s">
        <v>1236</v>
      </c>
      <c r="QQD2148" s="626" t="s">
        <v>1236</v>
      </c>
      <c r="QQE2148" s="626" t="s">
        <v>1236</v>
      </c>
      <c r="QQF2148" s="626" t="s">
        <v>1236</v>
      </c>
      <c r="QQG2148" s="626" t="s">
        <v>1236</v>
      </c>
      <c r="QQH2148" s="626" t="s">
        <v>1236</v>
      </c>
      <c r="QQI2148" s="626" t="s">
        <v>1236</v>
      </c>
      <c r="QQJ2148" s="626" t="s">
        <v>1236</v>
      </c>
      <c r="QQK2148" s="626" t="s">
        <v>1236</v>
      </c>
      <c r="QQL2148" s="626" t="s">
        <v>1236</v>
      </c>
      <c r="QQM2148" s="626" t="s">
        <v>1236</v>
      </c>
      <c r="QQN2148" s="626" t="s">
        <v>1236</v>
      </c>
      <c r="QQO2148" s="626" t="s">
        <v>1236</v>
      </c>
      <c r="QQP2148" s="626" t="s">
        <v>1236</v>
      </c>
      <c r="QQQ2148" s="626" t="s">
        <v>1236</v>
      </c>
      <c r="QQR2148" s="626" t="s">
        <v>1236</v>
      </c>
      <c r="QQS2148" s="626" t="s">
        <v>1236</v>
      </c>
      <c r="QQT2148" s="626" t="s">
        <v>1236</v>
      </c>
      <c r="QQU2148" s="626" t="s">
        <v>1236</v>
      </c>
      <c r="QQV2148" s="626" t="s">
        <v>1236</v>
      </c>
      <c r="QQW2148" s="626" t="s">
        <v>1236</v>
      </c>
      <c r="QQX2148" s="626" t="s">
        <v>1236</v>
      </c>
      <c r="QQY2148" s="626" t="s">
        <v>1236</v>
      </c>
      <c r="QQZ2148" s="626" t="s">
        <v>1236</v>
      </c>
      <c r="QRA2148" s="626" t="s">
        <v>1236</v>
      </c>
      <c r="QRB2148" s="626" t="s">
        <v>1236</v>
      </c>
      <c r="QRC2148" s="626" t="s">
        <v>1236</v>
      </c>
      <c r="QRD2148" s="626" t="s">
        <v>1236</v>
      </c>
      <c r="QRE2148" s="626" t="s">
        <v>1236</v>
      </c>
      <c r="QRF2148" s="626" t="s">
        <v>1236</v>
      </c>
      <c r="QRG2148" s="626" t="s">
        <v>1236</v>
      </c>
      <c r="QRH2148" s="626" t="s">
        <v>1236</v>
      </c>
      <c r="QRI2148" s="626" t="s">
        <v>1236</v>
      </c>
      <c r="QRJ2148" s="626" t="s">
        <v>1236</v>
      </c>
      <c r="QRK2148" s="626" t="s">
        <v>1236</v>
      </c>
      <c r="QRL2148" s="626" t="s">
        <v>1236</v>
      </c>
      <c r="QRM2148" s="626" t="s">
        <v>1236</v>
      </c>
      <c r="QRN2148" s="626" t="s">
        <v>1236</v>
      </c>
      <c r="QRO2148" s="626" t="s">
        <v>1236</v>
      </c>
      <c r="QRP2148" s="626" t="s">
        <v>1236</v>
      </c>
      <c r="QRQ2148" s="626" t="s">
        <v>1236</v>
      </c>
      <c r="QRR2148" s="626" t="s">
        <v>1236</v>
      </c>
      <c r="QRS2148" s="626" t="s">
        <v>1236</v>
      </c>
      <c r="QRT2148" s="626" t="s">
        <v>1236</v>
      </c>
      <c r="QRU2148" s="626" t="s">
        <v>1236</v>
      </c>
      <c r="QRV2148" s="626" t="s">
        <v>1236</v>
      </c>
      <c r="QRW2148" s="626" t="s">
        <v>1236</v>
      </c>
      <c r="QRX2148" s="626" t="s">
        <v>1236</v>
      </c>
      <c r="QRY2148" s="626" t="s">
        <v>1236</v>
      </c>
      <c r="QRZ2148" s="626" t="s">
        <v>1236</v>
      </c>
      <c r="QSA2148" s="626" t="s">
        <v>1236</v>
      </c>
      <c r="QSB2148" s="626" t="s">
        <v>1236</v>
      </c>
      <c r="QSC2148" s="626" t="s">
        <v>1236</v>
      </c>
      <c r="QSD2148" s="626" t="s">
        <v>1236</v>
      </c>
      <c r="QSE2148" s="626" t="s">
        <v>1236</v>
      </c>
      <c r="QSF2148" s="626" t="s">
        <v>1236</v>
      </c>
      <c r="QSG2148" s="626" t="s">
        <v>1236</v>
      </c>
      <c r="QSH2148" s="626" t="s">
        <v>1236</v>
      </c>
      <c r="QSI2148" s="626" t="s">
        <v>1236</v>
      </c>
      <c r="QSJ2148" s="626" t="s">
        <v>1236</v>
      </c>
      <c r="QSK2148" s="626" t="s">
        <v>1236</v>
      </c>
      <c r="QSL2148" s="626" t="s">
        <v>1236</v>
      </c>
      <c r="QSM2148" s="626" t="s">
        <v>1236</v>
      </c>
      <c r="QSN2148" s="626" t="s">
        <v>1236</v>
      </c>
      <c r="QSO2148" s="626" t="s">
        <v>1236</v>
      </c>
      <c r="QSP2148" s="626" t="s">
        <v>1236</v>
      </c>
      <c r="QSQ2148" s="626" t="s">
        <v>1236</v>
      </c>
      <c r="QSR2148" s="626" t="s">
        <v>1236</v>
      </c>
      <c r="QSS2148" s="626" t="s">
        <v>1236</v>
      </c>
      <c r="QST2148" s="626" t="s">
        <v>1236</v>
      </c>
      <c r="QSU2148" s="626" t="s">
        <v>1236</v>
      </c>
      <c r="QSV2148" s="626" t="s">
        <v>1236</v>
      </c>
      <c r="QSW2148" s="626" t="s">
        <v>1236</v>
      </c>
      <c r="QSX2148" s="626" t="s">
        <v>1236</v>
      </c>
      <c r="QSY2148" s="626" t="s">
        <v>1236</v>
      </c>
      <c r="QSZ2148" s="626" t="s">
        <v>1236</v>
      </c>
      <c r="QTA2148" s="626" t="s">
        <v>1236</v>
      </c>
      <c r="QTB2148" s="626" t="s">
        <v>1236</v>
      </c>
      <c r="QTC2148" s="626" t="s">
        <v>1236</v>
      </c>
      <c r="QTD2148" s="626" t="s">
        <v>1236</v>
      </c>
      <c r="QTE2148" s="626" t="s">
        <v>1236</v>
      </c>
      <c r="QTF2148" s="626" t="s">
        <v>1236</v>
      </c>
      <c r="QTG2148" s="626" t="s">
        <v>1236</v>
      </c>
      <c r="QTH2148" s="626" t="s">
        <v>1236</v>
      </c>
      <c r="QTI2148" s="626" t="s">
        <v>1236</v>
      </c>
      <c r="QTJ2148" s="626" t="s">
        <v>1236</v>
      </c>
      <c r="QTK2148" s="626" t="s">
        <v>1236</v>
      </c>
      <c r="QTL2148" s="626" t="s">
        <v>1236</v>
      </c>
      <c r="QTM2148" s="626" t="s">
        <v>1236</v>
      </c>
      <c r="QTN2148" s="626" t="s">
        <v>1236</v>
      </c>
      <c r="QTO2148" s="626" t="s">
        <v>1236</v>
      </c>
      <c r="QTP2148" s="626" t="s">
        <v>1236</v>
      </c>
      <c r="QTQ2148" s="626" t="s">
        <v>1236</v>
      </c>
      <c r="QTR2148" s="626" t="s">
        <v>1236</v>
      </c>
      <c r="QTS2148" s="626" t="s">
        <v>1236</v>
      </c>
      <c r="QTT2148" s="626" t="s">
        <v>1236</v>
      </c>
      <c r="QTU2148" s="626" t="s">
        <v>1236</v>
      </c>
      <c r="QTV2148" s="626" t="s">
        <v>1236</v>
      </c>
      <c r="QTW2148" s="626" t="s">
        <v>1236</v>
      </c>
      <c r="QTX2148" s="626" t="s">
        <v>1236</v>
      </c>
      <c r="QTY2148" s="626" t="s">
        <v>1236</v>
      </c>
      <c r="QTZ2148" s="626" t="s">
        <v>1236</v>
      </c>
      <c r="QUA2148" s="626" t="s">
        <v>1236</v>
      </c>
      <c r="QUB2148" s="626" t="s">
        <v>1236</v>
      </c>
      <c r="QUC2148" s="626" t="s">
        <v>1236</v>
      </c>
      <c r="QUD2148" s="626" t="s">
        <v>1236</v>
      </c>
      <c r="QUE2148" s="626" t="s">
        <v>1236</v>
      </c>
      <c r="QUF2148" s="626" t="s">
        <v>1236</v>
      </c>
      <c r="QUG2148" s="626" t="s">
        <v>1236</v>
      </c>
      <c r="QUH2148" s="626" t="s">
        <v>1236</v>
      </c>
      <c r="QUI2148" s="626" t="s">
        <v>1236</v>
      </c>
      <c r="QUJ2148" s="626" t="s">
        <v>1236</v>
      </c>
      <c r="QUK2148" s="626" t="s">
        <v>1236</v>
      </c>
      <c r="QUL2148" s="626" t="s">
        <v>1236</v>
      </c>
      <c r="QUM2148" s="626" t="s">
        <v>1236</v>
      </c>
      <c r="QUN2148" s="626" t="s">
        <v>1236</v>
      </c>
      <c r="QUO2148" s="626" t="s">
        <v>1236</v>
      </c>
      <c r="QUP2148" s="626" t="s">
        <v>1236</v>
      </c>
      <c r="QUQ2148" s="626" t="s">
        <v>1236</v>
      </c>
      <c r="QUR2148" s="626" t="s">
        <v>1236</v>
      </c>
      <c r="QUS2148" s="626" t="s">
        <v>1236</v>
      </c>
      <c r="QUT2148" s="626" t="s">
        <v>1236</v>
      </c>
      <c r="QUU2148" s="626" t="s">
        <v>1236</v>
      </c>
      <c r="QUV2148" s="626" t="s">
        <v>1236</v>
      </c>
      <c r="QUW2148" s="626" t="s">
        <v>1236</v>
      </c>
      <c r="QUX2148" s="626" t="s">
        <v>1236</v>
      </c>
      <c r="QUY2148" s="626" t="s">
        <v>1236</v>
      </c>
      <c r="QUZ2148" s="626" t="s">
        <v>1236</v>
      </c>
      <c r="QVA2148" s="626" t="s">
        <v>1236</v>
      </c>
      <c r="QVB2148" s="626" t="s">
        <v>1236</v>
      </c>
      <c r="QVC2148" s="626" t="s">
        <v>1236</v>
      </c>
      <c r="QVD2148" s="626" t="s">
        <v>1236</v>
      </c>
      <c r="QVE2148" s="626" t="s">
        <v>1236</v>
      </c>
      <c r="QVF2148" s="626" t="s">
        <v>1236</v>
      </c>
      <c r="QVG2148" s="626" t="s">
        <v>1236</v>
      </c>
      <c r="QVH2148" s="626" t="s">
        <v>1236</v>
      </c>
      <c r="QVI2148" s="626" t="s">
        <v>1236</v>
      </c>
      <c r="QVJ2148" s="626" t="s">
        <v>1236</v>
      </c>
      <c r="QVK2148" s="626" t="s">
        <v>1236</v>
      </c>
      <c r="QVL2148" s="626" t="s">
        <v>1236</v>
      </c>
      <c r="QVM2148" s="626" t="s">
        <v>1236</v>
      </c>
      <c r="QVN2148" s="626" t="s">
        <v>1236</v>
      </c>
      <c r="QVO2148" s="626" t="s">
        <v>1236</v>
      </c>
      <c r="QVP2148" s="626" t="s">
        <v>1236</v>
      </c>
      <c r="QVQ2148" s="626" t="s">
        <v>1236</v>
      </c>
      <c r="QVR2148" s="626" t="s">
        <v>1236</v>
      </c>
      <c r="QVS2148" s="626" t="s">
        <v>1236</v>
      </c>
      <c r="QVT2148" s="626" t="s">
        <v>1236</v>
      </c>
      <c r="QVU2148" s="626" t="s">
        <v>1236</v>
      </c>
      <c r="QVV2148" s="626" t="s">
        <v>1236</v>
      </c>
      <c r="QVW2148" s="626" t="s">
        <v>1236</v>
      </c>
      <c r="QVX2148" s="626" t="s">
        <v>1236</v>
      </c>
      <c r="QVY2148" s="626" t="s">
        <v>1236</v>
      </c>
      <c r="QVZ2148" s="626" t="s">
        <v>1236</v>
      </c>
      <c r="QWA2148" s="626" t="s">
        <v>1236</v>
      </c>
      <c r="QWB2148" s="626" t="s">
        <v>1236</v>
      </c>
      <c r="QWC2148" s="626" t="s">
        <v>1236</v>
      </c>
      <c r="QWD2148" s="626" t="s">
        <v>1236</v>
      </c>
      <c r="QWE2148" s="626" t="s">
        <v>1236</v>
      </c>
      <c r="QWF2148" s="626" t="s">
        <v>1236</v>
      </c>
      <c r="QWG2148" s="626" t="s">
        <v>1236</v>
      </c>
      <c r="QWH2148" s="626" t="s">
        <v>1236</v>
      </c>
      <c r="QWI2148" s="626" t="s">
        <v>1236</v>
      </c>
      <c r="QWJ2148" s="626" t="s">
        <v>1236</v>
      </c>
      <c r="QWK2148" s="626" t="s">
        <v>1236</v>
      </c>
      <c r="QWL2148" s="626" t="s">
        <v>1236</v>
      </c>
      <c r="QWM2148" s="626" t="s">
        <v>1236</v>
      </c>
      <c r="QWN2148" s="626" t="s">
        <v>1236</v>
      </c>
      <c r="QWO2148" s="626" t="s">
        <v>1236</v>
      </c>
      <c r="QWP2148" s="626" t="s">
        <v>1236</v>
      </c>
      <c r="QWQ2148" s="626" t="s">
        <v>1236</v>
      </c>
      <c r="QWR2148" s="626" t="s">
        <v>1236</v>
      </c>
      <c r="QWS2148" s="626" t="s">
        <v>1236</v>
      </c>
      <c r="QWT2148" s="626" t="s">
        <v>1236</v>
      </c>
      <c r="QWU2148" s="626" t="s">
        <v>1236</v>
      </c>
      <c r="QWV2148" s="626" t="s">
        <v>1236</v>
      </c>
      <c r="QWW2148" s="626" t="s">
        <v>1236</v>
      </c>
      <c r="QWX2148" s="626" t="s">
        <v>1236</v>
      </c>
      <c r="QWY2148" s="626" t="s">
        <v>1236</v>
      </c>
      <c r="QWZ2148" s="626" t="s">
        <v>1236</v>
      </c>
      <c r="QXA2148" s="626" t="s">
        <v>1236</v>
      </c>
      <c r="QXB2148" s="626" t="s">
        <v>1236</v>
      </c>
      <c r="QXC2148" s="626" t="s">
        <v>1236</v>
      </c>
      <c r="QXD2148" s="626" t="s">
        <v>1236</v>
      </c>
      <c r="QXE2148" s="626" t="s">
        <v>1236</v>
      </c>
      <c r="QXF2148" s="626" t="s">
        <v>1236</v>
      </c>
      <c r="QXG2148" s="626" t="s">
        <v>1236</v>
      </c>
      <c r="QXH2148" s="626" t="s">
        <v>1236</v>
      </c>
      <c r="QXI2148" s="626" t="s">
        <v>1236</v>
      </c>
      <c r="QXJ2148" s="626" t="s">
        <v>1236</v>
      </c>
      <c r="QXK2148" s="626" t="s">
        <v>1236</v>
      </c>
      <c r="QXL2148" s="626" t="s">
        <v>1236</v>
      </c>
      <c r="QXM2148" s="626" t="s">
        <v>1236</v>
      </c>
      <c r="QXN2148" s="626" t="s">
        <v>1236</v>
      </c>
      <c r="QXO2148" s="626" t="s">
        <v>1236</v>
      </c>
      <c r="QXP2148" s="626" t="s">
        <v>1236</v>
      </c>
      <c r="QXQ2148" s="626" t="s">
        <v>1236</v>
      </c>
      <c r="QXR2148" s="626" t="s">
        <v>1236</v>
      </c>
      <c r="QXS2148" s="626" t="s">
        <v>1236</v>
      </c>
      <c r="QXT2148" s="626" t="s">
        <v>1236</v>
      </c>
      <c r="QXU2148" s="626" t="s">
        <v>1236</v>
      </c>
      <c r="QXV2148" s="626" t="s">
        <v>1236</v>
      </c>
      <c r="QXW2148" s="626" t="s">
        <v>1236</v>
      </c>
      <c r="QXX2148" s="626" t="s">
        <v>1236</v>
      </c>
      <c r="QXY2148" s="626" t="s">
        <v>1236</v>
      </c>
      <c r="QXZ2148" s="626" t="s">
        <v>1236</v>
      </c>
      <c r="QYA2148" s="626" t="s">
        <v>1236</v>
      </c>
      <c r="QYB2148" s="626" t="s">
        <v>1236</v>
      </c>
      <c r="QYC2148" s="626" t="s">
        <v>1236</v>
      </c>
      <c r="QYD2148" s="626" t="s">
        <v>1236</v>
      </c>
      <c r="QYE2148" s="626" t="s">
        <v>1236</v>
      </c>
      <c r="QYF2148" s="626" t="s">
        <v>1236</v>
      </c>
      <c r="QYG2148" s="626" t="s">
        <v>1236</v>
      </c>
      <c r="QYH2148" s="626" t="s">
        <v>1236</v>
      </c>
      <c r="QYI2148" s="626" t="s">
        <v>1236</v>
      </c>
      <c r="QYJ2148" s="626" t="s">
        <v>1236</v>
      </c>
      <c r="QYK2148" s="626" t="s">
        <v>1236</v>
      </c>
      <c r="QYL2148" s="626" t="s">
        <v>1236</v>
      </c>
      <c r="QYM2148" s="626" t="s">
        <v>1236</v>
      </c>
      <c r="QYN2148" s="626" t="s">
        <v>1236</v>
      </c>
      <c r="QYO2148" s="626" t="s">
        <v>1236</v>
      </c>
      <c r="QYP2148" s="626" t="s">
        <v>1236</v>
      </c>
      <c r="QYQ2148" s="626" t="s">
        <v>1236</v>
      </c>
      <c r="QYR2148" s="626" t="s">
        <v>1236</v>
      </c>
      <c r="QYS2148" s="626" t="s">
        <v>1236</v>
      </c>
      <c r="QYT2148" s="626" t="s">
        <v>1236</v>
      </c>
      <c r="QYU2148" s="626" t="s">
        <v>1236</v>
      </c>
      <c r="QYV2148" s="626" t="s">
        <v>1236</v>
      </c>
      <c r="QYW2148" s="626" t="s">
        <v>1236</v>
      </c>
      <c r="QYX2148" s="626" t="s">
        <v>1236</v>
      </c>
      <c r="QYY2148" s="626" t="s">
        <v>1236</v>
      </c>
      <c r="QYZ2148" s="626" t="s">
        <v>1236</v>
      </c>
      <c r="QZA2148" s="626" t="s">
        <v>1236</v>
      </c>
      <c r="QZB2148" s="626" t="s">
        <v>1236</v>
      </c>
      <c r="QZC2148" s="626" t="s">
        <v>1236</v>
      </c>
      <c r="QZD2148" s="626" t="s">
        <v>1236</v>
      </c>
      <c r="QZE2148" s="626" t="s">
        <v>1236</v>
      </c>
      <c r="QZF2148" s="626" t="s">
        <v>1236</v>
      </c>
      <c r="QZG2148" s="626" t="s">
        <v>1236</v>
      </c>
      <c r="QZH2148" s="626" t="s">
        <v>1236</v>
      </c>
      <c r="QZI2148" s="626" t="s">
        <v>1236</v>
      </c>
      <c r="QZJ2148" s="626" t="s">
        <v>1236</v>
      </c>
      <c r="QZK2148" s="626" t="s">
        <v>1236</v>
      </c>
      <c r="QZL2148" s="626" t="s">
        <v>1236</v>
      </c>
      <c r="QZM2148" s="626" t="s">
        <v>1236</v>
      </c>
      <c r="QZN2148" s="626" t="s">
        <v>1236</v>
      </c>
      <c r="QZO2148" s="626" t="s">
        <v>1236</v>
      </c>
      <c r="QZP2148" s="626" t="s">
        <v>1236</v>
      </c>
      <c r="QZQ2148" s="626" t="s">
        <v>1236</v>
      </c>
      <c r="QZR2148" s="626" t="s">
        <v>1236</v>
      </c>
      <c r="QZS2148" s="626" t="s">
        <v>1236</v>
      </c>
      <c r="QZT2148" s="626" t="s">
        <v>1236</v>
      </c>
      <c r="QZU2148" s="626" t="s">
        <v>1236</v>
      </c>
      <c r="QZV2148" s="626" t="s">
        <v>1236</v>
      </c>
      <c r="QZW2148" s="626" t="s">
        <v>1236</v>
      </c>
      <c r="QZX2148" s="626" t="s">
        <v>1236</v>
      </c>
      <c r="QZY2148" s="626" t="s">
        <v>1236</v>
      </c>
      <c r="QZZ2148" s="626" t="s">
        <v>1236</v>
      </c>
      <c r="RAA2148" s="626" t="s">
        <v>1236</v>
      </c>
      <c r="RAB2148" s="626" t="s">
        <v>1236</v>
      </c>
      <c r="RAC2148" s="626" t="s">
        <v>1236</v>
      </c>
      <c r="RAD2148" s="626" t="s">
        <v>1236</v>
      </c>
      <c r="RAE2148" s="626" t="s">
        <v>1236</v>
      </c>
      <c r="RAF2148" s="626" t="s">
        <v>1236</v>
      </c>
      <c r="RAG2148" s="626" t="s">
        <v>1236</v>
      </c>
      <c r="RAH2148" s="626" t="s">
        <v>1236</v>
      </c>
      <c r="RAI2148" s="626" t="s">
        <v>1236</v>
      </c>
      <c r="RAJ2148" s="626" t="s">
        <v>1236</v>
      </c>
      <c r="RAK2148" s="626" t="s">
        <v>1236</v>
      </c>
      <c r="RAL2148" s="626" t="s">
        <v>1236</v>
      </c>
      <c r="RAM2148" s="626" t="s">
        <v>1236</v>
      </c>
      <c r="RAN2148" s="626" t="s">
        <v>1236</v>
      </c>
      <c r="RAO2148" s="626" t="s">
        <v>1236</v>
      </c>
      <c r="RAP2148" s="626" t="s">
        <v>1236</v>
      </c>
      <c r="RAQ2148" s="626" t="s">
        <v>1236</v>
      </c>
      <c r="RAR2148" s="626" t="s">
        <v>1236</v>
      </c>
      <c r="RAS2148" s="626" t="s">
        <v>1236</v>
      </c>
      <c r="RAT2148" s="626" t="s">
        <v>1236</v>
      </c>
      <c r="RAU2148" s="626" t="s">
        <v>1236</v>
      </c>
      <c r="RAV2148" s="626" t="s">
        <v>1236</v>
      </c>
      <c r="RAW2148" s="626" t="s">
        <v>1236</v>
      </c>
      <c r="RAX2148" s="626" t="s">
        <v>1236</v>
      </c>
      <c r="RAY2148" s="626" t="s">
        <v>1236</v>
      </c>
      <c r="RAZ2148" s="626" t="s">
        <v>1236</v>
      </c>
      <c r="RBA2148" s="626" t="s">
        <v>1236</v>
      </c>
      <c r="RBB2148" s="626" t="s">
        <v>1236</v>
      </c>
      <c r="RBC2148" s="626" t="s">
        <v>1236</v>
      </c>
      <c r="RBD2148" s="626" t="s">
        <v>1236</v>
      </c>
      <c r="RBE2148" s="626" t="s">
        <v>1236</v>
      </c>
      <c r="RBF2148" s="626" t="s">
        <v>1236</v>
      </c>
      <c r="RBG2148" s="626" t="s">
        <v>1236</v>
      </c>
      <c r="RBH2148" s="626" t="s">
        <v>1236</v>
      </c>
      <c r="RBI2148" s="626" t="s">
        <v>1236</v>
      </c>
      <c r="RBJ2148" s="626" t="s">
        <v>1236</v>
      </c>
      <c r="RBK2148" s="626" t="s">
        <v>1236</v>
      </c>
      <c r="RBL2148" s="626" t="s">
        <v>1236</v>
      </c>
      <c r="RBM2148" s="626" t="s">
        <v>1236</v>
      </c>
      <c r="RBN2148" s="626" t="s">
        <v>1236</v>
      </c>
      <c r="RBO2148" s="626" t="s">
        <v>1236</v>
      </c>
      <c r="RBP2148" s="626" t="s">
        <v>1236</v>
      </c>
      <c r="RBQ2148" s="626" t="s">
        <v>1236</v>
      </c>
      <c r="RBR2148" s="626" t="s">
        <v>1236</v>
      </c>
      <c r="RBS2148" s="626" t="s">
        <v>1236</v>
      </c>
      <c r="RBT2148" s="626" t="s">
        <v>1236</v>
      </c>
      <c r="RBU2148" s="626" t="s">
        <v>1236</v>
      </c>
      <c r="RBV2148" s="626" t="s">
        <v>1236</v>
      </c>
      <c r="RBW2148" s="626" t="s">
        <v>1236</v>
      </c>
      <c r="RBX2148" s="626" t="s">
        <v>1236</v>
      </c>
      <c r="RBY2148" s="626" t="s">
        <v>1236</v>
      </c>
      <c r="RBZ2148" s="626" t="s">
        <v>1236</v>
      </c>
      <c r="RCA2148" s="626" t="s">
        <v>1236</v>
      </c>
      <c r="RCB2148" s="626" t="s">
        <v>1236</v>
      </c>
      <c r="RCC2148" s="626" t="s">
        <v>1236</v>
      </c>
      <c r="RCD2148" s="626" t="s">
        <v>1236</v>
      </c>
      <c r="RCE2148" s="626" t="s">
        <v>1236</v>
      </c>
      <c r="RCF2148" s="626" t="s">
        <v>1236</v>
      </c>
      <c r="RCG2148" s="626" t="s">
        <v>1236</v>
      </c>
      <c r="RCH2148" s="626" t="s">
        <v>1236</v>
      </c>
      <c r="RCI2148" s="626" t="s">
        <v>1236</v>
      </c>
      <c r="RCJ2148" s="626" t="s">
        <v>1236</v>
      </c>
      <c r="RCK2148" s="626" t="s">
        <v>1236</v>
      </c>
      <c r="RCL2148" s="626" t="s">
        <v>1236</v>
      </c>
      <c r="RCM2148" s="626" t="s">
        <v>1236</v>
      </c>
      <c r="RCN2148" s="626" t="s">
        <v>1236</v>
      </c>
      <c r="RCO2148" s="626" t="s">
        <v>1236</v>
      </c>
      <c r="RCP2148" s="626" t="s">
        <v>1236</v>
      </c>
      <c r="RCQ2148" s="626" t="s">
        <v>1236</v>
      </c>
      <c r="RCR2148" s="626" t="s">
        <v>1236</v>
      </c>
      <c r="RCS2148" s="626" t="s">
        <v>1236</v>
      </c>
      <c r="RCT2148" s="626" t="s">
        <v>1236</v>
      </c>
      <c r="RCU2148" s="626" t="s">
        <v>1236</v>
      </c>
      <c r="RCV2148" s="626" t="s">
        <v>1236</v>
      </c>
      <c r="RCW2148" s="626" t="s">
        <v>1236</v>
      </c>
      <c r="RCX2148" s="626" t="s">
        <v>1236</v>
      </c>
      <c r="RCY2148" s="626" t="s">
        <v>1236</v>
      </c>
      <c r="RCZ2148" s="626" t="s">
        <v>1236</v>
      </c>
      <c r="RDA2148" s="626" t="s">
        <v>1236</v>
      </c>
      <c r="RDB2148" s="626" t="s">
        <v>1236</v>
      </c>
      <c r="RDC2148" s="626" t="s">
        <v>1236</v>
      </c>
      <c r="RDD2148" s="626" t="s">
        <v>1236</v>
      </c>
      <c r="RDE2148" s="626" t="s">
        <v>1236</v>
      </c>
      <c r="RDF2148" s="626" t="s">
        <v>1236</v>
      </c>
      <c r="RDG2148" s="626" t="s">
        <v>1236</v>
      </c>
      <c r="RDH2148" s="626" t="s">
        <v>1236</v>
      </c>
      <c r="RDI2148" s="626" t="s">
        <v>1236</v>
      </c>
      <c r="RDJ2148" s="626" t="s">
        <v>1236</v>
      </c>
      <c r="RDK2148" s="626" t="s">
        <v>1236</v>
      </c>
      <c r="RDL2148" s="626" t="s">
        <v>1236</v>
      </c>
      <c r="RDM2148" s="626" t="s">
        <v>1236</v>
      </c>
      <c r="RDN2148" s="626" t="s">
        <v>1236</v>
      </c>
      <c r="RDO2148" s="626" t="s">
        <v>1236</v>
      </c>
      <c r="RDP2148" s="626" t="s">
        <v>1236</v>
      </c>
      <c r="RDQ2148" s="626" t="s">
        <v>1236</v>
      </c>
      <c r="RDR2148" s="626" t="s">
        <v>1236</v>
      </c>
      <c r="RDS2148" s="626" t="s">
        <v>1236</v>
      </c>
      <c r="RDT2148" s="626" t="s">
        <v>1236</v>
      </c>
      <c r="RDU2148" s="626" t="s">
        <v>1236</v>
      </c>
      <c r="RDV2148" s="626" t="s">
        <v>1236</v>
      </c>
      <c r="RDW2148" s="626" t="s">
        <v>1236</v>
      </c>
      <c r="RDX2148" s="626" t="s">
        <v>1236</v>
      </c>
      <c r="RDY2148" s="626" t="s">
        <v>1236</v>
      </c>
      <c r="RDZ2148" s="626" t="s">
        <v>1236</v>
      </c>
      <c r="REA2148" s="626" t="s">
        <v>1236</v>
      </c>
      <c r="REB2148" s="626" t="s">
        <v>1236</v>
      </c>
      <c r="REC2148" s="626" t="s">
        <v>1236</v>
      </c>
      <c r="RED2148" s="626" t="s">
        <v>1236</v>
      </c>
      <c r="REE2148" s="626" t="s">
        <v>1236</v>
      </c>
      <c r="REF2148" s="626" t="s">
        <v>1236</v>
      </c>
      <c r="REG2148" s="626" t="s">
        <v>1236</v>
      </c>
      <c r="REH2148" s="626" t="s">
        <v>1236</v>
      </c>
      <c r="REI2148" s="626" t="s">
        <v>1236</v>
      </c>
      <c r="REJ2148" s="626" t="s">
        <v>1236</v>
      </c>
      <c r="REK2148" s="626" t="s">
        <v>1236</v>
      </c>
      <c r="REL2148" s="626" t="s">
        <v>1236</v>
      </c>
      <c r="REM2148" s="626" t="s">
        <v>1236</v>
      </c>
      <c r="REN2148" s="626" t="s">
        <v>1236</v>
      </c>
      <c r="REO2148" s="626" t="s">
        <v>1236</v>
      </c>
      <c r="REP2148" s="626" t="s">
        <v>1236</v>
      </c>
      <c r="REQ2148" s="626" t="s">
        <v>1236</v>
      </c>
      <c r="RER2148" s="626" t="s">
        <v>1236</v>
      </c>
      <c r="RES2148" s="626" t="s">
        <v>1236</v>
      </c>
      <c r="RET2148" s="626" t="s">
        <v>1236</v>
      </c>
      <c r="REU2148" s="626" t="s">
        <v>1236</v>
      </c>
      <c r="REV2148" s="626" t="s">
        <v>1236</v>
      </c>
      <c r="REW2148" s="626" t="s">
        <v>1236</v>
      </c>
      <c r="REX2148" s="626" t="s">
        <v>1236</v>
      </c>
      <c r="REY2148" s="626" t="s">
        <v>1236</v>
      </c>
      <c r="REZ2148" s="626" t="s">
        <v>1236</v>
      </c>
      <c r="RFA2148" s="626" t="s">
        <v>1236</v>
      </c>
      <c r="RFB2148" s="626" t="s">
        <v>1236</v>
      </c>
      <c r="RFC2148" s="626" t="s">
        <v>1236</v>
      </c>
      <c r="RFD2148" s="626" t="s">
        <v>1236</v>
      </c>
      <c r="RFE2148" s="626" t="s">
        <v>1236</v>
      </c>
      <c r="RFF2148" s="626" t="s">
        <v>1236</v>
      </c>
      <c r="RFG2148" s="626" t="s">
        <v>1236</v>
      </c>
      <c r="RFH2148" s="626" t="s">
        <v>1236</v>
      </c>
      <c r="RFI2148" s="626" t="s">
        <v>1236</v>
      </c>
      <c r="RFJ2148" s="626" t="s">
        <v>1236</v>
      </c>
      <c r="RFK2148" s="626" t="s">
        <v>1236</v>
      </c>
      <c r="RFL2148" s="626" t="s">
        <v>1236</v>
      </c>
      <c r="RFM2148" s="626" t="s">
        <v>1236</v>
      </c>
      <c r="RFN2148" s="626" t="s">
        <v>1236</v>
      </c>
      <c r="RFO2148" s="626" t="s">
        <v>1236</v>
      </c>
      <c r="RFP2148" s="626" t="s">
        <v>1236</v>
      </c>
      <c r="RFQ2148" s="626" t="s">
        <v>1236</v>
      </c>
      <c r="RFR2148" s="626" t="s">
        <v>1236</v>
      </c>
      <c r="RFS2148" s="626" t="s">
        <v>1236</v>
      </c>
      <c r="RFT2148" s="626" t="s">
        <v>1236</v>
      </c>
      <c r="RFU2148" s="626" t="s">
        <v>1236</v>
      </c>
      <c r="RFV2148" s="626" t="s">
        <v>1236</v>
      </c>
      <c r="RFW2148" s="626" t="s">
        <v>1236</v>
      </c>
      <c r="RFX2148" s="626" t="s">
        <v>1236</v>
      </c>
      <c r="RFY2148" s="626" t="s">
        <v>1236</v>
      </c>
      <c r="RFZ2148" s="626" t="s">
        <v>1236</v>
      </c>
      <c r="RGA2148" s="626" t="s">
        <v>1236</v>
      </c>
      <c r="RGB2148" s="626" t="s">
        <v>1236</v>
      </c>
      <c r="RGC2148" s="626" t="s">
        <v>1236</v>
      </c>
      <c r="RGD2148" s="626" t="s">
        <v>1236</v>
      </c>
      <c r="RGE2148" s="626" t="s">
        <v>1236</v>
      </c>
      <c r="RGF2148" s="626" t="s">
        <v>1236</v>
      </c>
      <c r="RGG2148" s="626" t="s">
        <v>1236</v>
      </c>
      <c r="RGH2148" s="626" t="s">
        <v>1236</v>
      </c>
      <c r="RGI2148" s="626" t="s">
        <v>1236</v>
      </c>
      <c r="RGJ2148" s="626" t="s">
        <v>1236</v>
      </c>
      <c r="RGK2148" s="626" t="s">
        <v>1236</v>
      </c>
      <c r="RGL2148" s="626" t="s">
        <v>1236</v>
      </c>
      <c r="RGM2148" s="626" t="s">
        <v>1236</v>
      </c>
      <c r="RGN2148" s="626" t="s">
        <v>1236</v>
      </c>
      <c r="RGO2148" s="626" t="s">
        <v>1236</v>
      </c>
      <c r="RGP2148" s="626" t="s">
        <v>1236</v>
      </c>
      <c r="RGQ2148" s="626" t="s">
        <v>1236</v>
      </c>
      <c r="RGR2148" s="626" t="s">
        <v>1236</v>
      </c>
      <c r="RGS2148" s="626" t="s">
        <v>1236</v>
      </c>
      <c r="RGT2148" s="626" t="s">
        <v>1236</v>
      </c>
      <c r="RGU2148" s="626" t="s">
        <v>1236</v>
      </c>
      <c r="RGV2148" s="626" t="s">
        <v>1236</v>
      </c>
      <c r="RGW2148" s="626" t="s">
        <v>1236</v>
      </c>
      <c r="RGX2148" s="626" t="s">
        <v>1236</v>
      </c>
      <c r="RGY2148" s="626" t="s">
        <v>1236</v>
      </c>
      <c r="RGZ2148" s="626" t="s">
        <v>1236</v>
      </c>
      <c r="RHA2148" s="626" t="s">
        <v>1236</v>
      </c>
      <c r="RHB2148" s="626" t="s">
        <v>1236</v>
      </c>
      <c r="RHC2148" s="626" t="s">
        <v>1236</v>
      </c>
      <c r="RHD2148" s="626" t="s">
        <v>1236</v>
      </c>
      <c r="RHE2148" s="626" t="s">
        <v>1236</v>
      </c>
      <c r="RHF2148" s="626" t="s">
        <v>1236</v>
      </c>
      <c r="RHG2148" s="626" t="s">
        <v>1236</v>
      </c>
      <c r="RHH2148" s="626" t="s">
        <v>1236</v>
      </c>
      <c r="RHI2148" s="626" t="s">
        <v>1236</v>
      </c>
      <c r="RHJ2148" s="626" t="s">
        <v>1236</v>
      </c>
      <c r="RHK2148" s="626" t="s">
        <v>1236</v>
      </c>
      <c r="RHL2148" s="626" t="s">
        <v>1236</v>
      </c>
      <c r="RHM2148" s="626" t="s">
        <v>1236</v>
      </c>
      <c r="RHN2148" s="626" t="s">
        <v>1236</v>
      </c>
      <c r="RHO2148" s="626" t="s">
        <v>1236</v>
      </c>
      <c r="RHP2148" s="626" t="s">
        <v>1236</v>
      </c>
      <c r="RHQ2148" s="626" t="s">
        <v>1236</v>
      </c>
      <c r="RHR2148" s="626" t="s">
        <v>1236</v>
      </c>
      <c r="RHS2148" s="626" t="s">
        <v>1236</v>
      </c>
      <c r="RHT2148" s="626" t="s">
        <v>1236</v>
      </c>
      <c r="RHU2148" s="626" t="s">
        <v>1236</v>
      </c>
      <c r="RHV2148" s="626" t="s">
        <v>1236</v>
      </c>
      <c r="RHW2148" s="626" t="s">
        <v>1236</v>
      </c>
      <c r="RHX2148" s="626" t="s">
        <v>1236</v>
      </c>
      <c r="RHY2148" s="626" t="s">
        <v>1236</v>
      </c>
      <c r="RHZ2148" s="626" t="s">
        <v>1236</v>
      </c>
      <c r="RIA2148" s="626" t="s">
        <v>1236</v>
      </c>
      <c r="RIB2148" s="626" t="s">
        <v>1236</v>
      </c>
      <c r="RIC2148" s="626" t="s">
        <v>1236</v>
      </c>
      <c r="RID2148" s="626" t="s">
        <v>1236</v>
      </c>
      <c r="RIE2148" s="626" t="s">
        <v>1236</v>
      </c>
      <c r="RIF2148" s="626" t="s">
        <v>1236</v>
      </c>
      <c r="RIG2148" s="626" t="s">
        <v>1236</v>
      </c>
      <c r="RIH2148" s="626" t="s">
        <v>1236</v>
      </c>
      <c r="RII2148" s="626" t="s">
        <v>1236</v>
      </c>
      <c r="RIJ2148" s="626" t="s">
        <v>1236</v>
      </c>
      <c r="RIK2148" s="626" t="s">
        <v>1236</v>
      </c>
      <c r="RIL2148" s="626" t="s">
        <v>1236</v>
      </c>
      <c r="RIM2148" s="626" t="s">
        <v>1236</v>
      </c>
      <c r="RIN2148" s="626" t="s">
        <v>1236</v>
      </c>
      <c r="RIO2148" s="626" t="s">
        <v>1236</v>
      </c>
      <c r="RIP2148" s="626" t="s">
        <v>1236</v>
      </c>
      <c r="RIQ2148" s="626" t="s">
        <v>1236</v>
      </c>
      <c r="RIR2148" s="626" t="s">
        <v>1236</v>
      </c>
      <c r="RIS2148" s="626" t="s">
        <v>1236</v>
      </c>
      <c r="RIT2148" s="626" t="s">
        <v>1236</v>
      </c>
      <c r="RIU2148" s="626" t="s">
        <v>1236</v>
      </c>
      <c r="RIV2148" s="626" t="s">
        <v>1236</v>
      </c>
      <c r="RIW2148" s="626" t="s">
        <v>1236</v>
      </c>
      <c r="RIX2148" s="626" t="s">
        <v>1236</v>
      </c>
      <c r="RIY2148" s="626" t="s">
        <v>1236</v>
      </c>
      <c r="RIZ2148" s="626" t="s">
        <v>1236</v>
      </c>
      <c r="RJA2148" s="626" t="s">
        <v>1236</v>
      </c>
      <c r="RJB2148" s="626" t="s">
        <v>1236</v>
      </c>
      <c r="RJC2148" s="626" t="s">
        <v>1236</v>
      </c>
      <c r="RJD2148" s="626" t="s">
        <v>1236</v>
      </c>
      <c r="RJE2148" s="626" t="s">
        <v>1236</v>
      </c>
      <c r="RJF2148" s="626" t="s">
        <v>1236</v>
      </c>
      <c r="RJG2148" s="626" t="s">
        <v>1236</v>
      </c>
      <c r="RJH2148" s="626" t="s">
        <v>1236</v>
      </c>
      <c r="RJI2148" s="626" t="s">
        <v>1236</v>
      </c>
      <c r="RJJ2148" s="626" t="s">
        <v>1236</v>
      </c>
      <c r="RJK2148" s="626" t="s">
        <v>1236</v>
      </c>
      <c r="RJL2148" s="626" t="s">
        <v>1236</v>
      </c>
      <c r="RJM2148" s="626" t="s">
        <v>1236</v>
      </c>
      <c r="RJN2148" s="626" t="s">
        <v>1236</v>
      </c>
      <c r="RJO2148" s="626" t="s">
        <v>1236</v>
      </c>
      <c r="RJP2148" s="626" t="s">
        <v>1236</v>
      </c>
      <c r="RJQ2148" s="626" t="s">
        <v>1236</v>
      </c>
      <c r="RJR2148" s="626" t="s">
        <v>1236</v>
      </c>
      <c r="RJS2148" s="626" t="s">
        <v>1236</v>
      </c>
      <c r="RJT2148" s="626" t="s">
        <v>1236</v>
      </c>
      <c r="RJU2148" s="626" t="s">
        <v>1236</v>
      </c>
      <c r="RJV2148" s="626" t="s">
        <v>1236</v>
      </c>
      <c r="RJW2148" s="626" t="s">
        <v>1236</v>
      </c>
      <c r="RJX2148" s="626" t="s">
        <v>1236</v>
      </c>
      <c r="RJY2148" s="626" t="s">
        <v>1236</v>
      </c>
      <c r="RJZ2148" s="626" t="s">
        <v>1236</v>
      </c>
      <c r="RKA2148" s="626" t="s">
        <v>1236</v>
      </c>
      <c r="RKB2148" s="626" t="s">
        <v>1236</v>
      </c>
      <c r="RKC2148" s="626" t="s">
        <v>1236</v>
      </c>
      <c r="RKD2148" s="626" t="s">
        <v>1236</v>
      </c>
      <c r="RKE2148" s="626" t="s">
        <v>1236</v>
      </c>
      <c r="RKF2148" s="626" t="s">
        <v>1236</v>
      </c>
      <c r="RKG2148" s="626" t="s">
        <v>1236</v>
      </c>
      <c r="RKH2148" s="626" t="s">
        <v>1236</v>
      </c>
      <c r="RKI2148" s="626" t="s">
        <v>1236</v>
      </c>
      <c r="RKJ2148" s="626" t="s">
        <v>1236</v>
      </c>
      <c r="RKK2148" s="626" t="s">
        <v>1236</v>
      </c>
      <c r="RKL2148" s="626" t="s">
        <v>1236</v>
      </c>
      <c r="RKM2148" s="626" t="s">
        <v>1236</v>
      </c>
      <c r="RKN2148" s="626" t="s">
        <v>1236</v>
      </c>
      <c r="RKO2148" s="626" t="s">
        <v>1236</v>
      </c>
      <c r="RKP2148" s="626" t="s">
        <v>1236</v>
      </c>
      <c r="RKQ2148" s="626" t="s">
        <v>1236</v>
      </c>
      <c r="RKR2148" s="626" t="s">
        <v>1236</v>
      </c>
      <c r="RKS2148" s="626" t="s">
        <v>1236</v>
      </c>
      <c r="RKT2148" s="626" t="s">
        <v>1236</v>
      </c>
      <c r="RKU2148" s="626" t="s">
        <v>1236</v>
      </c>
      <c r="RKV2148" s="626" t="s">
        <v>1236</v>
      </c>
      <c r="RKW2148" s="626" t="s">
        <v>1236</v>
      </c>
      <c r="RKX2148" s="626" t="s">
        <v>1236</v>
      </c>
      <c r="RKY2148" s="626" t="s">
        <v>1236</v>
      </c>
      <c r="RKZ2148" s="626" t="s">
        <v>1236</v>
      </c>
      <c r="RLA2148" s="626" t="s">
        <v>1236</v>
      </c>
      <c r="RLB2148" s="626" t="s">
        <v>1236</v>
      </c>
      <c r="RLC2148" s="626" t="s">
        <v>1236</v>
      </c>
      <c r="RLD2148" s="626" t="s">
        <v>1236</v>
      </c>
      <c r="RLE2148" s="626" t="s">
        <v>1236</v>
      </c>
      <c r="RLF2148" s="626" t="s">
        <v>1236</v>
      </c>
      <c r="RLG2148" s="626" t="s">
        <v>1236</v>
      </c>
      <c r="RLH2148" s="626" t="s">
        <v>1236</v>
      </c>
      <c r="RLI2148" s="626" t="s">
        <v>1236</v>
      </c>
      <c r="RLJ2148" s="626" t="s">
        <v>1236</v>
      </c>
      <c r="RLK2148" s="626" t="s">
        <v>1236</v>
      </c>
      <c r="RLL2148" s="626" t="s">
        <v>1236</v>
      </c>
      <c r="RLM2148" s="626" t="s">
        <v>1236</v>
      </c>
      <c r="RLN2148" s="626" t="s">
        <v>1236</v>
      </c>
      <c r="RLO2148" s="626" t="s">
        <v>1236</v>
      </c>
      <c r="RLP2148" s="626" t="s">
        <v>1236</v>
      </c>
      <c r="RLQ2148" s="626" t="s">
        <v>1236</v>
      </c>
      <c r="RLR2148" s="626" t="s">
        <v>1236</v>
      </c>
      <c r="RLS2148" s="626" t="s">
        <v>1236</v>
      </c>
      <c r="RLT2148" s="626" t="s">
        <v>1236</v>
      </c>
      <c r="RLU2148" s="626" t="s">
        <v>1236</v>
      </c>
      <c r="RLV2148" s="626" t="s">
        <v>1236</v>
      </c>
      <c r="RLW2148" s="626" t="s">
        <v>1236</v>
      </c>
      <c r="RLX2148" s="626" t="s">
        <v>1236</v>
      </c>
      <c r="RLY2148" s="626" t="s">
        <v>1236</v>
      </c>
      <c r="RLZ2148" s="626" t="s">
        <v>1236</v>
      </c>
      <c r="RMA2148" s="626" t="s">
        <v>1236</v>
      </c>
      <c r="RMB2148" s="626" t="s">
        <v>1236</v>
      </c>
      <c r="RMC2148" s="626" t="s">
        <v>1236</v>
      </c>
      <c r="RMD2148" s="626" t="s">
        <v>1236</v>
      </c>
      <c r="RME2148" s="626" t="s">
        <v>1236</v>
      </c>
      <c r="RMF2148" s="626" t="s">
        <v>1236</v>
      </c>
      <c r="RMG2148" s="626" t="s">
        <v>1236</v>
      </c>
      <c r="RMH2148" s="626" t="s">
        <v>1236</v>
      </c>
      <c r="RMI2148" s="626" t="s">
        <v>1236</v>
      </c>
      <c r="RMJ2148" s="626" t="s">
        <v>1236</v>
      </c>
      <c r="RMK2148" s="626" t="s">
        <v>1236</v>
      </c>
      <c r="RML2148" s="626" t="s">
        <v>1236</v>
      </c>
      <c r="RMM2148" s="626" t="s">
        <v>1236</v>
      </c>
      <c r="RMN2148" s="626" t="s">
        <v>1236</v>
      </c>
      <c r="RMO2148" s="626" t="s">
        <v>1236</v>
      </c>
      <c r="RMP2148" s="626" t="s">
        <v>1236</v>
      </c>
      <c r="RMQ2148" s="626" t="s">
        <v>1236</v>
      </c>
      <c r="RMR2148" s="626" t="s">
        <v>1236</v>
      </c>
      <c r="RMS2148" s="626" t="s">
        <v>1236</v>
      </c>
      <c r="RMT2148" s="626" t="s">
        <v>1236</v>
      </c>
      <c r="RMU2148" s="626" t="s">
        <v>1236</v>
      </c>
      <c r="RMV2148" s="626" t="s">
        <v>1236</v>
      </c>
      <c r="RMW2148" s="626" t="s">
        <v>1236</v>
      </c>
      <c r="RMX2148" s="626" t="s">
        <v>1236</v>
      </c>
      <c r="RMY2148" s="626" t="s">
        <v>1236</v>
      </c>
      <c r="RMZ2148" s="626" t="s">
        <v>1236</v>
      </c>
      <c r="RNA2148" s="626" t="s">
        <v>1236</v>
      </c>
      <c r="RNB2148" s="626" t="s">
        <v>1236</v>
      </c>
      <c r="RNC2148" s="626" t="s">
        <v>1236</v>
      </c>
      <c r="RND2148" s="626" t="s">
        <v>1236</v>
      </c>
      <c r="RNE2148" s="626" t="s">
        <v>1236</v>
      </c>
      <c r="RNF2148" s="626" t="s">
        <v>1236</v>
      </c>
      <c r="RNG2148" s="626" t="s">
        <v>1236</v>
      </c>
      <c r="RNH2148" s="626" t="s">
        <v>1236</v>
      </c>
      <c r="RNI2148" s="626" t="s">
        <v>1236</v>
      </c>
      <c r="RNJ2148" s="626" t="s">
        <v>1236</v>
      </c>
      <c r="RNK2148" s="626" t="s">
        <v>1236</v>
      </c>
      <c r="RNL2148" s="626" t="s">
        <v>1236</v>
      </c>
      <c r="RNM2148" s="626" t="s">
        <v>1236</v>
      </c>
      <c r="RNN2148" s="626" t="s">
        <v>1236</v>
      </c>
      <c r="RNO2148" s="626" t="s">
        <v>1236</v>
      </c>
      <c r="RNP2148" s="626" t="s">
        <v>1236</v>
      </c>
      <c r="RNQ2148" s="626" t="s">
        <v>1236</v>
      </c>
      <c r="RNR2148" s="626" t="s">
        <v>1236</v>
      </c>
      <c r="RNS2148" s="626" t="s">
        <v>1236</v>
      </c>
      <c r="RNT2148" s="626" t="s">
        <v>1236</v>
      </c>
      <c r="RNU2148" s="626" t="s">
        <v>1236</v>
      </c>
      <c r="RNV2148" s="626" t="s">
        <v>1236</v>
      </c>
      <c r="RNW2148" s="626" t="s">
        <v>1236</v>
      </c>
      <c r="RNX2148" s="626" t="s">
        <v>1236</v>
      </c>
      <c r="RNY2148" s="626" t="s">
        <v>1236</v>
      </c>
      <c r="RNZ2148" s="626" t="s">
        <v>1236</v>
      </c>
      <c r="ROA2148" s="626" t="s">
        <v>1236</v>
      </c>
      <c r="ROB2148" s="626" t="s">
        <v>1236</v>
      </c>
      <c r="ROC2148" s="626" t="s">
        <v>1236</v>
      </c>
      <c r="ROD2148" s="626" t="s">
        <v>1236</v>
      </c>
      <c r="ROE2148" s="626" t="s">
        <v>1236</v>
      </c>
      <c r="ROF2148" s="626" t="s">
        <v>1236</v>
      </c>
      <c r="ROG2148" s="626" t="s">
        <v>1236</v>
      </c>
      <c r="ROH2148" s="626" t="s">
        <v>1236</v>
      </c>
      <c r="ROI2148" s="626" t="s">
        <v>1236</v>
      </c>
      <c r="ROJ2148" s="626" t="s">
        <v>1236</v>
      </c>
      <c r="ROK2148" s="626" t="s">
        <v>1236</v>
      </c>
      <c r="ROL2148" s="626" t="s">
        <v>1236</v>
      </c>
      <c r="ROM2148" s="626" t="s">
        <v>1236</v>
      </c>
      <c r="RON2148" s="626" t="s">
        <v>1236</v>
      </c>
      <c r="ROO2148" s="626" t="s">
        <v>1236</v>
      </c>
      <c r="ROP2148" s="626" t="s">
        <v>1236</v>
      </c>
      <c r="ROQ2148" s="626" t="s">
        <v>1236</v>
      </c>
      <c r="ROR2148" s="626" t="s">
        <v>1236</v>
      </c>
      <c r="ROS2148" s="626" t="s">
        <v>1236</v>
      </c>
      <c r="ROT2148" s="626" t="s">
        <v>1236</v>
      </c>
      <c r="ROU2148" s="626" t="s">
        <v>1236</v>
      </c>
      <c r="ROV2148" s="626" t="s">
        <v>1236</v>
      </c>
      <c r="ROW2148" s="626" t="s">
        <v>1236</v>
      </c>
      <c r="ROX2148" s="626" t="s">
        <v>1236</v>
      </c>
      <c r="ROY2148" s="626" t="s">
        <v>1236</v>
      </c>
      <c r="ROZ2148" s="626" t="s">
        <v>1236</v>
      </c>
      <c r="RPA2148" s="626" t="s">
        <v>1236</v>
      </c>
      <c r="RPB2148" s="626" t="s">
        <v>1236</v>
      </c>
      <c r="RPC2148" s="626" t="s">
        <v>1236</v>
      </c>
      <c r="RPD2148" s="626" t="s">
        <v>1236</v>
      </c>
      <c r="RPE2148" s="626" t="s">
        <v>1236</v>
      </c>
      <c r="RPF2148" s="626" t="s">
        <v>1236</v>
      </c>
      <c r="RPG2148" s="626" t="s">
        <v>1236</v>
      </c>
      <c r="RPH2148" s="626" t="s">
        <v>1236</v>
      </c>
      <c r="RPI2148" s="626" t="s">
        <v>1236</v>
      </c>
      <c r="RPJ2148" s="626" t="s">
        <v>1236</v>
      </c>
      <c r="RPK2148" s="626" t="s">
        <v>1236</v>
      </c>
      <c r="RPL2148" s="626" t="s">
        <v>1236</v>
      </c>
      <c r="RPM2148" s="626" t="s">
        <v>1236</v>
      </c>
      <c r="RPN2148" s="626" t="s">
        <v>1236</v>
      </c>
      <c r="RPO2148" s="626" t="s">
        <v>1236</v>
      </c>
      <c r="RPP2148" s="626" t="s">
        <v>1236</v>
      </c>
      <c r="RPQ2148" s="626" t="s">
        <v>1236</v>
      </c>
      <c r="RPR2148" s="626" t="s">
        <v>1236</v>
      </c>
      <c r="RPS2148" s="626" t="s">
        <v>1236</v>
      </c>
      <c r="RPT2148" s="626" t="s">
        <v>1236</v>
      </c>
      <c r="RPU2148" s="626" t="s">
        <v>1236</v>
      </c>
      <c r="RPV2148" s="626" t="s">
        <v>1236</v>
      </c>
      <c r="RPW2148" s="626" t="s">
        <v>1236</v>
      </c>
      <c r="RPX2148" s="626" t="s">
        <v>1236</v>
      </c>
      <c r="RPY2148" s="626" t="s">
        <v>1236</v>
      </c>
      <c r="RPZ2148" s="626" t="s">
        <v>1236</v>
      </c>
      <c r="RQA2148" s="626" t="s">
        <v>1236</v>
      </c>
      <c r="RQB2148" s="626" t="s">
        <v>1236</v>
      </c>
      <c r="RQC2148" s="626" t="s">
        <v>1236</v>
      </c>
      <c r="RQD2148" s="626" t="s">
        <v>1236</v>
      </c>
      <c r="RQE2148" s="626" t="s">
        <v>1236</v>
      </c>
      <c r="RQF2148" s="626" t="s">
        <v>1236</v>
      </c>
      <c r="RQG2148" s="626" t="s">
        <v>1236</v>
      </c>
      <c r="RQH2148" s="626" t="s">
        <v>1236</v>
      </c>
      <c r="RQI2148" s="626" t="s">
        <v>1236</v>
      </c>
      <c r="RQJ2148" s="626" t="s">
        <v>1236</v>
      </c>
      <c r="RQK2148" s="626" t="s">
        <v>1236</v>
      </c>
      <c r="RQL2148" s="626" t="s">
        <v>1236</v>
      </c>
      <c r="RQM2148" s="626" t="s">
        <v>1236</v>
      </c>
      <c r="RQN2148" s="626" t="s">
        <v>1236</v>
      </c>
      <c r="RQO2148" s="626" t="s">
        <v>1236</v>
      </c>
      <c r="RQP2148" s="626" t="s">
        <v>1236</v>
      </c>
      <c r="RQQ2148" s="626" t="s">
        <v>1236</v>
      </c>
      <c r="RQR2148" s="626" t="s">
        <v>1236</v>
      </c>
      <c r="RQS2148" s="626" t="s">
        <v>1236</v>
      </c>
      <c r="RQT2148" s="626" t="s">
        <v>1236</v>
      </c>
      <c r="RQU2148" s="626" t="s">
        <v>1236</v>
      </c>
      <c r="RQV2148" s="626" t="s">
        <v>1236</v>
      </c>
      <c r="RQW2148" s="626" t="s">
        <v>1236</v>
      </c>
      <c r="RQX2148" s="626" t="s">
        <v>1236</v>
      </c>
      <c r="RQY2148" s="626" t="s">
        <v>1236</v>
      </c>
      <c r="RQZ2148" s="626" t="s">
        <v>1236</v>
      </c>
      <c r="RRA2148" s="626" t="s">
        <v>1236</v>
      </c>
      <c r="RRB2148" s="626" t="s">
        <v>1236</v>
      </c>
      <c r="RRC2148" s="626" t="s">
        <v>1236</v>
      </c>
      <c r="RRD2148" s="626" t="s">
        <v>1236</v>
      </c>
      <c r="RRE2148" s="626" t="s">
        <v>1236</v>
      </c>
      <c r="RRF2148" s="626" t="s">
        <v>1236</v>
      </c>
      <c r="RRG2148" s="626" t="s">
        <v>1236</v>
      </c>
      <c r="RRH2148" s="626" t="s">
        <v>1236</v>
      </c>
      <c r="RRI2148" s="626" t="s">
        <v>1236</v>
      </c>
      <c r="RRJ2148" s="626" t="s">
        <v>1236</v>
      </c>
      <c r="RRK2148" s="626" t="s">
        <v>1236</v>
      </c>
      <c r="RRL2148" s="626" t="s">
        <v>1236</v>
      </c>
      <c r="RRM2148" s="626" t="s">
        <v>1236</v>
      </c>
      <c r="RRN2148" s="626" t="s">
        <v>1236</v>
      </c>
      <c r="RRO2148" s="626" t="s">
        <v>1236</v>
      </c>
      <c r="RRP2148" s="626" t="s">
        <v>1236</v>
      </c>
      <c r="RRQ2148" s="626" t="s">
        <v>1236</v>
      </c>
      <c r="RRR2148" s="626" t="s">
        <v>1236</v>
      </c>
      <c r="RRS2148" s="626" t="s">
        <v>1236</v>
      </c>
      <c r="RRT2148" s="626" t="s">
        <v>1236</v>
      </c>
      <c r="RRU2148" s="626" t="s">
        <v>1236</v>
      </c>
      <c r="RRV2148" s="626" t="s">
        <v>1236</v>
      </c>
      <c r="RRW2148" s="626" t="s">
        <v>1236</v>
      </c>
      <c r="RRX2148" s="626" t="s">
        <v>1236</v>
      </c>
      <c r="RRY2148" s="626" t="s">
        <v>1236</v>
      </c>
      <c r="RRZ2148" s="626" t="s">
        <v>1236</v>
      </c>
      <c r="RSA2148" s="626" t="s">
        <v>1236</v>
      </c>
      <c r="RSB2148" s="626" t="s">
        <v>1236</v>
      </c>
      <c r="RSC2148" s="626" t="s">
        <v>1236</v>
      </c>
      <c r="RSD2148" s="626" t="s">
        <v>1236</v>
      </c>
      <c r="RSE2148" s="626" t="s">
        <v>1236</v>
      </c>
      <c r="RSF2148" s="626" t="s">
        <v>1236</v>
      </c>
      <c r="RSG2148" s="626" t="s">
        <v>1236</v>
      </c>
      <c r="RSH2148" s="626" t="s">
        <v>1236</v>
      </c>
      <c r="RSI2148" s="626" t="s">
        <v>1236</v>
      </c>
      <c r="RSJ2148" s="626" t="s">
        <v>1236</v>
      </c>
      <c r="RSK2148" s="626" t="s">
        <v>1236</v>
      </c>
      <c r="RSL2148" s="626" t="s">
        <v>1236</v>
      </c>
      <c r="RSM2148" s="626" t="s">
        <v>1236</v>
      </c>
      <c r="RSN2148" s="626" t="s">
        <v>1236</v>
      </c>
      <c r="RSO2148" s="626" t="s">
        <v>1236</v>
      </c>
      <c r="RSP2148" s="626" t="s">
        <v>1236</v>
      </c>
      <c r="RSQ2148" s="626" t="s">
        <v>1236</v>
      </c>
      <c r="RSR2148" s="626" t="s">
        <v>1236</v>
      </c>
      <c r="RSS2148" s="626" t="s">
        <v>1236</v>
      </c>
      <c r="RST2148" s="626" t="s">
        <v>1236</v>
      </c>
      <c r="RSU2148" s="626" t="s">
        <v>1236</v>
      </c>
      <c r="RSV2148" s="626" t="s">
        <v>1236</v>
      </c>
      <c r="RSW2148" s="626" t="s">
        <v>1236</v>
      </c>
      <c r="RSX2148" s="626" t="s">
        <v>1236</v>
      </c>
      <c r="RSY2148" s="626" t="s">
        <v>1236</v>
      </c>
      <c r="RSZ2148" s="626" t="s">
        <v>1236</v>
      </c>
      <c r="RTA2148" s="626" t="s">
        <v>1236</v>
      </c>
      <c r="RTB2148" s="626" t="s">
        <v>1236</v>
      </c>
      <c r="RTC2148" s="626" t="s">
        <v>1236</v>
      </c>
      <c r="RTD2148" s="626" t="s">
        <v>1236</v>
      </c>
      <c r="RTE2148" s="626" t="s">
        <v>1236</v>
      </c>
      <c r="RTF2148" s="626" t="s">
        <v>1236</v>
      </c>
      <c r="RTG2148" s="626" t="s">
        <v>1236</v>
      </c>
      <c r="RTH2148" s="626" t="s">
        <v>1236</v>
      </c>
      <c r="RTI2148" s="626" t="s">
        <v>1236</v>
      </c>
      <c r="RTJ2148" s="626" t="s">
        <v>1236</v>
      </c>
      <c r="RTK2148" s="626" t="s">
        <v>1236</v>
      </c>
      <c r="RTL2148" s="626" t="s">
        <v>1236</v>
      </c>
      <c r="RTM2148" s="626" t="s">
        <v>1236</v>
      </c>
      <c r="RTN2148" s="626" t="s">
        <v>1236</v>
      </c>
      <c r="RTO2148" s="626" t="s">
        <v>1236</v>
      </c>
      <c r="RTP2148" s="626" t="s">
        <v>1236</v>
      </c>
      <c r="RTQ2148" s="626" t="s">
        <v>1236</v>
      </c>
      <c r="RTR2148" s="626" t="s">
        <v>1236</v>
      </c>
      <c r="RTS2148" s="626" t="s">
        <v>1236</v>
      </c>
      <c r="RTT2148" s="626" t="s">
        <v>1236</v>
      </c>
      <c r="RTU2148" s="626" t="s">
        <v>1236</v>
      </c>
      <c r="RTV2148" s="626" t="s">
        <v>1236</v>
      </c>
      <c r="RTW2148" s="626" t="s">
        <v>1236</v>
      </c>
      <c r="RTX2148" s="626" t="s">
        <v>1236</v>
      </c>
      <c r="RTY2148" s="626" t="s">
        <v>1236</v>
      </c>
      <c r="RTZ2148" s="626" t="s">
        <v>1236</v>
      </c>
      <c r="RUA2148" s="626" t="s">
        <v>1236</v>
      </c>
      <c r="RUB2148" s="626" t="s">
        <v>1236</v>
      </c>
      <c r="RUC2148" s="626" t="s">
        <v>1236</v>
      </c>
      <c r="RUD2148" s="626" t="s">
        <v>1236</v>
      </c>
      <c r="RUE2148" s="626" t="s">
        <v>1236</v>
      </c>
      <c r="RUF2148" s="626" t="s">
        <v>1236</v>
      </c>
      <c r="RUG2148" s="626" t="s">
        <v>1236</v>
      </c>
      <c r="RUH2148" s="626" t="s">
        <v>1236</v>
      </c>
      <c r="RUI2148" s="626" t="s">
        <v>1236</v>
      </c>
      <c r="RUJ2148" s="626" t="s">
        <v>1236</v>
      </c>
      <c r="RUK2148" s="626" t="s">
        <v>1236</v>
      </c>
      <c r="RUL2148" s="626" t="s">
        <v>1236</v>
      </c>
      <c r="RUM2148" s="626" t="s">
        <v>1236</v>
      </c>
      <c r="RUN2148" s="626" t="s">
        <v>1236</v>
      </c>
      <c r="RUO2148" s="626" t="s">
        <v>1236</v>
      </c>
      <c r="RUP2148" s="626" t="s">
        <v>1236</v>
      </c>
      <c r="RUQ2148" s="626" t="s">
        <v>1236</v>
      </c>
      <c r="RUR2148" s="626" t="s">
        <v>1236</v>
      </c>
      <c r="RUS2148" s="626" t="s">
        <v>1236</v>
      </c>
      <c r="RUT2148" s="626" t="s">
        <v>1236</v>
      </c>
      <c r="RUU2148" s="626" t="s">
        <v>1236</v>
      </c>
      <c r="RUV2148" s="626" t="s">
        <v>1236</v>
      </c>
      <c r="RUW2148" s="626" t="s">
        <v>1236</v>
      </c>
      <c r="RUX2148" s="626" t="s">
        <v>1236</v>
      </c>
      <c r="RUY2148" s="626" t="s">
        <v>1236</v>
      </c>
      <c r="RUZ2148" s="626" t="s">
        <v>1236</v>
      </c>
      <c r="RVA2148" s="626" t="s">
        <v>1236</v>
      </c>
      <c r="RVB2148" s="626" t="s">
        <v>1236</v>
      </c>
      <c r="RVC2148" s="626" t="s">
        <v>1236</v>
      </c>
      <c r="RVD2148" s="626" t="s">
        <v>1236</v>
      </c>
      <c r="RVE2148" s="626" t="s">
        <v>1236</v>
      </c>
      <c r="RVF2148" s="626" t="s">
        <v>1236</v>
      </c>
      <c r="RVG2148" s="626" t="s">
        <v>1236</v>
      </c>
      <c r="RVH2148" s="626" t="s">
        <v>1236</v>
      </c>
      <c r="RVI2148" s="626" t="s">
        <v>1236</v>
      </c>
      <c r="RVJ2148" s="626" t="s">
        <v>1236</v>
      </c>
      <c r="RVK2148" s="626" t="s">
        <v>1236</v>
      </c>
      <c r="RVL2148" s="626" t="s">
        <v>1236</v>
      </c>
      <c r="RVM2148" s="626" t="s">
        <v>1236</v>
      </c>
      <c r="RVN2148" s="626" t="s">
        <v>1236</v>
      </c>
      <c r="RVO2148" s="626" t="s">
        <v>1236</v>
      </c>
      <c r="RVP2148" s="626" t="s">
        <v>1236</v>
      </c>
      <c r="RVQ2148" s="626" t="s">
        <v>1236</v>
      </c>
      <c r="RVR2148" s="626" t="s">
        <v>1236</v>
      </c>
      <c r="RVS2148" s="626" t="s">
        <v>1236</v>
      </c>
      <c r="RVT2148" s="626" t="s">
        <v>1236</v>
      </c>
      <c r="RVU2148" s="626" t="s">
        <v>1236</v>
      </c>
      <c r="RVV2148" s="626" t="s">
        <v>1236</v>
      </c>
      <c r="RVW2148" s="626" t="s">
        <v>1236</v>
      </c>
      <c r="RVX2148" s="626" t="s">
        <v>1236</v>
      </c>
      <c r="RVY2148" s="626" t="s">
        <v>1236</v>
      </c>
      <c r="RVZ2148" s="626" t="s">
        <v>1236</v>
      </c>
      <c r="RWA2148" s="626" t="s">
        <v>1236</v>
      </c>
      <c r="RWB2148" s="626" t="s">
        <v>1236</v>
      </c>
      <c r="RWC2148" s="626" t="s">
        <v>1236</v>
      </c>
      <c r="RWD2148" s="626" t="s">
        <v>1236</v>
      </c>
      <c r="RWE2148" s="626" t="s">
        <v>1236</v>
      </c>
      <c r="RWF2148" s="626" t="s">
        <v>1236</v>
      </c>
      <c r="RWG2148" s="626" t="s">
        <v>1236</v>
      </c>
      <c r="RWH2148" s="626" t="s">
        <v>1236</v>
      </c>
      <c r="RWI2148" s="626" t="s">
        <v>1236</v>
      </c>
      <c r="RWJ2148" s="626" t="s">
        <v>1236</v>
      </c>
      <c r="RWK2148" s="626" t="s">
        <v>1236</v>
      </c>
      <c r="RWL2148" s="626" t="s">
        <v>1236</v>
      </c>
      <c r="RWM2148" s="626" t="s">
        <v>1236</v>
      </c>
      <c r="RWN2148" s="626" t="s">
        <v>1236</v>
      </c>
      <c r="RWO2148" s="626" t="s">
        <v>1236</v>
      </c>
      <c r="RWP2148" s="626" t="s">
        <v>1236</v>
      </c>
      <c r="RWQ2148" s="626" t="s">
        <v>1236</v>
      </c>
      <c r="RWR2148" s="626" t="s">
        <v>1236</v>
      </c>
      <c r="RWS2148" s="626" t="s">
        <v>1236</v>
      </c>
      <c r="RWT2148" s="626" t="s">
        <v>1236</v>
      </c>
      <c r="RWU2148" s="626" t="s">
        <v>1236</v>
      </c>
      <c r="RWV2148" s="626" t="s">
        <v>1236</v>
      </c>
      <c r="RWW2148" s="626" t="s">
        <v>1236</v>
      </c>
      <c r="RWX2148" s="626" t="s">
        <v>1236</v>
      </c>
      <c r="RWY2148" s="626" t="s">
        <v>1236</v>
      </c>
      <c r="RWZ2148" s="626" t="s">
        <v>1236</v>
      </c>
      <c r="RXA2148" s="626" t="s">
        <v>1236</v>
      </c>
      <c r="RXB2148" s="626" t="s">
        <v>1236</v>
      </c>
      <c r="RXC2148" s="626" t="s">
        <v>1236</v>
      </c>
      <c r="RXD2148" s="626" t="s">
        <v>1236</v>
      </c>
      <c r="RXE2148" s="626" t="s">
        <v>1236</v>
      </c>
      <c r="RXF2148" s="626" t="s">
        <v>1236</v>
      </c>
      <c r="RXG2148" s="626" t="s">
        <v>1236</v>
      </c>
      <c r="RXH2148" s="626" t="s">
        <v>1236</v>
      </c>
      <c r="RXI2148" s="626" t="s">
        <v>1236</v>
      </c>
      <c r="RXJ2148" s="626" t="s">
        <v>1236</v>
      </c>
      <c r="RXK2148" s="626" t="s">
        <v>1236</v>
      </c>
      <c r="RXL2148" s="626" t="s">
        <v>1236</v>
      </c>
      <c r="RXM2148" s="626" t="s">
        <v>1236</v>
      </c>
      <c r="RXN2148" s="626" t="s">
        <v>1236</v>
      </c>
      <c r="RXO2148" s="626" t="s">
        <v>1236</v>
      </c>
      <c r="RXP2148" s="626" t="s">
        <v>1236</v>
      </c>
      <c r="RXQ2148" s="626" t="s">
        <v>1236</v>
      </c>
      <c r="RXR2148" s="626" t="s">
        <v>1236</v>
      </c>
      <c r="RXS2148" s="626" t="s">
        <v>1236</v>
      </c>
      <c r="RXT2148" s="626" t="s">
        <v>1236</v>
      </c>
      <c r="RXU2148" s="626" t="s">
        <v>1236</v>
      </c>
      <c r="RXV2148" s="626" t="s">
        <v>1236</v>
      </c>
      <c r="RXW2148" s="626" t="s">
        <v>1236</v>
      </c>
      <c r="RXX2148" s="626" t="s">
        <v>1236</v>
      </c>
      <c r="RXY2148" s="626" t="s">
        <v>1236</v>
      </c>
      <c r="RXZ2148" s="626" t="s">
        <v>1236</v>
      </c>
      <c r="RYA2148" s="626" t="s">
        <v>1236</v>
      </c>
      <c r="RYB2148" s="626" t="s">
        <v>1236</v>
      </c>
      <c r="RYC2148" s="626" t="s">
        <v>1236</v>
      </c>
      <c r="RYD2148" s="626" t="s">
        <v>1236</v>
      </c>
      <c r="RYE2148" s="626" t="s">
        <v>1236</v>
      </c>
      <c r="RYF2148" s="626" t="s">
        <v>1236</v>
      </c>
      <c r="RYG2148" s="626" t="s">
        <v>1236</v>
      </c>
      <c r="RYH2148" s="626" t="s">
        <v>1236</v>
      </c>
      <c r="RYI2148" s="626" t="s">
        <v>1236</v>
      </c>
      <c r="RYJ2148" s="626" t="s">
        <v>1236</v>
      </c>
      <c r="RYK2148" s="626" t="s">
        <v>1236</v>
      </c>
      <c r="RYL2148" s="626" t="s">
        <v>1236</v>
      </c>
      <c r="RYM2148" s="626" t="s">
        <v>1236</v>
      </c>
      <c r="RYN2148" s="626" t="s">
        <v>1236</v>
      </c>
      <c r="RYO2148" s="626" t="s">
        <v>1236</v>
      </c>
      <c r="RYP2148" s="626" t="s">
        <v>1236</v>
      </c>
      <c r="RYQ2148" s="626" t="s">
        <v>1236</v>
      </c>
      <c r="RYR2148" s="626" t="s">
        <v>1236</v>
      </c>
      <c r="RYS2148" s="626" t="s">
        <v>1236</v>
      </c>
      <c r="RYT2148" s="626" t="s">
        <v>1236</v>
      </c>
      <c r="RYU2148" s="626" t="s">
        <v>1236</v>
      </c>
      <c r="RYV2148" s="626" t="s">
        <v>1236</v>
      </c>
      <c r="RYW2148" s="626" t="s">
        <v>1236</v>
      </c>
      <c r="RYX2148" s="626" t="s">
        <v>1236</v>
      </c>
      <c r="RYY2148" s="626" t="s">
        <v>1236</v>
      </c>
      <c r="RYZ2148" s="626" t="s">
        <v>1236</v>
      </c>
      <c r="RZA2148" s="626" t="s">
        <v>1236</v>
      </c>
      <c r="RZB2148" s="626" t="s">
        <v>1236</v>
      </c>
      <c r="RZC2148" s="626" t="s">
        <v>1236</v>
      </c>
      <c r="RZD2148" s="626" t="s">
        <v>1236</v>
      </c>
      <c r="RZE2148" s="626" t="s">
        <v>1236</v>
      </c>
      <c r="RZF2148" s="626" t="s">
        <v>1236</v>
      </c>
      <c r="RZG2148" s="626" t="s">
        <v>1236</v>
      </c>
      <c r="RZH2148" s="626" t="s">
        <v>1236</v>
      </c>
      <c r="RZI2148" s="626" t="s">
        <v>1236</v>
      </c>
      <c r="RZJ2148" s="626" t="s">
        <v>1236</v>
      </c>
      <c r="RZK2148" s="626" t="s">
        <v>1236</v>
      </c>
      <c r="RZL2148" s="626" t="s">
        <v>1236</v>
      </c>
      <c r="RZM2148" s="626" t="s">
        <v>1236</v>
      </c>
      <c r="RZN2148" s="626" t="s">
        <v>1236</v>
      </c>
      <c r="RZO2148" s="626" t="s">
        <v>1236</v>
      </c>
      <c r="RZP2148" s="626" t="s">
        <v>1236</v>
      </c>
      <c r="RZQ2148" s="626" t="s">
        <v>1236</v>
      </c>
      <c r="RZR2148" s="626" t="s">
        <v>1236</v>
      </c>
      <c r="RZS2148" s="626" t="s">
        <v>1236</v>
      </c>
      <c r="RZT2148" s="626" t="s">
        <v>1236</v>
      </c>
      <c r="RZU2148" s="626" t="s">
        <v>1236</v>
      </c>
      <c r="RZV2148" s="626" t="s">
        <v>1236</v>
      </c>
      <c r="RZW2148" s="626" t="s">
        <v>1236</v>
      </c>
      <c r="RZX2148" s="626" t="s">
        <v>1236</v>
      </c>
      <c r="RZY2148" s="626" t="s">
        <v>1236</v>
      </c>
      <c r="RZZ2148" s="626" t="s">
        <v>1236</v>
      </c>
      <c r="SAA2148" s="626" t="s">
        <v>1236</v>
      </c>
      <c r="SAB2148" s="626" t="s">
        <v>1236</v>
      </c>
      <c r="SAC2148" s="626" t="s">
        <v>1236</v>
      </c>
      <c r="SAD2148" s="626" t="s">
        <v>1236</v>
      </c>
      <c r="SAE2148" s="626" t="s">
        <v>1236</v>
      </c>
      <c r="SAF2148" s="626" t="s">
        <v>1236</v>
      </c>
      <c r="SAG2148" s="626" t="s">
        <v>1236</v>
      </c>
      <c r="SAH2148" s="626" t="s">
        <v>1236</v>
      </c>
      <c r="SAI2148" s="626" t="s">
        <v>1236</v>
      </c>
      <c r="SAJ2148" s="626" t="s">
        <v>1236</v>
      </c>
      <c r="SAK2148" s="626" t="s">
        <v>1236</v>
      </c>
      <c r="SAL2148" s="626" t="s">
        <v>1236</v>
      </c>
      <c r="SAM2148" s="626" t="s">
        <v>1236</v>
      </c>
      <c r="SAN2148" s="626" t="s">
        <v>1236</v>
      </c>
      <c r="SAO2148" s="626" t="s">
        <v>1236</v>
      </c>
      <c r="SAP2148" s="626" t="s">
        <v>1236</v>
      </c>
      <c r="SAQ2148" s="626" t="s">
        <v>1236</v>
      </c>
      <c r="SAR2148" s="626" t="s">
        <v>1236</v>
      </c>
      <c r="SAS2148" s="626" t="s">
        <v>1236</v>
      </c>
      <c r="SAT2148" s="626" t="s">
        <v>1236</v>
      </c>
      <c r="SAU2148" s="626" t="s">
        <v>1236</v>
      </c>
      <c r="SAV2148" s="626" t="s">
        <v>1236</v>
      </c>
      <c r="SAW2148" s="626" t="s">
        <v>1236</v>
      </c>
      <c r="SAX2148" s="626" t="s">
        <v>1236</v>
      </c>
      <c r="SAY2148" s="626" t="s">
        <v>1236</v>
      </c>
      <c r="SAZ2148" s="626" t="s">
        <v>1236</v>
      </c>
      <c r="SBA2148" s="626" t="s">
        <v>1236</v>
      </c>
      <c r="SBB2148" s="626" t="s">
        <v>1236</v>
      </c>
      <c r="SBC2148" s="626" t="s">
        <v>1236</v>
      </c>
      <c r="SBD2148" s="626" t="s">
        <v>1236</v>
      </c>
      <c r="SBE2148" s="626" t="s">
        <v>1236</v>
      </c>
      <c r="SBF2148" s="626" t="s">
        <v>1236</v>
      </c>
      <c r="SBG2148" s="626" t="s">
        <v>1236</v>
      </c>
      <c r="SBH2148" s="626" t="s">
        <v>1236</v>
      </c>
      <c r="SBI2148" s="626" t="s">
        <v>1236</v>
      </c>
      <c r="SBJ2148" s="626" t="s">
        <v>1236</v>
      </c>
      <c r="SBK2148" s="626" t="s">
        <v>1236</v>
      </c>
      <c r="SBL2148" s="626" t="s">
        <v>1236</v>
      </c>
      <c r="SBM2148" s="626" t="s">
        <v>1236</v>
      </c>
      <c r="SBN2148" s="626" t="s">
        <v>1236</v>
      </c>
      <c r="SBO2148" s="626" t="s">
        <v>1236</v>
      </c>
      <c r="SBP2148" s="626" t="s">
        <v>1236</v>
      </c>
      <c r="SBQ2148" s="626" t="s">
        <v>1236</v>
      </c>
      <c r="SBR2148" s="626" t="s">
        <v>1236</v>
      </c>
      <c r="SBS2148" s="626" t="s">
        <v>1236</v>
      </c>
      <c r="SBT2148" s="626" t="s">
        <v>1236</v>
      </c>
      <c r="SBU2148" s="626" t="s">
        <v>1236</v>
      </c>
      <c r="SBV2148" s="626" t="s">
        <v>1236</v>
      </c>
      <c r="SBW2148" s="626" t="s">
        <v>1236</v>
      </c>
      <c r="SBX2148" s="626" t="s">
        <v>1236</v>
      </c>
      <c r="SBY2148" s="626" t="s">
        <v>1236</v>
      </c>
      <c r="SBZ2148" s="626" t="s">
        <v>1236</v>
      </c>
      <c r="SCA2148" s="626" t="s">
        <v>1236</v>
      </c>
      <c r="SCB2148" s="626" t="s">
        <v>1236</v>
      </c>
      <c r="SCC2148" s="626" t="s">
        <v>1236</v>
      </c>
      <c r="SCD2148" s="626" t="s">
        <v>1236</v>
      </c>
      <c r="SCE2148" s="626" t="s">
        <v>1236</v>
      </c>
      <c r="SCF2148" s="626" t="s">
        <v>1236</v>
      </c>
      <c r="SCG2148" s="626" t="s">
        <v>1236</v>
      </c>
      <c r="SCH2148" s="626" t="s">
        <v>1236</v>
      </c>
      <c r="SCI2148" s="626" t="s">
        <v>1236</v>
      </c>
      <c r="SCJ2148" s="626" t="s">
        <v>1236</v>
      </c>
      <c r="SCK2148" s="626" t="s">
        <v>1236</v>
      </c>
      <c r="SCL2148" s="626" t="s">
        <v>1236</v>
      </c>
      <c r="SCM2148" s="626" t="s">
        <v>1236</v>
      </c>
      <c r="SCN2148" s="626" t="s">
        <v>1236</v>
      </c>
      <c r="SCO2148" s="626" t="s">
        <v>1236</v>
      </c>
      <c r="SCP2148" s="626" t="s">
        <v>1236</v>
      </c>
      <c r="SCQ2148" s="626" t="s">
        <v>1236</v>
      </c>
      <c r="SCR2148" s="626" t="s">
        <v>1236</v>
      </c>
      <c r="SCS2148" s="626" t="s">
        <v>1236</v>
      </c>
      <c r="SCT2148" s="626" t="s">
        <v>1236</v>
      </c>
      <c r="SCU2148" s="626" t="s">
        <v>1236</v>
      </c>
      <c r="SCV2148" s="626" t="s">
        <v>1236</v>
      </c>
      <c r="SCW2148" s="626" t="s">
        <v>1236</v>
      </c>
      <c r="SCX2148" s="626" t="s">
        <v>1236</v>
      </c>
      <c r="SCY2148" s="626" t="s">
        <v>1236</v>
      </c>
      <c r="SCZ2148" s="626" t="s">
        <v>1236</v>
      </c>
      <c r="SDA2148" s="626" t="s">
        <v>1236</v>
      </c>
      <c r="SDB2148" s="626" t="s">
        <v>1236</v>
      </c>
      <c r="SDC2148" s="626" t="s">
        <v>1236</v>
      </c>
      <c r="SDD2148" s="626" t="s">
        <v>1236</v>
      </c>
      <c r="SDE2148" s="626" t="s">
        <v>1236</v>
      </c>
      <c r="SDF2148" s="626" t="s">
        <v>1236</v>
      </c>
      <c r="SDG2148" s="626" t="s">
        <v>1236</v>
      </c>
      <c r="SDH2148" s="626" t="s">
        <v>1236</v>
      </c>
      <c r="SDI2148" s="626" t="s">
        <v>1236</v>
      </c>
      <c r="SDJ2148" s="626" t="s">
        <v>1236</v>
      </c>
      <c r="SDK2148" s="626" t="s">
        <v>1236</v>
      </c>
      <c r="SDL2148" s="626" t="s">
        <v>1236</v>
      </c>
      <c r="SDM2148" s="626" t="s">
        <v>1236</v>
      </c>
      <c r="SDN2148" s="626" t="s">
        <v>1236</v>
      </c>
      <c r="SDO2148" s="626" t="s">
        <v>1236</v>
      </c>
      <c r="SDP2148" s="626" t="s">
        <v>1236</v>
      </c>
      <c r="SDQ2148" s="626" t="s">
        <v>1236</v>
      </c>
      <c r="SDR2148" s="626" t="s">
        <v>1236</v>
      </c>
      <c r="SDS2148" s="626" t="s">
        <v>1236</v>
      </c>
      <c r="SDT2148" s="626" t="s">
        <v>1236</v>
      </c>
      <c r="SDU2148" s="626" t="s">
        <v>1236</v>
      </c>
      <c r="SDV2148" s="626" t="s">
        <v>1236</v>
      </c>
      <c r="SDW2148" s="626" t="s">
        <v>1236</v>
      </c>
      <c r="SDX2148" s="626" t="s">
        <v>1236</v>
      </c>
      <c r="SDY2148" s="626" t="s">
        <v>1236</v>
      </c>
      <c r="SDZ2148" s="626" t="s">
        <v>1236</v>
      </c>
      <c r="SEA2148" s="626" t="s">
        <v>1236</v>
      </c>
      <c r="SEB2148" s="626" t="s">
        <v>1236</v>
      </c>
      <c r="SEC2148" s="626" t="s">
        <v>1236</v>
      </c>
      <c r="SED2148" s="626" t="s">
        <v>1236</v>
      </c>
      <c r="SEE2148" s="626" t="s">
        <v>1236</v>
      </c>
      <c r="SEF2148" s="626" t="s">
        <v>1236</v>
      </c>
      <c r="SEG2148" s="626" t="s">
        <v>1236</v>
      </c>
      <c r="SEH2148" s="626" t="s">
        <v>1236</v>
      </c>
      <c r="SEI2148" s="626" t="s">
        <v>1236</v>
      </c>
      <c r="SEJ2148" s="626" t="s">
        <v>1236</v>
      </c>
      <c r="SEK2148" s="626" t="s">
        <v>1236</v>
      </c>
      <c r="SEL2148" s="626" t="s">
        <v>1236</v>
      </c>
      <c r="SEM2148" s="626" t="s">
        <v>1236</v>
      </c>
      <c r="SEN2148" s="626" t="s">
        <v>1236</v>
      </c>
      <c r="SEO2148" s="626" t="s">
        <v>1236</v>
      </c>
      <c r="SEP2148" s="626" t="s">
        <v>1236</v>
      </c>
      <c r="SEQ2148" s="626" t="s">
        <v>1236</v>
      </c>
      <c r="SER2148" s="626" t="s">
        <v>1236</v>
      </c>
      <c r="SES2148" s="626" t="s">
        <v>1236</v>
      </c>
      <c r="SET2148" s="626" t="s">
        <v>1236</v>
      </c>
      <c r="SEU2148" s="626" t="s">
        <v>1236</v>
      </c>
      <c r="SEV2148" s="626" t="s">
        <v>1236</v>
      </c>
      <c r="SEW2148" s="626" t="s">
        <v>1236</v>
      </c>
      <c r="SEX2148" s="626" t="s">
        <v>1236</v>
      </c>
      <c r="SEY2148" s="626" t="s">
        <v>1236</v>
      </c>
      <c r="SEZ2148" s="626" t="s">
        <v>1236</v>
      </c>
      <c r="SFA2148" s="626" t="s">
        <v>1236</v>
      </c>
      <c r="SFB2148" s="626" t="s">
        <v>1236</v>
      </c>
      <c r="SFC2148" s="626" t="s">
        <v>1236</v>
      </c>
      <c r="SFD2148" s="626" t="s">
        <v>1236</v>
      </c>
      <c r="SFE2148" s="626" t="s">
        <v>1236</v>
      </c>
      <c r="SFF2148" s="626" t="s">
        <v>1236</v>
      </c>
      <c r="SFG2148" s="626" t="s">
        <v>1236</v>
      </c>
      <c r="SFH2148" s="626" t="s">
        <v>1236</v>
      </c>
      <c r="SFI2148" s="626" t="s">
        <v>1236</v>
      </c>
      <c r="SFJ2148" s="626" t="s">
        <v>1236</v>
      </c>
      <c r="SFK2148" s="626" t="s">
        <v>1236</v>
      </c>
      <c r="SFL2148" s="626" t="s">
        <v>1236</v>
      </c>
      <c r="SFM2148" s="626" t="s">
        <v>1236</v>
      </c>
      <c r="SFN2148" s="626" t="s">
        <v>1236</v>
      </c>
      <c r="SFO2148" s="626" t="s">
        <v>1236</v>
      </c>
      <c r="SFP2148" s="626" t="s">
        <v>1236</v>
      </c>
      <c r="SFQ2148" s="626" t="s">
        <v>1236</v>
      </c>
      <c r="SFR2148" s="626" t="s">
        <v>1236</v>
      </c>
      <c r="SFS2148" s="626" t="s">
        <v>1236</v>
      </c>
      <c r="SFT2148" s="626" t="s">
        <v>1236</v>
      </c>
      <c r="SFU2148" s="626" t="s">
        <v>1236</v>
      </c>
      <c r="SFV2148" s="626" t="s">
        <v>1236</v>
      </c>
      <c r="SFW2148" s="626" t="s">
        <v>1236</v>
      </c>
      <c r="SFX2148" s="626" t="s">
        <v>1236</v>
      </c>
      <c r="SFY2148" s="626" t="s">
        <v>1236</v>
      </c>
      <c r="SFZ2148" s="626" t="s">
        <v>1236</v>
      </c>
      <c r="SGA2148" s="626" t="s">
        <v>1236</v>
      </c>
      <c r="SGB2148" s="626" t="s">
        <v>1236</v>
      </c>
      <c r="SGC2148" s="626" t="s">
        <v>1236</v>
      </c>
      <c r="SGD2148" s="626" t="s">
        <v>1236</v>
      </c>
      <c r="SGE2148" s="626" t="s">
        <v>1236</v>
      </c>
      <c r="SGF2148" s="626" t="s">
        <v>1236</v>
      </c>
      <c r="SGG2148" s="626" t="s">
        <v>1236</v>
      </c>
      <c r="SGH2148" s="626" t="s">
        <v>1236</v>
      </c>
      <c r="SGI2148" s="626" t="s">
        <v>1236</v>
      </c>
      <c r="SGJ2148" s="626" t="s">
        <v>1236</v>
      </c>
      <c r="SGK2148" s="626" t="s">
        <v>1236</v>
      </c>
      <c r="SGL2148" s="626" t="s">
        <v>1236</v>
      </c>
      <c r="SGM2148" s="626" t="s">
        <v>1236</v>
      </c>
      <c r="SGN2148" s="626" t="s">
        <v>1236</v>
      </c>
      <c r="SGO2148" s="626" t="s">
        <v>1236</v>
      </c>
      <c r="SGP2148" s="626" t="s">
        <v>1236</v>
      </c>
      <c r="SGQ2148" s="626" t="s">
        <v>1236</v>
      </c>
      <c r="SGR2148" s="626" t="s">
        <v>1236</v>
      </c>
      <c r="SGS2148" s="626" t="s">
        <v>1236</v>
      </c>
      <c r="SGT2148" s="626" t="s">
        <v>1236</v>
      </c>
      <c r="SGU2148" s="626" t="s">
        <v>1236</v>
      </c>
      <c r="SGV2148" s="626" t="s">
        <v>1236</v>
      </c>
      <c r="SGW2148" s="626" t="s">
        <v>1236</v>
      </c>
      <c r="SGX2148" s="626" t="s">
        <v>1236</v>
      </c>
      <c r="SGY2148" s="626" t="s">
        <v>1236</v>
      </c>
      <c r="SGZ2148" s="626" t="s">
        <v>1236</v>
      </c>
      <c r="SHA2148" s="626" t="s">
        <v>1236</v>
      </c>
      <c r="SHB2148" s="626" t="s">
        <v>1236</v>
      </c>
      <c r="SHC2148" s="626" t="s">
        <v>1236</v>
      </c>
      <c r="SHD2148" s="626" t="s">
        <v>1236</v>
      </c>
      <c r="SHE2148" s="626" t="s">
        <v>1236</v>
      </c>
      <c r="SHF2148" s="626" t="s">
        <v>1236</v>
      </c>
      <c r="SHG2148" s="626" t="s">
        <v>1236</v>
      </c>
      <c r="SHH2148" s="626" t="s">
        <v>1236</v>
      </c>
      <c r="SHI2148" s="626" t="s">
        <v>1236</v>
      </c>
      <c r="SHJ2148" s="626" t="s">
        <v>1236</v>
      </c>
      <c r="SHK2148" s="626" t="s">
        <v>1236</v>
      </c>
      <c r="SHL2148" s="626" t="s">
        <v>1236</v>
      </c>
      <c r="SHM2148" s="626" t="s">
        <v>1236</v>
      </c>
      <c r="SHN2148" s="626" t="s">
        <v>1236</v>
      </c>
      <c r="SHO2148" s="626" t="s">
        <v>1236</v>
      </c>
      <c r="SHP2148" s="626" t="s">
        <v>1236</v>
      </c>
      <c r="SHQ2148" s="626" t="s">
        <v>1236</v>
      </c>
      <c r="SHR2148" s="626" t="s">
        <v>1236</v>
      </c>
      <c r="SHS2148" s="626" t="s">
        <v>1236</v>
      </c>
      <c r="SHT2148" s="626" t="s">
        <v>1236</v>
      </c>
      <c r="SHU2148" s="626" t="s">
        <v>1236</v>
      </c>
      <c r="SHV2148" s="626" t="s">
        <v>1236</v>
      </c>
      <c r="SHW2148" s="626" t="s">
        <v>1236</v>
      </c>
      <c r="SHX2148" s="626" t="s">
        <v>1236</v>
      </c>
      <c r="SHY2148" s="626" t="s">
        <v>1236</v>
      </c>
      <c r="SHZ2148" s="626" t="s">
        <v>1236</v>
      </c>
      <c r="SIA2148" s="626" t="s">
        <v>1236</v>
      </c>
      <c r="SIB2148" s="626" t="s">
        <v>1236</v>
      </c>
      <c r="SIC2148" s="626" t="s">
        <v>1236</v>
      </c>
      <c r="SID2148" s="626" t="s">
        <v>1236</v>
      </c>
      <c r="SIE2148" s="626" t="s">
        <v>1236</v>
      </c>
      <c r="SIF2148" s="626" t="s">
        <v>1236</v>
      </c>
      <c r="SIG2148" s="626" t="s">
        <v>1236</v>
      </c>
      <c r="SIH2148" s="626" t="s">
        <v>1236</v>
      </c>
      <c r="SII2148" s="626" t="s">
        <v>1236</v>
      </c>
      <c r="SIJ2148" s="626" t="s">
        <v>1236</v>
      </c>
      <c r="SIK2148" s="626" t="s">
        <v>1236</v>
      </c>
      <c r="SIL2148" s="626" t="s">
        <v>1236</v>
      </c>
      <c r="SIM2148" s="626" t="s">
        <v>1236</v>
      </c>
      <c r="SIN2148" s="626" t="s">
        <v>1236</v>
      </c>
      <c r="SIO2148" s="626" t="s">
        <v>1236</v>
      </c>
      <c r="SIP2148" s="626" t="s">
        <v>1236</v>
      </c>
      <c r="SIQ2148" s="626" t="s">
        <v>1236</v>
      </c>
      <c r="SIR2148" s="626" t="s">
        <v>1236</v>
      </c>
      <c r="SIS2148" s="626" t="s">
        <v>1236</v>
      </c>
      <c r="SIT2148" s="626" t="s">
        <v>1236</v>
      </c>
      <c r="SIU2148" s="626" t="s">
        <v>1236</v>
      </c>
      <c r="SIV2148" s="626" t="s">
        <v>1236</v>
      </c>
      <c r="SIW2148" s="626" t="s">
        <v>1236</v>
      </c>
      <c r="SIX2148" s="626" t="s">
        <v>1236</v>
      </c>
      <c r="SIY2148" s="626" t="s">
        <v>1236</v>
      </c>
      <c r="SIZ2148" s="626" t="s">
        <v>1236</v>
      </c>
      <c r="SJA2148" s="626" t="s">
        <v>1236</v>
      </c>
      <c r="SJB2148" s="626" t="s">
        <v>1236</v>
      </c>
      <c r="SJC2148" s="626" t="s">
        <v>1236</v>
      </c>
      <c r="SJD2148" s="626" t="s">
        <v>1236</v>
      </c>
      <c r="SJE2148" s="626" t="s">
        <v>1236</v>
      </c>
      <c r="SJF2148" s="626" t="s">
        <v>1236</v>
      </c>
      <c r="SJG2148" s="626" t="s">
        <v>1236</v>
      </c>
      <c r="SJH2148" s="626" t="s">
        <v>1236</v>
      </c>
      <c r="SJI2148" s="626" t="s">
        <v>1236</v>
      </c>
      <c r="SJJ2148" s="626" t="s">
        <v>1236</v>
      </c>
      <c r="SJK2148" s="626" t="s">
        <v>1236</v>
      </c>
      <c r="SJL2148" s="626" t="s">
        <v>1236</v>
      </c>
      <c r="SJM2148" s="626" t="s">
        <v>1236</v>
      </c>
      <c r="SJN2148" s="626" t="s">
        <v>1236</v>
      </c>
      <c r="SJO2148" s="626" t="s">
        <v>1236</v>
      </c>
      <c r="SJP2148" s="626" t="s">
        <v>1236</v>
      </c>
      <c r="SJQ2148" s="626" t="s">
        <v>1236</v>
      </c>
      <c r="SJR2148" s="626" t="s">
        <v>1236</v>
      </c>
      <c r="SJS2148" s="626" t="s">
        <v>1236</v>
      </c>
      <c r="SJT2148" s="626" t="s">
        <v>1236</v>
      </c>
      <c r="SJU2148" s="626" t="s">
        <v>1236</v>
      </c>
      <c r="SJV2148" s="626" t="s">
        <v>1236</v>
      </c>
      <c r="SJW2148" s="626" t="s">
        <v>1236</v>
      </c>
      <c r="SJX2148" s="626" t="s">
        <v>1236</v>
      </c>
      <c r="SJY2148" s="626" t="s">
        <v>1236</v>
      </c>
      <c r="SJZ2148" s="626" t="s">
        <v>1236</v>
      </c>
      <c r="SKA2148" s="626" t="s">
        <v>1236</v>
      </c>
      <c r="SKB2148" s="626" t="s">
        <v>1236</v>
      </c>
      <c r="SKC2148" s="626" t="s">
        <v>1236</v>
      </c>
      <c r="SKD2148" s="626" t="s">
        <v>1236</v>
      </c>
      <c r="SKE2148" s="626" t="s">
        <v>1236</v>
      </c>
      <c r="SKF2148" s="626" t="s">
        <v>1236</v>
      </c>
      <c r="SKG2148" s="626" t="s">
        <v>1236</v>
      </c>
      <c r="SKH2148" s="626" t="s">
        <v>1236</v>
      </c>
      <c r="SKI2148" s="626" t="s">
        <v>1236</v>
      </c>
      <c r="SKJ2148" s="626" t="s">
        <v>1236</v>
      </c>
      <c r="SKK2148" s="626" t="s">
        <v>1236</v>
      </c>
      <c r="SKL2148" s="626" t="s">
        <v>1236</v>
      </c>
      <c r="SKM2148" s="626" t="s">
        <v>1236</v>
      </c>
      <c r="SKN2148" s="626" t="s">
        <v>1236</v>
      </c>
      <c r="SKO2148" s="626" t="s">
        <v>1236</v>
      </c>
      <c r="SKP2148" s="626" t="s">
        <v>1236</v>
      </c>
      <c r="SKQ2148" s="626" t="s">
        <v>1236</v>
      </c>
      <c r="SKR2148" s="626" t="s">
        <v>1236</v>
      </c>
      <c r="SKS2148" s="626" t="s">
        <v>1236</v>
      </c>
      <c r="SKT2148" s="626" t="s">
        <v>1236</v>
      </c>
      <c r="SKU2148" s="626" t="s">
        <v>1236</v>
      </c>
      <c r="SKV2148" s="626" t="s">
        <v>1236</v>
      </c>
      <c r="SKW2148" s="626" t="s">
        <v>1236</v>
      </c>
      <c r="SKX2148" s="626" t="s">
        <v>1236</v>
      </c>
      <c r="SKY2148" s="626" t="s">
        <v>1236</v>
      </c>
      <c r="SKZ2148" s="626" t="s">
        <v>1236</v>
      </c>
      <c r="SLA2148" s="626" t="s">
        <v>1236</v>
      </c>
      <c r="SLB2148" s="626" t="s">
        <v>1236</v>
      </c>
      <c r="SLC2148" s="626" t="s">
        <v>1236</v>
      </c>
      <c r="SLD2148" s="626" t="s">
        <v>1236</v>
      </c>
      <c r="SLE2148" s="626" t="s">
        <v>1236</v>
      </c>
      <c r="SLF2148" s="626" t="s">
        <v>1236</v>
      </c>
      <c r="SLG2148" s="626" t="s">
        <v>1236</v>
      </c>
      <c r="SLH2148" s="626" t="s">
        <v>1236</v>
      </c>
      <c r="SLI2148" s="626" t="s">
        <v>1236</v>
      </c>
      <c r="SLJ2148" s="626" t="s">
        <v>1236</v>
      </c>
      <c r="SLK2148" s="626" t="s">
        <v>1236</v>
      </c>
      <c r="SLL2148" s="626" t="s">
        <v>1236</v>
      </c>
      <c r="SLM2148" s="626" t="s">
        <v>1236</v>
      </c>
      <c r="SLN2148" s="626" t="s">
        <v>1236</v>
      </c>
      <c r="SLO2148" s="626" t="s">
        <v>1236</v>
      </c>
      <c r="SLP2148" s="626" t="s">
        <v>1236</v>
      </c>
      <c r="SLQ2148" s="626" t="s">
        <v>1236</v>
      </c>
      <c r="SLR2148" s="626" t="s">
        <v>1236</v>
      </c>
      <c r="SLS2148" s="626" t="s">
        <v>1236</v>
      </c>
      <c r="SLT2148" s="626" t="s">
        <v>1236</v>
      </c>
      <c r="SLU2148" s="626" t="s">
        <v>1236</v>
      </c>
      <c r="SLV2148" s="626" t="s">
        <v>1236</v>
      </c>
      <c r="SLW2148" s="626" t="s">
        <v>1236</v>
      </c>
      <c r="SLX2148" s="626" t="s">
        <v>1236</v>
      </c>
      <c r="SLY2148" s="626" t="s">
        <v>1236</v>
      </c>
      <c r="SLZ2148" s="626" t="s">
        <v>1236</v>
      </c>
      <c r="SMA2148" s="626" t="s">
        <v>1236</v>
      </c>
      <c r="SMB2148" s="626" t="s">
        <v>1236</v>
      </c>
      <c r="SMC2148" s="626" t="s">
        <v>1236</v>
      </c>
      <c r="SMD2148" s="626" t="s">
        <v>1236</v>
      </c>
      <c r="SME2148" s="626" t="s">
        <v>1236</v>
      </c>
      <c r="SMF2148" s="626" t="s">
        <v>1236</v>
      </c>
      <c r="SMG2148" s="626" t="s">
        <v>1236</v>
      </c>
      <c r="SMH2148" s="626" t="s">
        <v>1236</v>
      </c>
      <c r="SMI2148" s="626" t="s">
        <v>1236</v>
      </c>
      <c r="SMJ2148" s="626" t="s">
        <v>1236</v>
      </c>
      <c r="SMK2148" s="626" t="s">
        <v>1236</v>
      </c>
      <c r="SML2148" s="626" t="s">
        <v>1236</v>
      </c>
      <c r="SMM2148" s="626" t="s">
        <v>1236</v>
      </c>
      <c r="SMN2148" s="626" t="s">
        <v>1236</v>
      </c>
      <c r="SMO2148" s="626" t="s">
        <v>1236</v>
      </c>
      <c r="SMP2148" s="626" t="s">
        <v>1236</v>
      </c>
      <c r="SMQ2148" s="626" t="s">
        <v>1236</v>
      </c>
      <c r="SMR2148" s="626" t="s">
        <v>1236</v>
      </c>
      <c r="SMS2148" s="626" t="s">
        <v>1236</v>
      </c>
      <c r="SMT2148" s="626" t="s">
        <v>1236</v>
      </c>
      <c r="SMU2148" s="626" t="s">
        <v>1236</v>
      </c>
      <c r="SMV2148" s="626" t="s">
        <v>1236</v>
      </c>
      <c r="SMW2148" s="626" t="s">
        <v>1236</v>
      </c>
      <c r="SMX2148" s="626" t="s">
        <v>1236</v>
      </c>
      <c r="SMY2148" s="626" t="s">
        <v>1236</v>
      </c>
      <c r="SMZ2148" s="626" t="s">
        <v>1236</v>
      </c>
      <c r="SNA2148" s="626" t="s">
        <v>1236</v>
      </c>
      <c r="SNB2148" s="626" t="s">
        <v>1236</v>
      </c>
      <c r="SNC2148" s="626" t="s">
        <v>1236</v>
      </c>
      <c r="SND2148" s="626" t="s">
        <v>1236</v>
      </c>
      <c r="SNE2148" s="626" t="s">
        <v>1236</v>
      </c>
      <c r="SNF2148" s="626" t="s">
        <v>1236</v>
      </c>
      <c r="SNG2148" s="626" t="s">
        <v>1236</v>
      </c>
      <c r="SNH2148" s="626" t="s">
        <v>1236</v>
      </c>
      <c r="SNI2148" s="626" t="s">
        <v>1236</v>
      </c>
      <c r="SNJ2148" s="626" t="s">
        <v>1236</v>
      </c>
      <c r="SNK2148" s="626" t="s">
        <v>1236</v>
      </c>
      <c r="SNL2148" s="626" t="s">
        <v>1236</v>
      </c>
      <c r="SNM2148" s="626" t="s">
        <v>1236</v>
      </c>
      <c r="SNN2148" s="626" t="s">
        <v>1236</v>
      </c>
      <c r="SNO2148" s="626" t="s">
        <v>1236</v>
      </c>
      <c r="SNP2148" s="626" t="s">
        <v>1236</v>
      </c>
      <c r="SNQ2148" s="626" t="s">
        <v>1236</v>
      </c>
      <c r="SNR2148" s="626" t="s">
        <v>1236</v>
      </c>
      <c r="SNS2148" s="626" t="s">
        <v>1236</v>
      </c>
      <c r="SNT2148" s="626" t="s">
        <v>1236</v>
      </c>
      <c r="SNU2148" s="626" t="s">
        <v>1236</v>
      </c>
      <c r="SNV2148" s="626" t="s">
        <v>1236</v>
      </c>
      <c r="SNW2148" s="626" t="s">
        <v>1236</v>
      </c>
      <c r="SNX2148" s="626" t="s">
        <v>1236</v>
      </c>
      <c r="SNY2148" s="626" t="s">
        <v>1236</v>
      </c>
      <c r="SNZ2148" s="626" t="s">
        <v>1236</v>
      </c>
      <c r="SOA2148" s="626" t="s">
        <v>1236</v>
      </c>
      <c r="SOB2148" s="626" t="s">
        <v>1236</v>
      </c>
      <c r="SOC2148" s="626" t="s">
        <v>1236</v>
      </c>
      <c r="SOD2148" s="626" t="s">
        <v>1236</v>
      </c>
      <c r="SOE2148" s="626" t="s">
        <v>1236</v>
      </c>
      <c r="SOF2148" s="626" t="s">
        <v>1236</v>
      </c>
      <c r="SOG2148" s="626" t="s">
        <v>1236</v>
      </c>
      <c r="SOH2148" s="626" t="s">
        <v>1236</v>
      </c>
      <c r="SOI2148" s="626" t="s">
        <v>1236</v>
      </c>
      <c r="SOJ2148" s="626" t="s">
        <v>1236</v>
      </c>
      <c r="SOK2148" s="626" t="s">
        <v>1236</v>
      </c>
      <c r="SOL2148" s="626" t="s">
        <v>1236</v>
      </c>
      <c r="SOM2148" s="626" t="s">
        <v>1236</v>
      </c>
      <c r="SON2148" s="626" t="s">
        <v>1236</v>
      </c>
      <c r="SOO2148" s="626" t="s">
        <v>1236</v>
      </c>
      <c r="SOP2148" s="626" t="s">
        <v>1236</v>
      </c>
      <c r="SOQ2148" s="626" t="s">
        <v>1236</v>
      </c>
      <c r="SOR2148" s="626" t="s">
        <v>1236</v>
      </c>
      <c r="SOS2148" s="626" t="s">
        <v>1236</v>
      </c>
      <c r="SOT2148" s="626" t="s">
        <v>1236</v>
      </c>
      <c r="SOU2148" s="626" t="s">
        <v>1236</v>
      </c>
      <c r="SOV2148" s="626" t="s">
        <v>1236</v>
      </c>
      <c r="SOW2148" s="626" t="s">
        <v>1236</v>
      </c>
      <c r="SOX2148" s="626" t="s">
        <v>1236</v>
      </c>
      <c r="SOY2148" s="626" t="s">
        <v>1236</v>
      </c>
      <c r="SOZ2148" s="626" t="s">
        <v>1236</v>
      </c>
      <c r="SPA2148" s="626" t="s">
        <v>1236</v>
      </c>
      <c r="SPB2148" s="626" t="s">
        <v>1236</v>
      </c>
      <c r="SPC2148" s="626" t="s">
        <v>1236</v>
      </c>
      <c r="SPD2148" s="626" t="s">
        <v>1236</v>
      </c>
      <c r="SPE2148" s="626" t="s">
        <v>1236</v>
      </c>
      <c r="SPF2148" s="626" t="s">
        <v>1236</v>
      </c>
      <c r="SPG2148" s="626" t="s">
        <v>1236</v>
      </c>
      <c r="SPH2148" s="626" t="s">
        <v>1236</v>
      </c>
      <c r="SPI2148" s="626" t="s">
        <v>1236</v>
      </c>
      <c r="SPJ2148" s="626" t="s">
        <v>1236</v>
      </c>
      <c r="SPK2148" s="626" t="s">
        <v>1236</v>
      </c>
      <c r="SPL2148" s="626" t="s">
        <v>1236</v>
      </c>
      <c r="SPM2148" s="626" t="s">
        <v>1236</v>
      </c>
      <c r="SPN2148" s="626" t="s">
        <v>1236</v>
      </c>
      <c r="SPO2148" s="626" t="s">
        <v>1236</v>
      </c>
      <c r="SPP2148" s="626" t="s">
        <v>1236</v>
      </c>
      <c r="SPQ2148" s="626" t="s">
        <v>1236</v>
      </c>
      <c r="SPR2148" s="626" t="s">
        <v>1236</v>
      </c>
      <c r="SPS2148" s="626" t="s">
        <v>1236</v>
      </c>
      <c r="SPT2148" s="626" t="s">
        <v>1236</v>
      </c>
      <c r="SPU2148" s="626" t="s">
        <v>1236</v>
      </c>
      <c r="SPV2148" s="626" t="s">
        <v>1236</v>
      </c>
      <c r="SPW2148" s="626" t="s">
        <v>1236</v>
      </c>
      <c r="SPX2148" s="626" t="s">
        <v>1236</v>
      </c>
      <c r="SPY2148" s="626" t="s">
        <v>1236</v>
      </c>
      <c r="SPZ2148" s="626" t="s">
        <v>1236</v>
      </c>
      <c r="SQA2148" s="626" t="s">
        <v>1236</v>
      </c>
      <c r="SQB2148" s="626" t="s">
        <v>1236</v>
      </c>
      <c r="SQC2148" s="626" t="s">
        <v>1236</v>
      </c>
      <c r="SQD2148" s="626" t="s">
        <v>1236</v>
      </c>
      <c r="SQE2148" s="626" t="s">
        <v>1236</v>
      </c>
      <c r="SQF2148" s="626" t="s">
        <v>1236</v>
      </c>
      <c r="SQG2148" s="626" t="s">
        <v>1236</v>
      </c>
      <c r="SQH2148" s="626" t="s">
        <v>1236</v>
      </c>
      <c r="SQI2148" s="626" t="s">
        <v>1236</v>
      </c>
      <c r="SQJ2148" s="626" t="s">
        <v>1236</v>
      </c>
      <c r="SQK2148" s="626" t="s">
        <v>1236</v>
      </c>
      <c r="SQL2148" s="626" t="s">
        <v>1236</v>
      </c>
      <c r="SQM2148" s="626" t="s">
        <v>1236</v>
      </c>
      <c r="SQN2148" s="626" t="s">
        <v>1236</v>
      </c>
      <c r="SQO2148" s="626" t="s">
        <v>1236</v>
      </c>
      <c r="SQP2148" s="626" t="s">
        <v>1236</v>
      </c>
      <c r="SQQ2148" s="626" t="s">
        <v>1236</v>
      </c>
      <c r="SQR2148" s="626" t="s">
        <v>1236</v>
      </c>
      <c r="SQS2148" s="626" t="s">
        <v>1236</v>
      </c>
      <c r="SQT2148" s="626" t="s">
        <v>1236</v>
      </c>
      <c r="SQU2148" s="626" t="s">
        <v>1236</v>
      </c>
      <c r="SQV2148" s="626" t="s">
        <v>1236</v>
      </c>
      <c r="SQW2148" s="626" t="s">
        <v>1236</v>
      </c>
      <c r="SQX2148" s="626" t="s">
        <v>1236</v>
      </c>
      <c r="SQY2148" s="626" t="s">
        <v>1236</v>
      </c>
      <c r="SQZ2148" s="626" t="s">
        <v>1236</v>
      </c>
      <c r="SRA2148" s="626" t="s">
        <v>1236</v>
      </c>
      <c r="SRB2148" s="626" t="s">
        <v>1236</v>
      </c>
      <c r="SRC2148" s="626" t="s">
        <v>1236</v>
      </c>
      <c r="SRD2148" s="626" t="s">
        <v>1236</v>
      </c>
      <c r="SRE2148" s="626" t="s">
        <v>1236</v>
      </c>
      <c r="SRF2148" s="626" t="s">
        <v>1236</v>
      </c>
      <c r="SRG2148" s="626" t="s">
        <v>1236</v>
      </c>
      <c r="SRH2148" s="626" t="s">
        <v>1236</v>
      </c>
      <c r="SRI2148" s="626" t="s">
        <v>1236</v>
      </c>
      <c r="SRJ2148" s="626" t="s">
        <v>1236</v>
      </c>
      <c r="SRK2148" s="626" t="s">
        <v>1236</v>
      </c>
      <c r="SRL2148" s="626" t="s">
        <v>1236</v>
      </c>
      <c r="SRM2148" s="626" t="s">
        <v>1236</v>
      </c>
      <c r="SRN2148" s="626" t="s">
        <v>1236</v>
      </c>
      <c r="SRO2148" s="626" t="s">
        <v>1236</v>
      </c>
      <c r="SRP2148" s="626" t="s">
        <v>1236</v>
      </c>
      <c r="SRQ2148" s="626" t="s">
        <v>1236</v>
      </c>
      <c r="SRR2148" s="626" t="s">
        <v>1236</v>
      </c>
      <c r="SRS2148" s="626" t="s">
        <v>1236</v>
      </c>
      <c r="SRT2148" s="626" t="s">
        <v>1236</v>
      </c>
      <c r="SRU2148" s="626" t="s">
        <v>1236</v>
      </c>
      <c r="SRV2148" s="626" t="s">
        <v>1236</v>
      </c>
      <c r="SRW2148" s="626" t="s">
        <v>1236</v>
      </c>
      <c r="SRX2148" s="626" t="s">
        <v>1236</v>
      </c>
      <c r="SRY2148" s="626" t="s">
        <v>1236</v>
      </c>
      <c r="SRZ2148" s="626" t="s">
        <v>1236</v>
      </c>
      <c r="SSA2148" s="626" t="s">
        <v>1236</v>
      </c>
      <c r="SSB2148" s="626" t="s">
        <v>1236</v>
      </c>
      <c r="SSC2148" s="626" t="s">
        <v>1236</v>
      </c>
      <c r="SSD2148" s="626" t="s">
        <v>1236</v>
      </c>
      <c r="SSE2148" s="626" t="s">
        <v>1236</v>
      </c>
      <c r="SSF2148" s="626" t="s">
        <v>1236</v>
      </c>
      <c r="SSG2148" s="626" t="s">
        <v>1236</v>
      </c>
      <c r="SSH2148" s="626" t="s">
        <v>1236</v>
      </c>
      <c r="SSI2148" s="626" t="s">
        <v>1236</v>
      </c>
      <c r="SSJ2148" s="626" t="s">
        <v>1236</v>
      </c>
      <c r="SSK2148" s="626" t="s">
        <v>1236</v>
      </c>
      <c r="SSL2148" s="626" t="s">
        <v>1236</v>
      </c>
      <c r="SSM2148" s="626" t="s">
        <v>1236</v>
      </c>
      <c r="SSN2148" s="626" t="s">
        <v>1236</v>
      </c>
      <c r="SSO2148" s="626" t="s">
        <v>1236</v>
      </c>
      <c r="SSP2148" s="626" t="s">
        <v>1236</v>
      </c>
      <c r="SSQ2148" s="626" t="s">
        <v>1236</v>
      </c>
      <c r="SSR2148" s="626" t="s">
        <v>1236</v>
      </c>
      <c r="SSS2148" s="626" t="s">
        <v>1236</v>
      </c>
      <c r="SST2148" s="626" t="s">
        <v>1236</v>
      </c>
      <c r="SSU2148" s="626" t="s">
        <v>1236</v>
      </c>
      <c r="SSV2148" s="626" t="s">
        <v>1236</v>
      </c>
      <c r="SSW2148" s="626" t="s">
        <v>1236</v>
      </c>
      <c r="SSX2148" s="626" t="s">
        <v>1236</v>
      </c>
      <c r="SSY2148" s="626" t="s">
        <v>1236</v>
      </c>
      <c r="SSZ2148" s="626" t="s">
        <v>1236</v>
      </c>
      <c r="STA2148" s="626" t="s">
        <v>1236</v>
      </c>
      <c r="STB2148" s="626" t="s">
        <v>1236</v>
      </c>
      <c r="STC2148" s="626" t="s">
        <v>1236</v>
      </c>
      <c r="STD2148" s="626" t="s">
        <v>1236</v>
      </c>
      <c r="STE2148" s="626" t="s">
        <v>1236</v>
      </c>
      <c r="STF2148" s="626" t="s">
        <v>1236</v>
      </c>
      <c r="STG2148" s="626" t="s">
        <v>1236</v>
      </c>
      <c r="STH2148" s="626" t="s">
        <v>1236</v>
      </c>
      <c r="STI2148" s="626" t="s">
        <v>1236</v>
      </c>
      <c r="STJ2148" s="626" t="s">
        <v>1236</v>
      </c>
      <c r="STK2148" s="626" t="s">
        <v>1236</v>
      </c>
      <c r="STL2148" s="626" t="s">
        <v>1236</v>
      </c>
      <c r="STM2148" s="626" t="s">
        <v>1236</v>
      </c>
      <c r="STN2148" s="626" t="s">
        <v>1236</v>
      </c>
      <c r="STO2148" s="626" t="s">
        <v>1236</v>
      </c>
      <c r="STP2148" s="626" t="s">
        <v>1236</v>
      </c>
      <c r="STQ2148" s="626" t="s">
        <v>1236</v>
      </c>
      <c r="STR2148" s="626" t="s">
        <v>1236</v>
      </c>
      <c r="STS2148" s="626" t="s">
        <v>1236</v>
      </c>
      <c r="STT2148" s="626" t="s">
        <v>1236</v>
      </c>
      <c r="STU2148" s="626" t="s">
        <v>1236</v>
      </c>
      <c r="STV2148" s="626" t="s">
        <v>1236</v>
      </c>
      <c r="STW2148" s="626" t="s">
        <v>1236</v>
      </c>
      <c r="STX2148" s="626" t="s">
        <v>1236</v>
      </c>
      <c r="STY2148" s="626" t="s">
        <v>1236</v>
      </c>
      <c r="STZ2148" s="626" t="s">
        <v>1236</v>
      </c>
      <c r="SUA2148" s="626" t="s">
        <v>1236</v>
      </c>
      <c r="SUB2148" s="626" t="s">
        <v>1236</v>
      </c>
      <c r="SUC2148" s="626" t="s">
        <v>1236</v>
      </c>
      <c r="SUD2148" s="626" t="s">
        <v>1236</v>
      </c>
      <c r="SUE2148" s="626" t="s">
        <v>1236</v>
      </c>
      <c r="SUF2148" s="626" t="s">
        <v>1236</v>
      </c>
      <c r="SUG2148" s="626" t="s">
        <v>1236</v>
      </c>
      <c r="SUH2148" s="626" t="s">
        <v>1236</v>
      </c>
      <c r="SUI2148" s="626" t="s">
        <v>1236</v>
      </c>
      <c r="SUJ2148" s="626" t="s">
        <v>1236</v>
      </c>
      <c r="SUK2148" s="626" t="s">
        <v>1236</v>
      </c>
      <c r="SUL2148" s="626" t="s">
        <v>1236</v>
      </c>
      <c r="SUM2148" s="626" t="s">
        <v>1236</v>
      </c>
      <c r="SUN2148" s="626" t="s">
        <v>1236</v>
      </c>
      <c r="SUO2148" s="626" t="s">
        <v>1236</v>
      </c>
      <c r="SUP2148" s="626" t="s">
        <v>1236</v>
      </c>
      <c r="SUQ2148" s="626" t="s">
        <v>1236</v>
      </c>
      <c r="SUR2148" s="626" t="s">
        <v>1236</v>
      </c>
      <c r="SUS2148" s="626" t="s">
        <v>1236</v>
      </c>
      <c r="SUT2148" s="626" t="s">
        <v>1236</v>
      </c>
      <c r="SUU2148" s="626" t="s">
        <v>1236</v>
      </c>
      <c r="SUV2148" s="626" t="s">
        <v>1236</v>
      </c>
      <c r="SUW2148" s="626" t="s">
        <v>1236</v>
      </c>
      <c r="SUX2148" s="626" t="s">
        <v>1236</v>
      </c>
      <c r="SUY2148" s="626" t="s">
        <v>1236</v>
      </c>
      <c r="SUZ2148" s="626" t="s">
        <v>1236</v>
      </c>
      <c r="SVA2148" s="626" t="s">
        <v>1236</v>
      </c>
      <c r="SVB2148" s="626" t="s">
        <v>1236</v>
      </c>
      <c r="SVC2148" s="626" t="s">
        <v>1236</v>
      </c>
      <c r="SVD2148" s="626" t="s">
        <v>1236</v>
      </c>
      <c r="SVE2148" s="626" t="s">
        <v>1236</v>
      </c>
      <c r="SVF2148" s="626" t="s">
        <v>1236</v>
      </c>
      <c r="SVG2148" s="626" t="s">
        <v>1236</v>
      </c>
      <c r="SVH2148" s="626" t="s">
        <v>1236</v>
      </c>
      <c r="SVI2148" s="626" t="s">
        <v>1236</v>
      </c>
      <c r="SVJ2148" s="626" t="s">
        <v>1236</v>
      </c>
      <c r="SVK2148" s="626" t="s">
        <v>1236</v>
      </c>
      <c r="SVL2148" s="626" t="s">
        <v>1236</v>
      </c>
      <c r="SVM2148" s="626" t="s">
        <v>1236</v>
      </c>
      <c r="SVN2148" s="626" t="s">
        <v>1236</v>
      </c>
      <c r="SVO2148" s="626" t="s">
        <v>1236</v>
      </c>
      <c r="SVP2148" s="626" t="s">
        <v>1236</v>
      </c>
      <c r="SVQ2148" s="626" t="s">
        <v>1236</v>
      </c>
      <c r="SVR2148" s="626" t="s">
        <v>1236</v>
      </c>
      <c r="SVS2148" s="626" t="s">
        <v>1236</v>
      </c>
      <c r="SVT2148" s="626" t="s">
        <v>1236</v>
      </c>
      <c r="SVU2148" s="626" t="s">
        <v>1236</v>
      </c>
      <c r="SVV2148" s="626" t="s">
        <v>1236</v>
      </c>
      <c r="SVW2148" s="626" t="s">
        <v>1236</v>
      </c>
      <c r="SVX2148" s="626" t="s">
        <v>1236</v>
      </c>
      <c r="SVY2148" s="626" t="s">
        <v>1236</v>
      </c>
      <c r="SVZ2148" s="626" t="s">
        <v>1236</v>
      </c>
      <c r="SWA2148" s="626" t="s">
        <v>1236</v>
      </c>
      <c r="SWB2148" s="626" t="s">
        <v>1236</v>
      </c>
      <c r="SWC2148" s="626" t="s">
        <v>1236</v>
      </c>
      <c r="SWD2148" s="626" t="s">
        <v>1236</v>
      </c>
      <c r="SWE2148" s="626" t="s">
        <v>1236</v>
      </c>
      <c r="SWF2148" s="626" t="s">
        <v>1236</v>
      </c>
      <c r="SWG2148" s="626" t="s">
        <v>1236</v>
      </c>
      <c r="SWH2148" s="626" t="s">
        <v>1236</v>
      </c>
      <c r="SWI2148" s="626" t="s">
        <v>1236</v>
      </c>
      <c r="SWJ2148" s="626" t="s">
        <v>1236</v>
      </c>
      <c r="SWK2148" s="626" t="s">
        <v>1236</v>
      </c>
      <c r="SWL2148" s="626" t="s">
        <v>1236</v>
      </c>
      <c r="SWM2148" s="626" t="s">
        <v>1236</v>
      </c>
      <c r="SWN2148" s="626" t="s">
        <v>1236</v>
      </c>
      <c r="SWO2148" s="626" t="s">
        <v>1236</v>
      </c>
      <c r="SWP2148" s="626" t="s">
        <v>1236</v>
      </c>
      <c r="SWQ2148" s="626" t="s">
        <v>1236</v>
      </c>
      <c r="SWR2148" s="626" t="s">
        <v>1236</v>
      </c>
      <c r="SWS2148" s="626" t="s">
        <v>1236</v>
      </c>
      <c r="SWT2148" s="626" t="s">
        <v>1236</v>
      </c>
      <c r="SWU2148" s="626" t="s">
        <v>1236</v>
      </c>
      <c r="SWV2148" s="626" t="s">
        <v>1236</v>
      </c>
      <c r="SWW2148" s="626" t="s">
        <v>1236</v>
      </c>
      <c r="SWX2148" s="626" t="s">
        <v>1236</v>
      </c>
      <c r="SWY2148" s="626" t="s">
        <v>1236</v>
      </c>
      <c r="SWZ2148" s="626" t="s">
        <v>1236</v>
      </c>
      <c r="SXA2148" s="626" t="s">
        <v>1236</v>
      </c>
      <c r="SXB2148" s="626" t="s">
        <v>1236</v>
      </c>
      <c r="SXC2148" s="626" t="s">
        <v>1236</v>
      </c>
      <c r="SXD2148" s="626" t="s">
        <v>1236</v>
      </c>
      <c r="SXE2148" s="626" t="s">
        <v>1236</v>
      </c>
      <c r="SXF2148" s="626" t="s">
        <v>1236</v>
      </c>
      <c r="SXG2148" s="626" t="s">
        <v>1236</v>
      </c>
      <c r="SXH2148" s="626" t="s">
        <v>1236</v>
      </c>
      <c r="SXI2148" s="626" t="s">
        <v>1236</v>
      </c>
      <c r="SXJ2148" s="626" t="s">
        <v>1236</v>
      </c>
      <c r="SXK2148" s="626" t="s">
        <v>1236</v>
      </c>
      <c r="SXL2148" s="626" t="s">
        <v>1236</v>
      </c>
      <c r="SXM2148" s="626" t="s">
        <v>1236</v>
      </c>
      <c r="SXN2148" s="626" t="s">
        <v>1236</v>
      </c>
      <c r="SXO2148" s="626" t="s">
        <v>1236</v>
      </c>
      <c r="SXP2148" s="626" t="s">
        <v>1236</v>
      </c>
      <c r="SXQ2148" s="626" t="s">
        <v>1236</v>
      </c>
      <c r="SXR2148" s="626" t="s">
        <v>1236</v>
      </c>
      <c r="SXS2148" s="626" t="s">
        <v>1236</v>
      </c>
      <c r="SXT2148" s="626" t="s">
        <v>1236</v>
      </c>
      <c r="SXU2148" s="626" t="s">
        <v>1236</v>
      </c>
      <c r="SXV2148" s="626" t="s">
        <v>1236</v>
      </c>
      <c r="SXW2148" s="626" t="s">
        <v>1236</v>
      </c>
      <c r="SXX2148" s="626" t="s">
        <v>1236</v>
      </c>
      <c r="SXY2148" s="626" t="s">
        <v>1236</v>
      </c>
      <c r="SXZ2148" s="626" t="s">
        <v>1236</v>
      </c>
      <c r="SYA2148" s="626" t="s">
        <v>1236</v>
      </c>
      <c r="SYB2148" s="626" t="s">
        <v>1236</v>
      </c>
      <c r="SYC2148" s="626" t="s">
        <v>1236</v>
      </c>
      <c r="SYD2148" s="626" t="s">
        <v>1236</v>
      </c>
      <c r="SYE2148" s="626" t="s">
        <v>1236</v>
      </c>
      <c r="SYF2148" s="626" t="s">
        <v>1236</v>
      </c>
      <c r="SYG2148" s="626" t="s">
        <v>1236</v>
      </c>
      <c r="SYH2148" s="626" t="s">
        <v>1236</v>
      </c>
      <c r="SYI2148" s="626" t="s">
        <v>1236</v>
      </c>
      <c r="SYJ2148" s="626" t="s">
        <v>1236</v>
      </c>
      <c r="SYK2148" s="626" t="s">
        <v>1236</v>
      </c>
      <c r="SYL2148" s="626" t="s">
        <v>1236</v>
      </c>
      <c r="SYM2148" s="626" t="s">
        <v>1236</v>
      </c>
      <c r="SYN2148" s="626" t="s">
        <v>1236</v>
      </c>
      <c r="SYO2148" s="626" t="s">
        <v>1236</v>
      </c>
      <c r="SYP2148" s="626" t="s">
        <v>1236</v>
      </c>
      <c r="SYQ2148" s="626" t="s">
        <v>1236</v>
      </c>
      <c r="SYR2148" s="626" t="s">
        <v>1236</v>
      </c>
      <c r="SYS2148" s="626" t="s">
        <v>1236</v>
      </c>
      <c r="SYT2148" s="626" t="s">
        <v>1236</v>
      </c>
      <c r="SYU2148" s="626" t="s">
        <v>1236</v>
      </c>
      <c r="SYV2148" s="626" t="s">
        <v>1236</v>
      </c>
      <c r="SYW2148" s="626" t="s">
        <v>1236</v>
      </c>
      <c r="SYX2148" s="626" t="s">
        <v>1236</v>
      </c>
      <c r="SYY2148" s="626" t="s">
        <v>1236</v>
      </c>
      <c r="SYZ2148" s="626" t="s">
        <v>1236</v>
      </c>
      <c r="SZA2148" s="626" t="s">
        <v>1236</v>
      </c>
      <c r="SZB2148" s="626" t="s">
        <v>1236</v>
      </c>
      <c r="SZC2148" s="626" t="s">
        <v>1236</v>
      </c>
      <c r="SZD2148" s="626" t="s">
        <v>1236</v>
      </c>
      <c r="SZE2148" s="626" t="s">
        <v>1236</v>
      </c>
      <c r="SZF2148" s="626" t="s">
        <v>1236</v>
      </c>
      <c r="SZG2148" s="626" t="s">
        <v>1236</v>
      </c>
      <c r="SZH2148" s="626" t="s">
        <v>1236</v>
      </c>
      <c r="SZI2148" s="626" t="s">
        <v>1236</v>
      </c>
      <c r="SZJ2148" s="626" t="s">
        <v>1236</v>
      </c>
      <c r="SZK2148" s="626" t="s">
        <v>1236</v>
      </c>
      <c r="SZL2148" s="626" t="s">
        <v>1236</v>
      </c>
      <c r="SZM2148" s="626" t="s">
        <v>1236</v>
      </c>
      <c r="SZN2148" s="626" t="s">
        <v>1236</v>
      </c>
      <c r="SZO2148" s="626" t="s">
        <v>1236</v>
      </c>
      <c r="SZP2148" s="626" t="s">
        <v>1236</v>
      </c>
      <c r="SZQ2148" s="626" t="s">
        <v>1236</v>
      </c>
      <c r="SZR2148" s="626" t="s">
        <v>1236</v>
      </c>
      <c r="SZS2148" s="626" t="s">
        <v>1236</v>
      </c>
      <c r="SZT2148" s="626" t="s">
        <v>1236</v>
      </c>
      <c r="SZU2148" s="626" t="s">
        <v>1236</v>
      </c>
      <c r="SZV2148" s="626" t="s">
        <v>1236</v>
      </c>
      <c r="SZW2148" s="626" t="s">
        <v>1236</v>
      </c>
      <c r="SZX2148" s="626" t="s">
        <v>1236</v>
      </c>
      <c r="SZY2148" s="626" t="s">
        <v>1236</v>
      </c>
      <c r="SZZ2148" s="626" t="s">
        <v>1236</v>
      </c>
      <c r="TAA2148" s="626" t="s">
        <v>1236</v>
      </c>
      <c r="TAB2148" s="626" t="s">
        <v>1236</v>
      </c>
      <c r="TAC2148" s="626" t="s">
        <v>1236</v>
      </c>
      <c r="TAD2148" s="626" t="s">
        <v>1236</v>
      </c>
      <c r="TAE2148" s="626" t="s">
        <v>1236</v>
      </c>
      <c r="TAF2148" s="626" t="s">
        <v>1236</v>
      </c>
      <c r="TAG2148" s="626" t="s">
        <v>1236</v>
      </c>
      <c r="TAH2148" s="626" t="s">
        <v>1236</v>
      </c>
      <c r="TAI2148" s="626" t="s">
        <v>1236</v>
      </c>
      <c r="TAJ2148" s="626" t="s">
        <v>1236</v>
      </c>
      <c r="TAK2148" s="626" t="s">
        <v>1236</v>
      </c>
      <c r="TAL2148" s="626" t="s">
        <v>1236</v>
      </c>
      <c r="TAM2148" s="626" t="s">
        <v>1236</v>
      </c>
      <c r="TAN2148" s="626" t="s">
        <v>1236</v>
      </c>
      <c r="TAO2148" s="626" t="s">
        <v>1236</v>
      </c>
      <c r="TAP2148" s="626" t="s">
        <v>1236</v>
      </c>
      <c r="TAQ2148" s="626" t="s">
        <v>1236</v>
      </c>
      <c r="TAR2148" s="626" t="s">
        <v>1236</v>
      </c>
      <c r="TAS2148" s="626" t="s">
        <v>1236</v>
      </c>
      <c r="TAT2148" s="626" t="s">
        <v>1236</v>
      </c>
      <c r="TAU2148" s="626" t="s">
        <v>1236</v>
      </c>
      <c r="TAV2148" s="626" t="s">
        <v>1236</v>
      </c>
      <c r="TAW2148" s="626" t="s">
        <v>1236</v>
      </c>
      <c r="TAX2148" s="626" t="s">
        <v>1236</v>
      </c>
      <c r="TAY2148" s="626" t="s">
        <v>1236</v>
      </c>
      <c r="TAZ2148" s="626" t="s">
        <v>1236</v>
      </c>
      <c r="TBA2148" s="626" t="s">
        <v>1236</v>
      </c>
      <c r="TBB2148" s="626" t="s">
        <v>1236</v>
      </c>
      <c r="TBC2148" s="626" t="s">
        <v>1236</v>
      </c>
      <c r="TBD2148" s="626" t="s">
        <v>1236</v>
      </c>
      <c r="TBE2148" s="626" t="s">
        <v>1236</v>
      </c>
      <c r="TBF2148" s="626" t="s">
        <v>1236</v>
      </c>
      <c r="TBG2148" s="626" t="s">
        <v>1236</v>
      </c>
      <c r="TBH2148" s="626" t="s">
        <v>1236</v>
      </c>
      <c r="TBI2148" s="626" t="s">
        <v>1236</v>
      </c>
      <c r="TBJ2148" s="626" t="s">
        <v>1236</v>
      </c>
      <c r="TBK2148" s="626" t="s">
        <v>1236</v>
      </c>
      <c r="TBL2148" s="626" t="s">
        <v>1236</v>
      </c>
      <c r="TBM2148" s="626" t="s">
        <v>1236</v>
      </c>
      <c r="TBN2148" s="626" t="s">
        <v>1236</v>
      </c>
      <c r="TBO2148" s="626" t="s">
        <v>1236</v>
      </c>
      <c r="TBP2148" s="626" t="s">
        <v>1236</v>
      </c>
      <c r="TBQ2148" s="626" t="s">
        <v>1236</v>
      </c>
      <c r="TBR2148" s="626" t="s">
        <v>1236</v>
      </c>
      <c r="TBS2148" s="626" t="s">
        <v>1236</v>
      </c>
      <c r="TBT2148" s="626" t="s">
        <v>1236</v>
      </c>
      <c r="TBU2148" s="626" t="s">
        <v>1236</v>
      </c>
      <c r="TBV2148" s="626" t="s">
        <v>1236</v>
      </c>
      <c r="TBW2148" s="626" t="s">
        <v>1236</v>
      </c>
      <c r="TBX2148" s="626" t="s">
        <v>1236</v>
      </c>
      <c r="TBY2148" s="626" t="s">
        <v>1236</v>
      </c>
      <c r="TBZ2148" s="626" t="s">
        <v>1236</v>
      </c>
      <c r="TCA2148" s="626" t="s">
        <v>1236</v>
      </c>
      <c r="TCB2148" s="626" t="s">
        <v>1236</v>
      </c>
      <c r="TCC2148" s="626" t="s">
        <v>1236</v>
      </c>
      <c r="TCD2148" s="626" t="s">
        <v>1236</v>
      </c>
      <c r="TCE2148" s="626" t="s">
        <v>1236</v>
      </c>
      <c r="TCF2148" s="626" t="s">
        <v>1236</v>
      </c>
      <c r="TCG2148" s="626" t="s">
        <v>1236</v>
      </c>
      <c r="TCH2148" s="626" t="s">
        <v>1236</v>
      </c>
      <c r="TCI2148" s="626" t="s">
        <v>1236</v>
      </c>
      <c r="TCJ2148" s="626" t="s">
        <v>1236</v>
      </c>
      <c r="TCK2148" s="626" t="s">
        <v>1236</v>
      </c>
      <c r="TCL2148" s="626" t="s">
        <v>1236</v>
      </c>
      <c r="TCM2148" s="626" t="s">
        <v>1236</v>
      </c>
      <c r="TCN2148" s="626" t="s">
        <v>1236</v>
      </c>
      <c r="TCO2148" s="626" t="s">
        <v>1236</v>
      </c>
      <c r="TCP2148" s="626" t="s">
        <v>1236</v>
      </c>
      <c r="TCQ2148" s="626" t="s">
        <v>1236</v>
      </c>
      <c r="TCR2148" s="626" t="s">
        <v>1236</v>
      </c>
      <c r="TCS2148" s="626" t="s">
        <v>1236</v>
      </c>
      <c r="TCT2148" s="626" t="s">
        <v>1236</v>
      </c>
      <c r="TCU2148" s="626" t="s">
        <v>1236</v>
      </c>
      <c r="TCV2148" s="626" t="s">
        <v>1236</v>
      </c>
      <c r="TCW2148" s="626" t="s">
        <v>1236</v>
      </c>
      <c r="TCX2148" s="626" t="s">
        <v>1236</v>
      </c>
      <c r="TCY2148" s="626" t="s">
        <v>1236</v>
      </c>
      <c r="TCZ2148" s="626" t="s">
        <v>1236</v>
      </c>
      <c r="TDA2148" s="626" t="s">
        <v>1236</v>
      </c>
      <c r="TDB2148" s="626" t="s">
        <v>1236</v>
      </c>
      <c r="TDC2148" s="626" t="s">
        <v>1236</v>
      </c>
      <c r="TDD2148" s="626" t="s">
        <v>1236</v>
      </c>
      <c r="TDE2148" s="626" t="s">
        <v>1236</v>
      </c>
      <c r="TDF2148" s="626" t="s">
        <v>1236</v>
      </c>
      <c r="TDG2148" s="626" t="s">
        <v>1236</v>
      </c>
      <c r="TDH2148" s="626" t="s">
        <v>1236</v>
      </c>
      <c r="TDI2148" s="626" t="s">
        <v>1236</v>
      </c>
      <c r="TDJ2148" s="626" t="s">
        <v>1236</v>
      </c>
      <c r="TDK2148" s="626" t="s">
        <v>1236</v>
      </c>
      <c r="TDL2148" s="626" t="s">
        <v>1236</v>
      </c>
      <c r="TDM2148" s="626" t="s">
        <v>1236</v>
      </c>
      <c r="TDN2148" s="626" t="s">
        <v>1236</v>
      </c>
      <c r="TDO2148" s="626" t="s">
        <v>1236</v>
      </c>
      <c r="TDP2148" s="626" t="s">
        <v>1236</v>
      </c>
      <c r="TDQ2148" s="626" t="s">
        <v>1236</v>
      </c>
      <c r="TDR2148" s="626" t="s">
        <v>1236</v>
      </c>
      <c r="TDS2148" s="626" t="s">
        <v>1236</v>
      </c>
      <c r="TDT2148" s="626" t="s">
        <v>1236</v>
      </c>
      <c r="TDU2148" s="626" t="s">
        <v>1236</v>
      </c>
      <c r="TDV2148" s="626" t="s">
        <v>1236</v>
      </c>
      <c r="TDW2148" s="626" t="s">
        <v>1236</v>
      </c>
      <c r="TDX2148" s="626" t="s">
        <v>1236</v>
      </c>
      <c r="TDY2148" s="626" t="s">
        <v>1236</v>
      </c>
      <c r="TDZ2148" s="626" t="s">
        <v>1236</v>
      </c>
      <c r="TEA2148" s="626" t="s">
        <v>1236</v>
      </c>
      <c r="TEB2148" s="626" t="s">
        <v>1236</v>
      </c>
      <c r="TEC2148" s="626" t="s">
        <v>1236</v>
      </c>
      <c r="TED2148" s="626" t="s">
        <v>1236</v>
      </c>
      <c r="TEE2148" s="626" t="s">
        <v>1236</v>
      </c>
      <c r="TEF2148" s="626" t="s">
        <v>1236</v>
      </c>
      <c r="TEG2148" s="626" t="s">
        <v>1236</v>
      </c>
      <c r="TEH2148" s="626" t="s">
        <v>1236</v>
      </c>
      <c r="TEI2148" s="626" t="s">
        <v>1236</v>
      </c>
      <c r="TEJ2148" s="626" t="s">
        <v>1236</v>
      </c>
      <c r="TEK2148" s="626" t="s">
        <v>1236</v>
      </c>
      <c r="TEL2148" s="626" t="s">
        <v>1236</v>
      </c>
      <c r="TEM2148" s="626" t="s">
        <v>1236</v>
      </c>
      <c r="TEN2148" s="626" t="s">
        <v>1236</v>
      </c>
      <c r="TEO2148" s="626" t="s">
        <v>1236</v>
      </c>
      <c r="TEP2148" s="626" t="s">
        <v>1236</v>
      </c>
      <c r="TEQ2148" s="626" t="s">
        <v>1236</v>
      </c>
      <c r="TER2148" s="626" t="s">
        <v>1236</v>
      </c>
      <c r="TES2148" s="626" t="s">
        <v>1236</v>
      </c>
      <c r="TET2148" s="626" t="s">
        <v>1236</v>
      </c>
      <c r="TEU2148" s="626" t="s">
        <v>1236</v>
      </c>
      <c r="TEV2148" s="626" t="s">
        <v>1236</v>
      </c>
      <c r="TEW2148" s="626" t="s">
        <v>1236</v>
      </c>
      <c r="TEX2148" s="626" t="s">
        <v>1236</v>
      </c>
      <c r="TEY2148" s="626" t="s">
        <v>1236</v>
      </c>
      <c r="TEZ2148" s="626" t="s">
        <v>1236</v>
      </c>
      <c r="TFA2148" s="626" t="s">
        <v>1236</v>
      </c>
      <c r="TFB2148" s="626" t="s">
        <v>1236</v>
      </c>
      <c r="TFC2148" s="626" t="s">
        <v>1236</v>
      </c>
      <c r="TFD2148" s="626" t="s">
        <v>1236</v>
      </c>
      <c r="TFE2148" s="626" t="s">
        <v>1236</v>
      </c>
      <c r="TFF2148" s="626" t="s">
        <v>1236</v>
      </c>
      <c r="TFG2148" s="626" t="s">
        <v>1236</v>
      </c>
      <c r="TFH2148" s="626" t="s">
        <v>1236</v>
      </c>
      <c r="TFI2148" s="626" t="s">
        <v>1236</v>
      </c>
      <c r="TFJ2148" s="626" t="s">
        <v>1236</v>
      </c>
      <c r="TFK2148" s="626" t="s">
        <v>1236</v>
      </c>
      <c r="TFL2148" s="626" t="s">
        <v>1236</v>
      </c>
      <c r="TFM2148" s="626" t="s">
        <v>1236</v>
      </c>
      <c r="TFN2148" s="626" t="s">
        <v>1236</v>
      </c>
      <c r="TFO2148" s="626" t="s">
        <v>1236</v>
      </c>
      <c r="TFP2148" s="626" t="s">
        <v>1236</v>
      </c>
      <c r="TFQ2148" s="626" t="s">
        <v>1236</v>
      </c>
      <c r="TFR2148" s="626" t="s">
        <v>1236</v>
      </c>
      <c r="TFS2148" s="626" t="s">
        <v>1236</v>
      </c>
      <c r="TFT2148" s="626" t="s">
        <v>1236</v>
      </c>
      <c r="TFU2148" s="626" t="s">
        <v>1236</v>
      </c>
      <c r="TFV2148" s="626" t="s">
        <v>1236</v>
      </c>
      <c r="TFW2148" s="626" t="s">
        <v>1236</v>
      </c>
      <c r="TFX2148" s="626" t="s">
        <v>1236</v>
      </c>
      <c r="TFY2148" s="626" t="s">
        <v>1236</v>
      </c>
      <c r="TFZ2148" s="626" t="s">
        <v>1236</v>
      </c>
      <c r="TGA2148" s="626" t="s">
        <v>1236</v>
      </c>
      <c r="TGB2148" s="626" t="s">
        <v>1236</v>
      </c>
      <c r="TGC2148" s="626" t="s">
        <v>1236</v>
      </c>
      <c r="TGD2148" s="626" t="s">
        <v>1236</v>
      </c>
      <c r="TGE2148" s="626" t="s">
        <v>1236</v>
      </c>
      <c r="TGF2148" s="626" t="s">
        <v>1236</v>
      </c>
      <c r="TGG2148" s="626" t="s">
        <v>1236</v>
      </c>
      <c r="TGH2148" s="626" t="s">
        <v>1236</v>
      </c>
      <c r="TGI2148" s="626" t="s">
        <v>1236</v>
      </c>
      <c r="TGJ2148" s="626" t="s">
        <v>1236</v>
      </c>
      <c r="TGK2148" s="626" t="s">
        <v>1236</v>
      </c>
      <c r="TGL2148" s="626" t="s">
        <v>1236</v>
      </c>
      <c r="TGM2148" s="626" t="s">
        <v>1236</v>
      </c>
      <c r="TGN2148" s="626" t="s">
        <v>1236</v>
      </c>
      <c r="TGO2148" s="626" t="s">
        <v>1236</v>
      </c>
      <c r="TGP2148" s="626" t="s">
        <v>1236</v>
      </c>
      <c r="TGQ2148" s="626" t="s">
        <v>1236</v>
      </c>
      <c r="TGR2148" s="626" t="s">
        <v>1236</v>
      </c>
      <c r="TGS2148" s="626" t="s">
        <v>1236</v>
      </c>
      <c r="TGT2148" s="626" t="s">
        <v>1236</v>
      </c>
      <c r="TGU2148" s="626" t="s">
        <v>1236</v>
      </c>
      <c r="TGV2148" s="626" t="s">
        <v>1236</v>
      </c>
      <c r="TGW2148" s="626" t="s">
        <v>1236</v>
      </c>
      <c r="TGX2148" s="626" t="s">
        <v>1236</v>
      </c>
      <c r="TGY2148" s="626" t="s">
        <v>1236</v>
      </c>
      <c r="TGZ2148" s="626" t="s">
        <v>1236</v>
      </c>
      <c r="THA2148" s="626" t="s">
        <v>1236</v>
      </c>
      <c r="THB2148" s="626" t="s">
        <v>1236</v>
      </c>
      <c r="THC2148" s="626" t="s">
        <v>1236</v>
      </c>
      <c r="THD2148" s="626" t="s">
        <v>1236</v>
      </c>
      <c r="THE2148" s="626" t="s">
        <v>1236</v>
      </c>
      <c r="THF2148" s="626" t="s">
        <v>1236</v>
      </c>
      <c r="THG2148" s="626" t="s">
        <v>1236</v>
      </c>
      <c r="THH2148" s="626" t="s">
        <v>1236</v>
      </c>
      <c r="THI2148" s="626" t="s">
        <v>1236</v>
      </c>
      <c r="THJ2148" s="626" t="s">
        <v>1236</v>
      </c>
      <c r="THK2148" s="626" t="s">
        <v>1236</v>
      </c>
      <c r="THL2148" s="626" t="s">
        <v>1236</v>
      </c>
      <c r="THM2148" s="626" t="s">
        <v>1236</v>
      </c>
      <c r="THN2148" s="626" t="s">
        <v>1236</v>
      </c>
      <c r="THO2148" s="626" t="s">
        <v>1236</v>
      </c>
      <c r="THP2148" s="626" t="s">
        <v>1236</v>
      </c>
      <c r="THQ2148" s="626" t="s">
        <v>1236</v>
      </c>
      <c r="THR2148" s="626" t="s">
        <v>1236</v>
      </c>
      <c r="THS2148" s="626" t="s">
        <v>1236</v>
      </c>
      <c r="THT2148" s="626" t="s">
        <v>1236</v>
      </c>
      <c r="THU2148" s="626" t="s">
        <v>1236</v>
      </c>
      <c r="THV2148" s="626" t="s">
        <v>1236</v>
      </c>
      <c r="THW2148" s="626" t="s">
        <v>1236</v>
      </c>
      <c r="THX2148" s="626" t="s">
        <v>1236</v>
      </c>
      <c r="THY2148" s="626" t="s">
        <v>1236</v>
      </c>
      <c r="THZ2148" s="626" t="s">
        <v>1236</v>
      </c>
      <c r="TIA2148" s="626" t="s">
        <v>1236</v>
      </c>
      <c r="TIB2148" s="626" t="s">
        <v>1236</v>
      </c>
      <c r="TIC2148" s="626" t="s">
        <v>1236</v>
      </c>
      <c r="TID2148" s="626" t="s">
        <v>1236</v>
      </c>
      <c r="TIE2148" s="626" t="s">
        <v>1236</v>
      </c>
      <c r="TIF2148" s="626" t="s">
        <v>1236</v>
      </c>
      <c r="TIG2148" s="626" t="s">
        <v>1236</v>
      </c>
      <c r="TIH2148" s="626" t="s">
        <v>1236</v>
      </c>
      <c r="TII2148" s="626" t="s">
        <v>1236</v>
      </c>
      <c r="TIJ2148" s="626" t="s">
        <v>1236</v>
      </c>
      <c r="TIK2148" s="626" t="s">
        <v>1236</v>
      </c>
      <c r="TIL2148" s="626" t="s">
        <v>1236</v>
      </c>
      <c r="TIM2148" s="626" t="s">
        <v>1236</v>
      </c>
      <c r="TIN2148" s="626" t="s">
        <v>1236</v>
      </c>
      <c r="TIO2148" s="626" t="s">
        <v>1236</v>
      </c>
      <c r="TIP2148" s="626" t="s">
        <v>1236</v>
      </c>
      <c r="TIQ2148" s="626" t="s">
        <v>1236</v>
      </c>
      <c r="TIR2148" s="626" t="s">
        <v>1236</v>
      </c>
      <c r="TIS2148" s="626" t="s">
        <v>1236</v>
      </c>
      <c r="TIT2148" s="626" t="s">
        <v>1236</v>
      </c>
      <c r="TIU2148" s="626" t="s">
        <v>1236</v>
      </c>
      <c r="TIV2148" s="626" t="s">
        <v>1236</v>
      </c>
      <c r="TIW2148" s="626" t="s">
        <v>1236</v>
      </c>
      <c r="TIX2148" s="626" t="s">
        <v>1236</v>
      </c>
      <c r="TIY2148" s="626" t="s">
        <v>1236</v>
      </c>
      <c r="TIZ2148" s="626" t="s">
        <v>1236</v>
      </c>
      <c r="TJA2148" s="626" t="s">
        <v>1236</v>
      </c>
      <c r="TJB2148" s="626" t="s">
        <v>1236</v>
      </c>
      <c r="TJC2148" s="626" t="s">
        <v>1236</v>
      </c>
      <c r="TJD2148" s="626" t="s">
        <v>1236</v>
      </c>
      <c r="TJE2148" s="626" t="s">
        <v>1236</v>
      </c>
      <c r="TJF2148" s="626" t="s">
        <v>1236</v>
      </c>
      <c r="TJG2148" s="626" t="s">
        <v>1236</v>
      </c>
      <c r="TJH2148" s="626" t="s">
        <v>1236</v>
      </c>
      <c r="TJI2148" s="626" t="s">
        <v>1236</v>
      </c>
      <c r="TJJ2148" s="626" t="s">
        <v>1236</v>
      </c>
      <c r="TJK2148" s="626" t="s">
        <v>1236</v>
      </c>
      <c r="TJL2148" s="626" t="s">
        <v>1236</v>
      </c>
      <c r="TJM2148" s="626" t="s">
        <v>1236</v>
      </c>
      <c r="TJN2148" s="626" t="s">
        <v>1236</v>
      </c>
      <c r="TJO2148" s="626" t="s">
        <v>1236</v>
      </c>
      <c r="TJP2148" s="626" t="s">
        <v>1236</v>
      </c>
      <c r="TJQ2148" s="626" t="s">
        <v>1236</v>
      </c>
      <c r="TJR2148" s="626" t="s">
        <v>1236</v>
      </c>
      <c r="TJS2148" s="626" t="s">
        <v>1236</v>
      </c>
      <c r="TJT2148" s="626" t="s">
        <v>1236</v>
      </c>
      <c r="TJU2148" s="626" t="s">
        <v>1236</v>
      </c>
      <c r="TJV2148" s="626" t="s">
        <v>1236</v>
      </c>
      <c r="TJW2148" s="626" t="s">
        <v>1236</v>
      </c>
      <c r="TJX2148" s="626" t="s">
        <v>1236</v>
      </c>
      <c r="TJY2148" s="626" t="s">
        <v>1236</v>
      </c>
      <c r="TJZ2148" s="626" t="s">
        <v>1236</v>
      </c>
      <c r="TKA2148" s="626" t="s">
        <v>1236</v>
      </c>
      <c r="TKB2148" s="626" t="s">
        <v>1236</v>
      </c>
      <c r="TKC2148" s="626" t="s">
        <v>1236</v>
      </c>
      <c r="TKD2148" s="626" t="s">
        <v>1236</v>
      </c>
      <c r="TKE2148" s="626" t="s">
        <v>1236</v>
      </c>
      <c r="TKF2148" s="626" t="s">
        <v>1236</v>
      </c>
      <c r="TKG2148" s="626" t="s">
        <v>1236</v>
      </c>
      <c r="TKH2148" s="626" t="s">
        <v>1236</v>
      </c>
      <c r="TKI2148" s="626" t="s">
        <v>1236</v>
      </c>
      <c r="TKJ2148" s="626" t="s">
        <v>1236</v>
      </c>
      <c r="TKK2148" s="626" t="s">
        <v>1236</v>
      </c>
      <c r="TKL2148" s="626" t="s">
        <v>1236</v>
      </c>
      <c r="TKM2148" s="626" t="s">
        <v>1236</v>
      </c>
      <c r="TKN2148" s="626" t="s">
        <v>1236</v>
      </c>
      <c r="TKO2148" s="626" t="s">
        <v>1236</v>
      </c>
      <c r="TKP2148" s="626" t="s">
        <v>1236</v>
      </c>
      <c r="TKQ2148" s="626" t="s">
        <v>1236</v>
      </c>
      <c r="TKR2148" s="626" t="s">
        <v>1236</v>
      </c>
      <c r="TKS2148" s="626" t="s">
        <v>1236</v>
      </c>
      <c r="TKT2148" s="626" t="s">
        <v>1236</v>
      </c>
      <c r="TKU2148" s="626" t="s">
        <v>1236</v>
      </c>
      <c r="TKV2148" s="626" t="s">
        <v>1236</v>
      </c>
      <c r="TKW2148" s="626" t="s">
        <v>1236</v>
      </c>
      <c r="TKX2148" s="626" t="s">
        <v>1236</v>
      </c>
      <c r="TKY2148" s="626" t="s">
        <v>1236</v>
      </c>
      <c r="TKZ2148" s="626" t="s">
        <v>1236</v>
      </c>
      <c r="TLA2148" s="626" t="s">
        <v>1236</v>
      </c>
      <c r="TLB2148" s="626" t="s">
        <v>1236</v>
      </c>
      <c r="TLC2148" s="626" t="s">
        <v>1236</v>
      </c>
      <c r="TLD2148" s="626" t="s">
        <v>1236</v>
      </c>
      <c r="TLE2148" s="626" t="s">
        <v>1236</v>
      </c>
      <c r="TLF2148" s="626" t="s">
        <v>1236</v>
      </c>
      <c r="TLG2148" s="626" t="s">
        <v>1236</v>
      </c>
      <c r="TLH2148" s="626" t="s">
        <v>1236</v>
      </c>
      <c r="TLI2148" s="626" t="s">
        <v>1236</v>
      </c>
      <c r="TLJ2148" s="626" t="s">
        <v>1236</v>
      </c>
      <c r="TLK2148" s="626" t="s">
        <v>1236</v>
      </c>
      <c r="TLL2148" s="626" t="s">
        <v>1236</v>
      </c>
      <c r="TLM2148" s="626" t="s">
        <v>1236</v>
      </c>
      <c r="TLN2148" s="626" t="s">
        <v>1236</v>
      </c>
      <c r="TLO2148" s="626" t="s">
        <v>1236</v>
      </c>
      <c r="TLP2148" s="626" t="s">
        <v>1236</v>
      </c>
      <c r="TLQ2148" s="626" t="s">
        <v>1236</v>
      </c>
      <c r="TLR2148" s="626" t="s">
        <v>1236</v>
      </c>
      <c r="TLS2148" s="626" t="s">
        <v>1236</v>
      </c>
      <c r="TLT2148" s="626" t="s">
        <v>1236</v>
      </c>
      <c r="TLU2148" s="626" t="s">
        <v>1236</v>
      </c>
      <c r="TLV2148" s="626" t="s">
        <v>1236</v>
      </c>
      <c r="TLW2148" s="626" t="s">
        <v>1236</v>
      </c>
      <c r="TLX2148" s="626" t="s">
        <v>1236</v>
      </c>
      <c r="TLY2148" s="626" t="s">
        <v>1236</v>
      </c>
      <c r="TLZ2148" s="626" t="s">
        <v>1236</v>
      </c>
      <c r="TMA2148" s="626" t="s">
        <v>1236</v>
      </c>
      <c r="TMB2148" s="626" t="s">
        <v>1236</v>
      </c>
      <c r="TMC2148" s="626" t="s">
        <v>1236</v>
      </c>
      <c r="TMD2148" s="626" t="s">
        <v>1236</v>
      </c>
      <c r="TME2148" s="626" t="s">
        <v>1236</v>
      </c>
      <c r="TMF2148" s="626" t="s">
        <v>1236</v>
      </c>
      <c r="TMG2148" s="626" t="s">
        <v>1236</v>
      </c>
      <c r="TMH2148" s="626" t="s">
        <v>1236</v>
      </c>
      <c r="TMI2148" s="626" t="s">
        <v>1236</v>
      </c>
      <c r="TMJ2148" s="626" t="s">
        <v>1236</v>
      </c>
      <c r="TMK2148" s="626" t="s">
        <v>1236</v>
      </c>
      <c r="TML2148" s="626" t="s">
        <v>1236</v>
      </c>
      <c r="TMM2148" s="626" t="s">
        <v>1236</v>
      </c>
      <c r="TMN2148" s="626" t="s">
        <v>1236</v>
      </c>
      <c r="TMO2148" s="626" t="s">
        <v>1236</v>
      </c>
      <c r="TMP2148" s="626" t="s">
        <v>1236</v>
      </c>
      <c r="TMQ2148" s="626" t="s">
        <v>1236</v>
      </c>
      <c r="TMR2148" s="626" t="s">
        <v>1236</v>
      </c>
      <c r="TMS2148" s="626" t="s">
        <v>1236</v>
      </c>
      <c r="TMT2148" s="626" t="s">
        <v>1236</v>
      </c>
      <c r="TMU2148" s="626" t="s">
        <v>1236</v>
      </c>
      <c r="TMV2148" s="626" t="s">
        <v>1236</v>
      </c>
      <c r="TMW2148" s="626" t="s">
        <v>1236</v>
      </c>
      <c r="TMX2148" s="626" t="s">
        <v>1236</v>
      </c>
      <c r="TMY2148" s="626" t="s">
        <v>1236</v>
      </c>
      <c r="TMZ2148" s="626" t="s">
        <v>1236</v>
      </c>
      <c r="TNA2148" s="626" t="s">
        <v>1236</v>
      </c>
      <c r="TNB2148" s="626" t="s">
        <v>1236</v>
      </c>
      <c r="TNC2148" s="626" t="s">
        <v>1236</v>
      </c>
      <c r="TND2148" s="626" t="s">
        <v>1236</v>
      </c>
      <c r="TNE2148" s="626" t="s">
        <v>1236</v>
      </c>
      <c r="TNF2148" s="626" t="s">
        <v>1236</v>
      </c>
      <c r="TNG2148" s="626" t="s">
        <v>1236</v>
      </c>
      <c r="TNH2148" s="626" t="s">
        <v>1236</v>
      </c>
      <c r="TNI2148" s="626" t="s">
        <v>1236</v>
      </c>
      <c r="TNJ2148" s="626" t="s">
        <v>1236</v>
      </c>
      <c r="TNK2148" s="626" t="s">
        <v>1236</v>
      </c>
      <c r="TNL2148" s="626" t="s">
        <v>1236</v>
      </c>
      <c r="TNM2148" s="626" t="s">
        <v>1236</v>
      </c>
      <c r="TNN2148" s="626" t="s">
        <v>1236</v>
      </c>
      <c r="TNO2148" s="626" t="s">
        <v>1236</v>
      </c>
      <c r="TNP2148" s="626" t="s">
        <v>1236</v>
      </c>
      <c r="TNQ2148" s="626" t="s">
        <v>1236</v>
      </c>
      <c r="TNR2148" s="626" t="s">
        <v>1236</v>
      </c>
      <c r="TNS2148" s="626" t="s">
        <v>1236</v>
      </c>
      <c r="TNT2148" s="626" t="s">
        <v>1236</v>
      </c>
      <c r="TNU2148" s="626" t="s">
        <v>1236</v>
      </c>
      <c r="TNV2148" s="626" t="s">
        <v>1236</v>
      </c>
      <c r="TNW2148" s="626" t="s">
        <v>1236</v>
      </c>
      <c r="TNX2148" s="626" t="s">
        <v>1236</v>
      </c>
      <c r="TNY2148" s="626" t="s">
        <v>1236</v>
      </c>
      <c r="TNZ2148" s="626" t="s">
        <v>1236</v>
      </c>
      <c r="TOA2148" s="626" t="s">
        <v>1236</v>
      </c>
      <c r="TOB2148" s="626" t="s">
        <v>1236</v>
      </c>
      <c r="TOC2148" s="626" t="s">
        <v>1236</v>
      </c>
      <c r="TOD2148" s="626" t="s">
        <v>1236</v>
      </c>
      <c r="TOE2148" s="626" t="s">
        <v>1236</v>
      </c>
      <c r="TOF2148" s="626" t="s">
        <v>1236</v>
      </c>
      <c r="TOG2148" s="626" t="s">
        <v>1236</v>
      </c>
      <c r="TOH2148" s="626" t="s">
        <v>1236</v>
      </c>
      <c r="TOI2148" s="626" t="s">
        <v>1236</v>
      </c>
      <c r="TOJ2148" s="626" t="s">
        <v>1236</v>
      </c>
      <c r="TOK2148" s="626" t="s">
        <v>1236</v>
      </c>
      <c r="TOL2148" s="626" t="s">
        <v>1236</v>
      </c>
      <c r="TOM2148" s="626" t="s">
        <v>1236</v>
      </c>
      <c r="TON2148" s="626" t="s">
        <v>1236</v>
      </c>
      <c r="TOO2148" s="626" t="s">
        <v>1236</v>
      </c>
      <c r="TOP2148" s="626" t="s">
        <v>1236</v>
      </c>
      <c r="TOQ2148" s="626" t="s">
        <v>1236</v>
      </c>
      <c r="TOR2148" s="626" t="s">
        <v>1236</v>
      </c>
      <c r="TOS2148" s="626" t="s">
        <v>1236</v>
      </c>
      <c r="TOT2148" s="626" t="s">
        <v>1236</v>
      </c>
      <c r="TOU2148" s="626" t="s">
        <v>1236</v>
      </c>
      <c r="TOV2148" s="626" t="s">
        <v>1236</v>
      </c>
      <c r="TOW2148" s="626" t="s">
        <v>1236</v>
      </c>
      <c r="TOX2148" s="626" t="s">
        <v>1236</v>
      </c>
      <c r="TOY2148" s="626" t="s">
        <v>1236</v>
      </c>
      <c r="TOZ2148" s="626" t="s">
        <v>1236</v>
      </c>
      <c r="TPA2148" s="626" t="s">
        <v>1236</v>
      </c>
      <c r="TPB2148" s="626" t="s">
        <v>1236</v>
      </c>
      <c r="TPC2148" s="626" t="s">
        <v>1236</v>
      </c>
      <c r="TPD2148" s="626" t="s">
        <v>1236</v>
      </c>
      <c r="TPE2148" s="626" t="s">
        <v>1236</v>
      </c>
      <c r="TPF2148" s="626" t="s">
        <v>1236</v>
      </c>
      <c r="TPG2148" s="626" t="s">
        <v>1236</v>
      </c>
      <c r="TPH2148" s="626" t="s">
        <v>1236</v>
      </c>
      <c r="TPI2148" s="626" t="s">
        <v>1236</v>
      </c>
      <c r="TPJ2148" s="626" t="s">
        <v>1236</v>
      </c>
      <c r="TPK2148" s="626" t="s">
        <v>1236</v>
      </c>
      <c r="TPL2148" s="626" t="s">
        <v>1236</v>
      </c>
      <c r="TPM2148" s="626" t="s">
        <v>1236</v>
      </c>
      <c r="TPN2148" s="626" t="s">
        <v>1236</v>
      </c>
      <c r="TPO2148" s="626" t="s">
        <v>1236</v>
      </c>
      <c r="TPP2148" s="626" t="s">
        <v>1236</v>
      </c>
      <c r="TPQ2148" s="626" t="s">
        <v>1236</v>
      </c>
      <c r="TPR2148" s="626" t="s">
        <v>1236</v>
      </c>
      <c r="TPS2148" s="626" t="s">
        <v>1236</v>
      </c>
      <c r="TPT2148" s="626" t="s">
        <v>1236</v>
      </c>
      <c r="TPU2148" s="626" t="s">
        <v>1236</v>
      </c>
      <c r="TPV2148" s="626" t="s">
        <v>1236</v>
      </c>
      <c r="TPW2148" s="626" t="s">
        <v>1236</v>
      </c>
      <c r="TPX2148" s="626" t="s">
        <v>1236</v>
      </c>
      <c r="TPY2148" s="626" t="s">
        <v>1236</v>
      </c>
      <c r="TPZ2148" s="626" t="s">
        <v>1236</v>
      </c>
      <c r="TQA2148" s="626" t="s">
        <v>1236</v>
      </c>
      <c r="TQB2148" s="626" t="s">
        <v>1236</v>
      </c>
      <c r="TQC2148" s="626" t="s">
        <v>1236</v>
      </c>
      <c r="TQD2148" s="626" t="s">
        <v>1236</v>
      </c>
      <c r="TQE2148" s="626" t="s">
        <v>1236</v>
      </c>
      <c r="TQF2148" s="626" t="s">
        <v>1236</v>
      </c>
      <c r="TQG2148" s="626" t="s">
        <v>1236</v>
      </c>
      <c r="TQH2148" s="626" t="s">
        <v>1236</v>
      </c>
      <c r="TQI2148" s="626" t="s">
        <v>1236</v>
      </c>
      <c r="TQJ2148" s="626" t="s">
        <v>1236</v>
      </c>
      <c r="TQK2148" s="626" t="s">
        <v>1236</v>
      </c>
      <c r="TQL2148" s="626" t="s">
        <v>1236</v>
      </c>
      <c r="TQM2148" s="626" t="s">
        <v>1236</v>
      </c>
      <c r="TQN2148" s="626" t="s">
        <v>1236</v>
      </c>
      <c r="TQO2148" s="626" t="s">
        <v>1236</v>
      </c>
      <c r="TQP2148" s="626" t="s">
        <v>1236</v>
      </c>
      <c r="TQQ2148" s="626" t="s">
        <v>1236</v>
      </c>
      <c r="TQR2148" s="626" t="s">
        <v>1236</v>
      </c>
      <c r="TQS2148" s="626" t="s">
        <v>1236</v>
      </c>
      <c r="TQT2148" s="626" t="s">
        <v>1236</v>
      </c>
      <c r="TQU2148" s="626" t="s">
        <v>1236</v>
      </c>
      <c r="TQV2148" s="626" t="s">
        <v>1236</v>
      </c>
      <c r="TQW2148" s="626" t="s">
        <v>1236</v>
      </c>
      <c r="TQX2148" s="626" t="s">
        <v>1236</v>
      </c>
      <c r="TQY2148" s="626" t="s">
        <v>1236</v>
      </c>
      <c r="TQZ2148" s="626" t="s">
        <v>1236</v>
      </c>
      <c r="TRA2148" s="626" t="s">
        <v>1236</v>
      </c>
      <c r="TRB2148" s="626" t="s">
        <v>1236</v>
      </c>
      <c r="TRC2148" s="626" t="s">
        <v>1236</v>
      </c>
      <c r="TRD2148" s="626" t="s">
        <v>1236</v>
      </c>
      <c r="TRE2148" s="626" t="s">
        <v>1236</v>
      </c>
      <c r="TRF2148" s="626" t="s">
        <v>1236</v>
      </c>
      <c r="TRG2148" s="626" t="s">
        <v>1236</v>
      </c>
      <c r="TRH2148" s="626" t="s">
        <v>1236</v>
      </c>
      <c r="TRI2148" s="626" t="s">
        <v>1236</v>
      </c>
      <c r="TRJ2148" s="626" t="s">
        <v>1236</v>
      </c>
      <c r="TRK2148" s="626" t="s">
        <v>1236</v>
      </c>
      <c r="TRL2148" s="626" t="s">
        <v>1236</v>
      </c>
      <c r="TRM2148" s="626" t="s">
        <v>1236</v>
      </c>
      <c r="TRN2148" s="626" t="s">
        <v>1236</v>
      </c>
      <c r="TRO2148" s="626" t="s">
        <v>1236</v>
      </c>
      <c r="TRP2148" s="626" t="s">
        <v>1236</v>
      </c>
      <c r="TRQ2148" s="626" t="s">
        <v>1236</v>
      </c>
      <c r="TRR2148" s="626" t="s">
        <v>1236</v>
      </c>
      <c r="TRS2148" s="626" t="s">
        <v>1236</v>
      </c>
      <c r="TRT2148" s="626" t="s">
        <v>1236</v>
      </c>
      <c r="TRU2148" s="626" t="s">
        <v>1236</v>
      </c>
      <c r="TRV2148" s="626" t="s">
        <v>1236</v>
      </c>
      <c r="TRW2148" s="626" t="s">
        <v>1236</v>
      </c>
      <c r="TRX2148" s="626" t="s">
        <v>1236</v>
      </c>
      <c r="TRY2148" s="626" t="s">
        <v>1236</v>
      </c>
      <c r="TRZ2148" s="626" t="s">
        <v>1236</v>
      </c>
      <c r="TSA2148" s="626" t="s">
        <v>1236</v>
      </c>
      <c r="TSB2148" s="626" t="s">
        <v>1236</v>
      </c>
      <c r="TSC2148" s="626" t="s">
        <v>1236</v>
      </c>
      <c r="TSD2148" s="626" t="s">
        <v>1236</v>
      </c>
      <c r="TSE2148" s="626" t="s">
        <v>1236</v>
      </c>
      <c r="TSF2148" s="626" t="s">
        <v>1236</v>
      </c>
      <c r="TSG2148" s="626" t="s">
        <v>1236</v>
      </c>
      <c r="TSH2148" s="626" t="s">
        <v>1236</v>
      </c>
      <c r="TSI2148" s="626" t="s">
        <v>1236</v>
      </c>
      <c r="TSJ2148" s="626" t="s">
        <v>1236</v>
      </c>
      <c r="TSK2148" s="626" t="s">
        <v>1236</v>
      </c>
      <c r="TSL2148" s="626" t="s">
        <v>1236</v>
      </c>
      <c r="TSM2148" s="626" t="s">
        <v>1236</v>
      </c>
      <c r="TSN2148" s="626" t="s">
        <v>1236</v>
      </c>
      <c r="TSO2148" s="626" t="s">
        <v>1236</v>
      </c>
      <c r="TSP2148" s="626" t="s">
        <v>1236</v>
      </c>
      <c r="TSQ2148" s="626" t="s">
        <v>1236</v>
      </c>
      <c r="TSR2148" s="626" t="s">
        <v>1236</v>
      </c>
      <c r="TSS2148" s="626" t="s">
        <v>1236</v>
      </c>
      <c r="TST2148" s="626" t="s">
        <v>1236</v>
      </c>
      <c r="TSU2148" s="626" t="s">
        <v>1236</v>
      </c>
      <c r="TSV2148" s="626" t="s">
        <v>1236</v>
      </c>
      <c r="TSW2148" s="626" t="s">
        <v>1236</v>
      </c>
      <c r="TSX2148" s="626" t="s">
        <v>1236</v>
      </c>
      <c r="TSY2148" s="626" t="s">
        <v>1236</v>
      </c>
      <c r="TSZ2148" s="626" t="s">
        <v>1236</v>
      </c>
      <c r="TTA2148" s="626" t="s">
        <v>1236</v>
      </c>
      <c r="TTB2148" s="626" t="s">
        <v>1236</v>
      </c>
      <c r="TTC2148" s="626" t="s">
        <v>1236</v>
      </c>
      <c r="TTD2148" s="626" t="s">
        <v>1236</v>
      </c>
      <c r="TTE2148" s="626" t="s">
        <v>1236</v>
      </c>
      <c r="TTF2148" s="626" t="s">
        <v>1236</v>
      </c>
      <c r="TTG2148" s="626" t="s">
        <v>1236</v>
      </c>
      <c r="TTH2148" s="626" t="s">
        <v>1236</v>
      </c>
      <c r="TTI2148" s="626" t="s">
        <v>1236</v>
      </c>
      <c r="TTJ2148" s="626" t="s">
        <v>1236</v>
      </c>
      <c r="TTK2148" s="626" t="s">
        <v>1236</v>
      </c>
      <c r="TTL2148" s="626" t="s">
        <v>1236</v>
      </c>
      <c r="TTM2148" s="626" t="s">
        <v>1236</v>
      </c>
      <c r="TTN2148" s="626" t="s">
        <v>1236</v>
      </c>
      <c r="TTO2148" s="626" t="s">
        <v>1236</v>
      </c>
      <c r="TTP2148" s="626" t="s">
        <v>1236</v>
      </c>
      <c r="TTQ2148" s="626" t="s">
        <v>1236</v>
      </c>
      <c r="TTR2148" s="626" t="s">
        <v>1236</v>
      </c>
      <c r="TTS2148" s="626" t="s">
        <v>1236</v>
      </c>
      <c r="TTT2148" s="626" t="s">
        <v>1236</v>
      </c>
      <c r="TTU2148" s="626" t="s">
        <v>1236</v>
      </c>
      <c r="TTV2148" s="626" t="s">
        <v>1236</v>
      </c>
      <c r="TTW2148" s="626" t="s">
        <v>1236</v>
      </c>
      <c r="TTX2148" s="626" t="s">
        <v>1236</v>
      </c>
      <c r="TTY2148" s="626" t="s">
        <v>1236</v>
      </c>
      <c r="TTZ2148" s="626" t="s">
        <v>1236</v>
      </c>
      <c r="TUA2148" s="626" t="s">
        <v>1236</v>
      </c>
      <c r="TUB2148" s="626" t="s">
        <v>1236</v>
      </c>
      <c r="TUC2148" s="626" t="s">
        <v>1236</v>
      </c>
      <c r="TUD2148" s="626" t="s">
        <v>1236</v>
      </c>
      <c r="TUE2148" s="626" t="s">
        <v>1236</v>
      </c>
      <c r="TUF2148" s="626" t="s">
        <v>1236</v>
      </c>
      <c r="TUG2148" s="626" t="s">
        <v>1236</v>
      </c>
      <c r="TUH2148" s="626" t="s">
        <v>1236</v>
      </c>
      <c r="TUI2148" s="626" t="s">
        <v>1236</v>
      </c>
      <c r="TUJ2148" s="626" t="s">
        <v>1236</v>
      </c>
      <c r="TUK2148" s="626" t="s">
        <v>1236</v>
      </c>
      <c r="TUL2148" s="626" t="s">
        <v>1236</v>
      </c>
      <c r="TUM2148" s="626" t="s">
        <v>1236</v>
      </c>
      <c r="TUN2148" s="626" t="s">
        <v>1236</v>
      </c>
      <c r="TUO2148" s="626" t="s">
        <v>1236</v>
      </c>
      <c r="TUP2148" s="626" t="s">
        <v>1236</v>
      </c>
      <c r="TUQ2148" s="626" t="s">
        <v>1236</v>
      </c>
      <c r="TUR2148" s="626" t="s">
        <v>1236</v>
      </c>
      <c r="TUS2148" s="626" t="s">
        <v>1236</v>
      </c>
      <c r="TUT2148" s="626" t="s">
        <v>1236</v>
      </c>
      <c r="TUU2148" s="626" t="s">
        <v>1236</v>
      </c>
      <c r="TUV2148" s="626" t="s">
        <v>1236</v>
      </c>
      <c r="TUW2148" s="626" t="s">
        <v>1236</v>
      </c>
      <c r="TUX2148" s="626" t="s">
        <v>1236</v>
      </c>
      <c r="TUY2148" s="626" t="s">
        <v>1236</v>
      </c>
      <c r="TUZ2148" s="626" t="s">
        <v>1236</v>
      </c>
      <c r="TVA2148" s="626" t="s">
        <v>1236</v>
      </c>
      <c r="TVB2148" s="626" t="s">
        <v>1236</v>
      </c>
      <c r="TVC2148" s="626" t="s">
        <v>1236</v>
      </c>
      <c r="TVD2148" s="626" t="s">
        <v>1236</v>
      </c>
      <c r="TVE2148" s="626" t="s">
        <v>1236</v>
      </c>
      <c r="TVF2148" s="626" t="s">
        <v>1236</v>
      </c>
      <c r="TVG2148" s="626" t="s">
        <v>1236</v>
      </c>
      <c r="TVH2148" s="626" t="s">
        <v>1236</v>
      </c>
      <c r="TVI2148" s="626" t="s">
        <v>1236</v>
      </c>
      <c r="TVJ2148" s="626" t="s">
        <v>1236</v>
      </c>
      <c r="TVK2148" s="626" t="s">
        <v>1236</v>
      </c>
      <c r="TVL2148" s="626" t="s">
        <v>1236</v>
      </c>
      <c r="TVM2148" s="626" t="s">
        <v>1236</v>
      </c>
      <c r="TVN2148" s="626" t="s">
        <v>1236</v>
      </c>
      <c r="TVO2148" s="626" t="s">
        <v>1236</v>
      </c>
      <c r="TVP2148" s="626" t="s">
        <v>1236</v>
      </c>
      <c r="TVQ2148" s="626" t="s">
        <v>1236</v>
      </c>
      <c r="TVR2148" s="626" t="s">
        <v>1236</v>
      </c>
      <c r="TVS2148" s="626" t="s">
        <v>1236</v>
      </c>
      <c r="TVT2148" s="626" t="s">
        <v>1236</v>
      </c>
      <c r="TVU2148" s="626" t="s">
        <v>1236</v>
      </c>
      <c r="TVV2148" s="626" t="s">
        <v>1236</v>
      </c>
      <c r="TVW2148" s="626" t="s">
        <v>1236</v>
      </c>
      <c r="TVX2148" s="626" t="s">
        <v>1236</v>
      </c>
      <c r="TVY2148" s="626" t="s">
        <v>1236</v>
      </c>
      <c r="TVZ2148" s="626" t="s">
        <v>1236</v>
      </c>
      <c r="TWA2148" s="626" t="s">
        <v>1236</v>
      </c>
      <c r="TWB2148" s="626" t="s">
        <v>1236</v>
      </c>
      <c r="TWC2148" s="626" t="s">
        <v>1236</v>
      </c>
      <c r="TWD2148" s="626" t="s">
        <v>1236</v>
      </c>
      <c r="TWE2148" s="626" t="s">
        <v>1236</v>
      </c>
      <c r="TWF2148" s="626" t="s">
        <v>1236</v>
      </c>
      <c r="TWG2148" s="626" t="s">
        <v>1236</v>
      </c>
      <c r="TWH2148" s="626" t="s">
        <v>1236</v>
      </c>
      <c r="TWI2148" s="626" t="s">
        <v>1236</v>
      </c>
      <c r="TWJ2148" s="626" t="s">
        <v>1236</v>
      </c>
      <c r="TWK2148" s="626" t="s">
        <v>1236</v>
      </c>
      <c r="TWL2148" s="626" t="s">
        <v>1236</v>
      </c>
      <c r="TWM2148" s="626" t="s">
        <v>1236</v>
      </c>
      <c r="TWN2148" s="626" t="s">
        <v>1236</v>
      </c>
      <c r="TWO2148" s="626" t="s">
        <v>1236</v>
      </c>
      <c r="TWP2148" s="626" t="s">
        <v>1236</v>
      </c>
      <c r="TWQ2148" s="626" t="s">
        <v>1236</v>
      </c>
      <c r="TWR2148" s="626" t="s">
        <v>1236</v>
      </c>
      <c r="TWS2148" s="626" t="s">
        <v>1236</v>
      </c>
      <c r="TWT2148" s="626" t="s">
        <v>1236</v>
      </c>
      <c r="TWU2148" s="626" t="s">
        <v>1236</v>
      </c>
      <c r="TWV2148" s="626" t="s">
        <v>1236</v>
      </c>
      <c r="TWW2148" s="626" t="s">
        <v>1236</v>
      </c>
      <c r="TWX2148" s="626" t="s">
        <v>1236</v>
      </c>
      <c r="TWY2148" s="626" t="s">
        <v>1236</v>
      </c>
      <c r="TWZ2148" s="626" t="s">
        <v>1236</v>
      </c>
      <c r="TXA2148" s="626" t="s">
        <v>1236</v>
      </c>
      <c r="TXB2148" s="626" t="s">
        <v>1236</v>
      </c>
      <c r="TXC2148" s="626" t="s">
        <v>1236</v>
      </c>
      <c r="TXD2148" s="626" t="s">
        <v>1236</v>
      </c>
      <c r="TXE2148" s="626" t="s">
        <v>1236</v>
      </c>
      <c r="TXF2148" s="626" t="s">
        <v>1236</v>
      </c>
      <c r="TXG2148" s="626" t="s">
        <v>1236</v>
      </c>
      <c r="TXH2148" s="626" t="s">
        <v>1236</v>
      </c>
      <c r="TXI2148" s="626" t="s">
        <v>1236</v>
      </c>
      <c r="TXJ2148" s="626" t="s">
        <v>1236</v>
      </c>
      <c r="TXK2148" s="626" t="s">
        <v>1236</v>
      </c>
      <c r="TXL2148" s="626" t="s">
        <v>1236</v>
      </c>
      <c r="TXM2148" s="626" t="s">
        <v>1236</v>
      </c>
      <c r="TXN2148" s="626" t="s">
        <v>1236</v>
      </c>
      <c r="TXO2148" s="626" t="s">
        <v>1236</v>
      </c>
      <c r="TXP2148" s="626" t="s">
        <v>1236</v>
      </c>
      <c r="TXQ2148" s="626" t="s">
        <v>1236</v>
      </c>
      <c r="TXR2148" s="626" t="s">
        <v>1236</v>
      </c>
      <c r="TXS2148" s="626" t="s">
        <v>1236</v>
      </c>
      <c r="TXT2148" s="626" t="s">
        <v>1236</v>
      </c>
      <c r="TXU2148" s="626" t="s">
        <v>1236</v>
      </c>
      <c r="TXV2148" s="626" t="s">
        <v>1236</v>
      </c>
      <c r="TXW2148" s="626" t="s">
        <v>1236</v>
      </c>
      <c r="TXX2148" s="626" t="s">
        <v>1236</v>
      </c>
      <c r="TXY2148" s="626" t="s">
        <v>1236</v>
      </c>
      <c r="TXZ2148" s="626" t="s">
        <v>1236</v>
      </c>
      <c r="TYA2148" s="626" t="s">
        <v>1236</v>
      </c>
      <c r="TYB2148" s="626" t="s">
        <v>1236</v>
      </c>
      <c r="TYC2148" s="626" t="s">
        <v>1236</v>
      </c>
      <c r="TYD2148" s="626" t="s">
        <v>1236</v>
      </c>
      <c r="TYE2148" s="626" t="s">
        <v>1236</v>
      </c>
      <c r="TYF2148" s="626" t="s">
        <v>1236</v>
      </c>
      <c r="TYG2148" s="626" t="s">
        <v>1236</v>
      </c>
      <c r="TYH2148" s="626" t="s">
        <v>1236</v>
      </c>
      <c r="TYI2148" s="626" t="s">
        <v>1236</v>
      </c>
      <c r="TYJ2148" s="626" t="s">
        <v>1236</v>
      </c>
      <c r="TYK2148" s="626" t="s">
        <v>1236</v>
      </c>
      <c r="TYL2148" s="626" t="s">
        <v>1236</v>
      </c>
      <c r="TYM2148" s="626" t="s">
        <v>1236</v>
      </c>
      <c r="TYN2148" s="626" t="s">
        <v>1236</v>
      </c>
      <c r="TYO2148" s="626" t="s">
        <v>1236</v>
      </c>
      <c r="TYP2148" s="626" t="s">
        <v>1236</v>
      </c>
      <c r="TYQ2148" s="626" t="s">
        <v>1236</v>
      </c>
      <c r="TYR2148" s="626" t="s">
        <v>1236</v>
      </c>
      <c r="TYS2148" s="626" t="s">
        <v>1236</v>
      </c>
      <c r="TYT2148" s="626" t="s">
        <v>1236</v>
      </c>
      <c r="TYU2148" s="626" t="s">
        <v>1236</v>
      </c>
      <c r="TYV2148" s="626" t="s">
        <v>1236</v>
      </c>
      <c r="TYW2148" s="626" t="s">
        <v>1236</v>
      </c>
      <c r="TYX2148" s="626" t="s">
        <v>1236</v>
      </c>
      <c r="TYY2148" s="626" t="s">
        <v>1236</v>
      </c>
      <c r="TYZ2148" s="626" t="s">
        <v>1236</v>
      </c>
      <c r="TZA2148" s="626" t="s">
        <v>1236</v>
      </c>
      <c r="TZB2148" s="626" t="s">
        <v>1236</v>
      </c>
      <c r="TZC2148" s="626" t="s">
        <v>1236</v>
      </c>
      <c r="TZD2148" s="626" t="s">
        <v>1236</v>
      </c>
      <c r="TZE2148" s="626" t="s">
        <v>1236</v>
      </c>
      <c r="TZF2148" s="626" t="s">
        <v>1236</v>
      </c>
      <c r="TZG2148" s="626" t="s">
        <v>1236</v>
      </c>
      <c r="TZH2148" s="626" t="s">
        <v>1236</v>
      </c>
      <c r="TZI2148" s="626" t="s">
        <v>1236</v>
      </c>
      <c r="TZJ2148" s="626" t="s">
        <v>1236</v>
      </c>
      <c r="TZK2148" s="626" t="s">
        <v>1236</v>
      </c>
      <c r="TZL2148" s="626" t="s">
        <v>1236</v>
      </c>
      <c r="TZM2148" s="626" t="s">
        <v>1236</v>
      </c>
      <c r="TZN2148" s="626" t="s">
        <v>1236</v>
      </c>
      <c r="TZO2148" s="626" t="s">
        <v>1236</v>
      </c>
      <c r="TZP2148" s="626" t="s">
        <v>1236</v>
      </c>
      <c r="TZQ2148" s="626" t="s">
        <v>1236</v>
      </c>
      <c r="TZR2148" s="626" t="s">
        <v>1236</v>
      </c>
      <c r="TZS2148" s="626" t="s">
        <v>1236</v>
      </c>
      <c r="TZT2148" s="626" t="s">
        <v>1236</v>
      </c>
      <c r="TZU2148" s="626" t="s">
        <v>1236</v>
      </c>
      <c r="TZV2148" s="626" t="s">
        <v>1236</v>
      </c>
      <c r="TZW2148" s="626" t="s">
        <v>1236</v>
      </c>
      <c r="TZX2148" s="626" t="s">
        <v>1236</v>
      </c>
      <c r="TZY2148" s="626" t="s">
        <v>1236</v>
      </c>
      <c r="TZZ2148" s="626" t="s">
        <v>1236</v>
      </c>
      <c r="UAA2148" s="626" t="s">
        <v>1236</v>
      </c>
      <c r="UAB2148" s="626" t="s">
        <v>1236</v>
      </c>
      <c r="UAC2148" s="626" t="s">
        <v>1236</v>
      </c>
      <c r="UAD2148" s="626" t="s">
        <v>1236</v>
      </c>
      <c r="UAE2148" s="626" t="s">
        <v>1236</v>
      </c>
      <c r="UAF2148" s="626" t="s">
        <v>1236</v>
      </c>
      <c r="UAG2148" s="626" t="s">
        <v>1236</v>
      </c>
      <c r="UAH2148" s="626" t="s">
        <v>1236</v>
      </c>
      <c r="UAI2148" s="626" t="s">
        <v>1236</v>
      </c>
      <c r="UAJ2148" s="626" t="s">
        <v>1236</v>
      </c>
      <c r="UAK2148" s="626" t="s">
        <v>1236</v>
      </c>
      <c r="UAL2148" s="626" t="s">
        <v>1236</v>
      </c>
      <c r="UAM2148" s="626" t="s">
        <v>1236</v>
      </c>
      <c r="UAN2148" s="626" t="s">
        <v>1236</v>
      </c>
      <c r="UAO2148" s="626" t="s">
        <v>1236</v>
      </c>
      <c r="UAP2148" s="626" t="s">
        <v>1236</v>
      </c>
      <c r="UAQ2148" s="626" t="s">
        <v>1236</v>
      </c>
      <c r="UAR2148" s="626" t="s">
        <v>1236</v>
      </c>
      <c r="UAS2148" s="626" t="s">
        <v>1236</v>
      </c>
      <c r="UAT2148" s="626" t="s">
        <v>1236</v>
      </c>
      <c r="UAU2148" s="626" t="s">
        <v>1236</v>
      </c>
      <c r="UAV2148" s="626" t="s">
        <v>1236</v>
      </c>
      <c r="UAW2148" s="626" t="s">
        <v>1236</v>
      </c>
      <c r="UAX2148" s="626" t="s">
        <v>1236</v>
      </c>
      <c r="UAY2148" s="626" t="s">
        <v>1236</v>
      </c>
      <c r="UAZ2148" s="626" t="s">
        <v>1236</v>
      </c>
      <c r="UBA2148" s="626" t="s">
        <v>1236</v>
      </c>
      <c r="UBB2148" s="626" t="s">
        <v>1236</v>
      </c>
      <c r="UBC2148" s="626" t="s">
        <v>1236</v>
      </c>
      <c r="UBD2148" s="626" t="s">
        <v>1236</v>
      </c>
      <c r="UBE2148" s="626" t="s">
        <v>1236</v>
      </c>
      <c r="UBF2148" s="626" t="s">
        <v>1236</v>
      </c>
      <c r="UBG2148" s="626" t="s">
        <v>1236</v>
      </c>
      <c r="UBH2148" s="626" t="s">
        <v>1236</v>
      </c>
      <c r="UBI2148" s="626" t="s">
        <v>1236</v>
      </c>
      <c r="UBJ2148" s="626" t="s">
        <v>1236</v>
      </c>
      <c r="UBK2148" s="626" t="s">
        <v>1236</v>
      </c>
      <c r="UBL2148" s="626" t="s">
        <v>1236</v>
      </c>
      <c r="UBM2148" s="626" t="s">
        <v>1236</v>
      </c>
      <c r="UBN2148" s="626" t="s">
        <v>1236</v>
      </c>
      <c r="UBO2148" s="626" t="s">
        <v>1236</v>
      </c>
      <c r="UBP2148" s="626" t="s">
        <v>1236</v>
      </c>
      <c r="UBQ2148" s="626" t="s">
        <v>1236</v>
      </c>
      <c r="UBR2148" s="626" t="s">
        <v>1236</v>
      </c>
      <c r="UBS2148" s="626" t="s">
        <v>1236</v>
      </c>
      <c r="UBT2148" s="626" t="s">
        <v>1236</v>
      </c>
      <c r="UBU2148" s="626" t="s">
        <v>1236</v>
      </c>
      <c r="UBV2148" s="626" t="s">
        <v>1236</v>
      </c>
      <c r="UBW2148" s="626" t="s">
        <v>1236</v>
      </c>
      <c r="UBX2148" s="626" t="s">
        <v>1236</v>
      </c>
      <c r="UBY2148" s="626" t="s">
        <v>1236</v>
      </c>
      <c r="UBZ2148" s="626" t="s">
        <v>1236</v>
      </c>
      <c r="UCA2148" s="626" t="s">
        <v>1236</v>
      </c>
      <c r="UCB2148" s="626" t="s">
        <v>1236</v>
      </c>
      <c r="UCC2148" s="626" t="s">
        <v>1236</v>
      </c>
      <c r="UCD2148" s="626" t="s">
        <v>1236</v>
      </c>
      <c r="UCE2148" s="626" t="s">
        <v>1236</v>
      </c>
      <c r="UCF2148" s="626" t="s">
        <v>1236</v>
      </c>
      <c r="UCG2148" s="626" t="s">
        <v>1236</v>
      </c>
      <c r="UCH2148" s="626" t="s">
        <v>1236</v>
      </c>
      <c r="UCI2148" s="626" t="s">
        <v>1236</v>
      </c>
      <c r="UCJ2148" s="626" t="s">
        <v>1236</v>
      </c>
      <c r="UCK2148" s="626" t="s">
        <v>1236</v>
      </c>
      <c r="UCL2148" s="626" t="s">
        <v>1236</v>
      </c>
      <c r="UCM2148" s="626" t="s">
        <v>1236</v>
      </c>
      <c r="UCN2148" s="626" t="s">
        <v>1236</v>
      </c>
      <c r="UCO2148" s="626" t="s">
        <v>1236</v>
      </c>
      <c r="UCP2148" s="626" t="s">
        <v>1236</v>
      </c>
      <c r="UCQ2148" s="626" t="s">
        <v>1236</v>
      </c>
      <c r="UCR2148" s="626" t="s">
        <v>1236</v>
      </c>
      <c r="UCS2148" s="626" t="s">
        <v>1236</v>
      </c>
      <c r="UCT2148" s="626" t="s">
        <v>1236</v>
      </c>
      <c r="UCU2148" s="626" t="s">
        <v>1236</v>
      </c>
      <c r="UCV2148" s="626" t="s">
        <v>1236</v>
      </c>
      <c r="UCW2148" s="626" t="s">
        <v>1236</v>
      </c>
      <c r="UCX2148" s="626" t="s">
        <v>1236</v>
      </c>
      <c r="UCY2148" s="626" t="s">
        <v>1236</v>
      </c>
      <c r="UCZ2148" s="626" t="s">
        <v>1236</v>
      </c>
      <c r="UDA2148" s="626" t="s">
        <v>1236</v>
      </c>
      <c r="UDB2148" s="626" t="s">
        <v>1236</v>
      </c>
      <c r="UDC2148" s="626" t="s">
        <v>1236</v>
      </c>
      <c r="UDD2148" s="626" t="s">
        <v>1236</v>
      </c>
      <c r="UDE2148" s="626" t="s">
        <v>1236</v>
      </c>
      <c r="UDF2148" s="626" t="s">
        <v>1236</v>
      </c>
      <c r="UDG2148" s="626" t="s">
        <v>1236</v>
      </c>
      <c r="UDH2148" s="626" t="s">
        <v>1236</v>
      </c>
      <c r="UDI2148" s="626" t="s">
        <v>1236</v>
      </c>
      <c r="UDJ2148" s="626" t="s">
        <v>1236</v>
      </c>
      <c r="UDK2148" s="626" t="s">
        <v>1236</v>
      </c>
      <c r="UDL2148" s="626" t="s">
        <v>1236</v>
      </c>
      <c r="UDM2148" s="626" t="s">
        <v>1236</v>
      </c>
      <c r="UDN2148" s="626" t="s">
        <v>1236</v>
      </c>
      <c r="UDO2148" s="626" t="s">
        <v>1236</v>
      </c>
      <c r="UDP2148" s="626" t="s">
        <v>1236</v>
      </c>
      <c r="UDQ2148" s="626" t="s">
        <v>1236</v>
      </c>
      <c r="UDR2148" s="626" t="s">
        <v>1236</v>
      </c>
      <c r="UDS2148" s="626" t="s">
        <v>1236</v>
      </c>
      <c r="UDT2148" s="626" t="s">
        <v>1236</v>
      </c>
      <c r="UDU2148" s="626" t="s">
        <v>1236</v>
      </c>
      <c r="UDV2148" s="626" t="s">
        <v>1236</v>
      </c>
      <c r="UDW2148" s="626" t="s">
        <v>1236</v>
      </c>
      <c r="UDX2148" s="626" t="s">
        <v>1236</v>
      </c>
      <c r="UDY2148" s="626" t="s">
        <v>1236</v>
      </c>
      <c r="UDZ2148" s="626" t="s">
        <v>1236</v>
      </c>
      <c r="UEA2148" s="626" t="s">
        <v>1236</v>
      </c>
      <c r="UEB2148" s="626" t="s">
        <v>1236</v>
      </c>
      <c r="UEC2148" s="626" t="s">
        <v>1236</v>
      </c>
      <c r="UED2148" s="626" t="s">
        <v>1236</v>
      </c>
      <c r="UEE2148" s="626" t="s">
        <v>1236</v>
      </c>
      <c r="UEF2148" s="626" t="s">
        <v>1236</v>
      </c>
      <c r="UEG2148" s="626" t="s">
        <v>1236</v>
      </c>
      <c r="UEH2148" s="626" t="s">
        <v>1236</v>
      </c>
      <c r="UEI2148" s="626" t="s">
        <v>1236</v>
      </c>
      <c r="UEJ2148" s="626" t="s">
        <v>1236</v>
      </c>
      <c r="UEK2148" s="626" t="s">
        <v>1236</v>
      </c>
      <c r="UEL2148" s="626" t="s">
        <v>1236</v>
      </c>
      <c r="UEM2148" s="626" t="s">
        <v>1236</v>
      </c>
      <c r="UEN2148" s="626" t="s">
        <v>1236</v>
      </c>
      <c r="UEO2148" s="626" t="s">
        <v>1236</v>
      </c>
      <c r="UEP2148" s="626" t="s">
        <v>1236</v>
      </c>
      <c r="UEQ2148" s="626" t="s">
        <v>1236</v>
      </c>
      <c r="UER2148" s="626" t="s">
        <v>1236</v>
      </c>
      <c r="UES2148" s="626" t="s">
        <v>1236</v>
      </c>
      <c r="UET2148" s="626" t="s">
        <v>1236</v>
      </c>
      <c r="UEU2148" s="626" t="s">
        <v>1236</v>
      </c>
      <c r="UEV2148" s="626" t="s">
        <v>1236</v>
      </c>
      <c r="UEW2148" s="626" t="s">
        <v>1236</v>
      </c>
      <c r="UEX2148" s="626" t="s">
        <v>1236</v>
      </c>
      <c r="UEY2148" s="626" t="s">
        <v>1236</v>
      </c>
      <c r="UEZ2148" s="626" t="s">
        <v>1236</v>
      </c>
      <c r="UFA2148" s="626" t="s">
        <v>1236</v>
      </c>
      <c r="UFB2148" s="626" t="s">
        <v>1236</v>
      </c>
      <c r="UFC2148" s="626" t="s">
        <v>1236</v>
      </c>
      <c r="UFD2148" s="626" t="s">
        <v>1236</v>
      </c>
      <c r="UFE2148" s="626" t="s">
        <v>1236</v>
      </c>
      <c r="UFF2148" s="626" t="s">
        <v>1236</v>
      </c>
      <c r="UFG2148" s="626" t="s">
        <v>1236</v>
      </c>
      <c r="UFH2148" s="626" t="s">
        <v>1236</v>
      </c>
      <c r="UFI2148" s="626" t="s">
        <v>1236</v>
      </c>
      <c r="UFJ2148" s="626" t="s">
        <v>1236</v>
      </c>
      <c r="UFK2148" s="626" t="s">
        <v>1236</v>
      </c>
      <c r="UFL2148" s="626" t="s">
        <v>1236</v>
      </c>
      <c r="UFM2148" s="626" t="s">
        <v>1236</v>
      </c>
      <c r="UFN2148" s="626" t="s">
        <v>1236</v>
      </c>
      <c r="UFO2148" s="626" t="s">
        <v>1236</v>
      </c>
      <c r="UFP2148" s="626" t="s">
        <v>1236</v>
      </c>
      <c r="UFQ2148" s="626" t="s">
        <v>1236</v>
      </c>
      <c r="UFR2148" s="626" t="s">
        <v>1236</v>
      </c>
      <c r="UFS2148" s="626" t="s">
        <v>1236</v>
      </c>
      <c r="UFT2148" s="626" t="s">
        <v>1236</v>
      </c>
      <c r="UFU2148" s="626" t="s">
        <v>1236</v>
      </c>
      <c r="UFV2148" s="626" t="s">
        <v>1236</v>
      </c>
      <c r="UFW2148" s="626" t="s">
        <v>1236</v>
      </c>
      <c r="UFX2148" s="626" t="s">
        <v>1236</v>
      </c>
      <c r="UFY2148" s="626" t="s">
        <v>1236</v>
      </c>
      <c r="UFZ2148" s="626" t="s">
        <v>1236</v>
      </c>
      <c r="UGA2148" s="626" t="s">
        <v>1236</v>
      </c>
      <c r="UGB2148" s="626" t="s">
        <v>1236</v>
      </c>
      <c r="UGC2148" s="626" t="s">
        <v>1236</v>
      </c>
      <c r="UGD2148" s="626" t="s">
        <v>1236</v>
      </c>
      <c r="UGE2148" s="626" t="s">
        <v>1236</v>
      </c>
      <c r="UGF2148" s="626" t="s">
        <v>1236</v>
      </c>
      <c r="UGG2148" s="626" t="s">
        <v>1236</v>
      </c>
      <c r="UGH2148" s="626" t="s">
        <v>1236</v>
      </c>
      <c r="UGI2148" s="626" t="s">
        <v>1236</v>
      </c>
      <c r="UGJ2148" s="626" t="s">
        <v>1236</v>
      </c>
      <c r="UGK2148" s="626" t="s">
        <v>1236</v>
      </c>
      <c r="UGL2148" s="626" t="s">
        <v>1236</v>
      </c>
      <c r="UGM2148" s="626" t="s">
        <v>1236</v>
      </c>
      <c r="UGN2148" s="626" t="s">
        <v>1236</v>
      </c>
      <c r="UGO2148" s="626" t="s">
        <v>1236</v>
      </c>
      <c r="UGP2148" s="626" t="s">
        <v>1236</v>
      </c>
      <c r="UGQ2148" s="626" t="s">
        <v>1236</v>
      </c>
      <c r="UGR2148" s="626" t="s">
        <v>1236</v>
      </c>
      <c r="UGS2148" s="626" t="s">
        <v>1236</v>
      </c>
      <c r="UGT2148" s="626" t="s">
        <v>1236</v>
      </c>
      <c r="UGU2148" s="626" t="s">
        <v>1236</v>
      </c>
      <c r="UGV2148" s="626" t="s">
        <v>1236</v>
      </c>
      <c r="UGW2148" s="626" t="s">
        <v>1236</v>
      </c>
      <c r="UGX2148" s="626" t="s">
        <v>1236</v>
      </c>
      <c r="UGY2148" s="626" t="s">
        <v>1236</v>
      </c>
      <c r="UGZ2148" s="626" t="s">
        <v>1236</v>
      </c>
      <c r="UHA2148" s="626" t="s">
        <v>1236</v>
      </c>
      <c r="UHB2148" s="626" t="s">
        <v>1236</v>
      </c>
      <c r="UHC2148" s="626" t="s">
        <v>1236</v>
      </c>
      <c r="UHD2148" s="626" t="s">
        <v>1236</v>
      </c>
      <c r="UHE2148" s="626" t="s">
        <v>1236</v>
      </c>
      <c r="UHF2148" s="626" t="s">
        <v>1236</v>
      </c>
      <c r="UHG2148" s="626" t="s">
        <v>1236</v>
      </c>
      <c r="UHH2148" s="626" t="s">
        <v>1236</v>
      </c>
      <c r="UHI2148" s="626" t="s">
        <v>1236</v>
      </c>
      <c r="UHJ2148" s="626" t="s">
        <v>1236</v>
      </c>
      <c r="UHK2148" s="626" t="s">
        <v>1236</v>
      </c>
      <c r="UHL2148" s="626" t="s">
        <v>1236</v>
      </c>
      <c r="UHM2148" s="626" t="s">
        <v>1236</v>
      </c>
      <c r="UHN2148" s="626" t="s">
        <v>1236</v>
      </c>
      <c r="UHO2148" s="626" t="s">
        <v>1236</v>
      </c>
      <c r="UHP2148" s="626" t="s">
        <v>1236</v>
      </c>
      <c r="UHQ2148" s="626" t="s">
        <v>1236</v>
      </c>
      <c r="UHR2148" s="626" t="s">
        <v>1236</v>
      </c>
      <c r="UHS2148" s="626" t="s">
        <v>1236</v>
      </c>
      <c r="UHT2148" s="626" t="s">
        <v>1236</v>
      </c>
      <c r="UHU2148" s="626" t="s">
        <v>1236</v>
      </c>
      <c r="UHV2148" s="626" t="s">
        <v>1236</v>
      </c>
      <c r="UHW2148" s="626" t="s">
        <v>1236</v>
      </c>
      <c r="UHX2148" s="626" t="s">
        <v>1236</v>
      </c>
      <c r="UHY2148" s="626" t="s">
        <v>1236</v>
      </c>
      <c r="UHZ2148" s="626" t="s">
        <v>1236</v>
      </c>
      <c r="UIA2148" s="626" t="s">
        <v>1236</v>
      </c>
      <c r="UIB2148" s="626" t="s">
        <v>1236</v>
      </c>
      <c r="UIC2148" s="626" t="s">
        <v>1236</v>
      </c>
      <c r="UID2148" s="626" t="s">
        <v>1236</v>
      </c>
      <c r="UIE2148" s="626" t="s">
        <v>1236</v>
      </c>
      <c r="UIF2148" s="626" t="s">
        <v>1236</v>
      </c>
      <c r="UIG2148" s="626" t="s">
        <v>1236</v>
      </c>
      <c r="UIH2148" s="626" t="s">
        <v>1236</v>
      </c>
      <c r="UII2148" s="626" t="s">
        <v>1236</v>
      </c>
      <c r="UIJ2148" s="626" t="s">
        <v>1236</v>
      </c>
      <c r="UIK2148" s="626" t="s">
        <v>1236</v>
      </c>
      <c r="UIL2148" s="626" t="s">
        <v>1236</v>
      </c>
      <c r="UIM2148" s="626" t="s">
        <v>1236</v>
      </c>
      <c r="UIN2148" s="626" t="s">
        <v>1236</v>
      </c>
      <c r="UIO2148" s="626" t="s">
        <v>1236</v>
      </c>
      <c r="UIP2148" s="626" t="s">
        <v>1236</v>
      </c>
      <c r="UIQ2148" s="626" t="s">
        <v>1236</v>
      </c>
      <c r="UIR2148" s="626" t="s">
        <v>1236</v>
      </c>
      <c r="UIS2148" s="626" t="s">
        <v>1236</v>
      </c>
      <c r="UIT2148" s="626" t="s">
        <v>1236</v>
      </c>
      <c r="UIU2148" s="626" t="s">
        <v>1236</v>
      </c>
      <c r="UIV2148" s="626" t="s">
        <v>1236</v>
      </c>
      <c r="UIW2148" s="626" t="s">
        <v>1236</v>
      </c>
      <c r="UIX2148" s="626" t="s">
        <v>1236</v>
      </c>
      <c r="UIY2148" s="626" t="s">
        <v>1236</v>
      </c>
      <c r="UIZ2148" s="626" t="s">
        <v>1236</v>
      </c>
      <c r="UJA2148" s="626" t="s">
        <v>1236</v>
      </c>
      <c r="UJB2148" s="626" t="s">
        <v>1236</v>
      </c>
      <c r="UJC2148" s="626" t="s">
        <v>1236</v>
      </c>
      <c r="UJD2148" s="626" t="s">
        <v>1236</v>
      </c>
      <c r="UJE2148" s="626" t="s">
        <v>1236</v>
      </c>
      <c r="UJF2148" s="626" t="s">
        <v>1236</v>
      </c>
      <c r="UJG2148" s="626" t="s">
        <v>1236</v>
      </c>
      <c r="UJH2148" s="626" t="s">
        <v>1236</v>
      </c>
      <c r="UJI2148" s="626" t="s">
        <v>1236</v>
      </c>
      <c r="UJJ2148" s="626" t="s">
        <v>1236</v>
      </c>
      <c r="UJK2148" s="626" t="s">
        <v>1236</v>
      </c>
      <c r="UJL2148" s="626" t="s">
        <v>1236</v>
      </c>
      <c r="UJM2148" s="626" t="s">
        <v>1236</v>
      </c>
      <c r="UJN2148" s="626" t="s">
        <v>1236</v>
      </c>
      <c r="UJO2148" s="626" t="s">
        <v>1236</v>
      </c>
      <c r="UJP2148" s="626" t="s">
        <v>1236</v>
      </c>
      <c r="UJQ2148" s="626" t="s">
        <v>1236</v>
      </c>
      <c r="UJR2148" s="626" t="s">
        <v>1236</v>
      </c>
      <c r="UJS2148" s="626" t="s">
        <v>1236</v>
      </c>
      <c r="UJT2148" s="626" t="s">
        <v>1236</v>
      </c>
      <c r="UJU2148" s="626" t="s">
        <v>1236</v>
      </c>
      <c r="UJV2148" s="626" t="s">
        <v>1236</v>
      </c>
      <c r="UJW2148" s="626" t="s">
        <v>1236</v>
      </c>
      <c r="UJX2148" s="626" t="s">
        <v>1236</v>
      </c>
      <c r="UJY2148" s="626" t="s">
        <v>1236</v>
      </c>
      <c r="UJZ2148" s="626" t="s">
        <v>1236</v>
      </c>
      <c r="UKA2148" s="626" t="s">
        <v>1236</v>
      </c>
      <c r="UKB2148" s="626" t="s">
        <v>1236</v>
      </c>
      <c r="UKC2148" s="626" t="s">
        <v>1236</v>
      </c>
      <c r="UKD2148" s="626" t="s">
        <v>1236</v>
      </c>
      <c r="UKE2148" s="626" t="s">
        <v>1236</v>
      </c>
      <c r="UKF2148" s="626" t="s">
        <v>1236</v>
      </c>
      <c r="UKG2148" s="626" t="s">
        <v>1236</v>
      </c>
      <c r="UKH2148" s="626" t="s">
        <v>1236</v>
      </c>
      <c r="UKI2148" s="626" t="s">
        <v>1236</v>
      </c>
      <c r="UKJ2148" s="626" t="s">
        <v>1236</v>
      </c>
      <c r="UKK2148" s="626" t="s">
        <v>1236</v>
      </c>
      <c r="UKL2148" s="626" t="s">
        <v>1236</v>
      </c>
      <c r="UKM2148" s="626" t="s">
        <v>1236</v>
      </c>
      <c r="UKN2148" s="626" t="s">
        <v>1236</v>
      </c>
      <c r="UKO2148" s="626" t="s">
        <v>1236</v>
      </c>
      <c r="UKP2148" s="626" t="s">
        <v>1236</v>
      </c>
      <c r="UKQ2148" s="626" t="s">
        <v>1236</v>
      </c>
      <c r="UKR2148" s="626" t="s">
        <v>1236</v>
      </c>
      <c r="UKS2148" s="626" t="s">
        <v>1236</v>
      </c>
      <c r="UKT2148" s="626" t="s">
        <v>1236</v>
      </c>
      <c r="UKU2148" s="626" t="s">
        <v>1236</v>
      </c>
      <c r="UKV2148" s="626" t="s">
        <v>1236</v>
      </c>
      <c r="UKW2148" s="626" t="s">
        <v>1236</v>
      </c>
      <c r="UKX2148" s="626" t="s">
        <v>1236</v>
      </c>
      <c r="UKY2148" s="626" t="s">
        <v>1236</v>
      </c>
      <c r="UKZ2148" s="626" t="s">
        <v>1236</v>
      </c>
      <c r="ULA2148" s="626" t="s">
        <v>1236</v>
      </c>
      <c r="ULB2148" s="626" t="s">
        <v>1236</v>
      </c>
      <c r="ULC2148" s="626" t="s">
        <v>1236</v>
      </c>
      <c r="ULD2148" s="626" t="s">
        <v>1236</v>
      </c>
      <c r="ULE2148" s="626" t="s">
        <v>1236</v>
      </c>
      <c r="ULF2148" s="626" t="s">
        <v>1236</v>
      </c>
      <c r="ULG2148" s="626" t="s">
        <v>1236</v>
      </c>
      <c r="ULH2148" s="626" t="s">
        <v>1236</v>
      </c>
      <c r="ULI2148" s="626" t="s">
        <v>1236</v>
      </c>
      <c r="ULJ2148" s="626" t="s">
        <v>1236</v>
      </c>
      <c r="ULK2148" s="626" t="s">
        <v>1236</v>
      </c>
      <c r="ULL2148" s="626" t="s">
        <v>1236</v>
      </c>
      <c r="ULM2148" s="626" t="s">
        <v>1236</v>
      </c>
      <c r="ULN2148" s="626" t="s">
        <v>1236</v>
      </c>
      <c r="ULO2148" s="626" t="s">
        <v>1236</v>
      </c>
      <c r="ULP2148" s="626" t="s">
        <v>1236</v>
      </c>
      <c r="ULQ2148" s="626" t="s">
        <v>1236</v>
      </c>
      <c r="ULR2148" s="626" t="s">
        <v>1236</v>
      </c>
      <c r="ULS2148" s="626" t="s">
        <v>1236</v>
      </c>
      <c r="ULT2148" s="626" t="s">
        <v>1236</v>
      </c>
      <c r="ULU2148" s="626" t="s">
        <v>1236</v>
      </c>
      <c r="ULV2148" s="626" t="s">
        <v>1236</v>
      </c>
      <c r="ULW2148" s="626" t="s">
        <v>1236</v>
      </c>
      <c r="ULX2148" s="626" t="s">
        <v>1236</v>
      </c>
      <c r="ULY2148" s="626" t="s">
        <v>1236</v>
      </c>
      <c r="ULZ2148" s="626" t="s">
        <v>1236</v>
      </c>
      <c r="UMA2148" s="626" t="s">
        <v>1236</v>
      </c>
      <c r="UMB2148" s="626" t="s">
        <v>1236</v>
      </c>
      <c r="UMC2148" s="626" t="s">
        <v>1236</v>
      </c>
      <c r="UMD2148" s="626" t="s">
        <v>1236</v>
      </c>
      <c r="UME2148" s="626" t="s">
        <v>1236</v>
      </c>
      <c r="UMF2148" s="626" t="s">
        <v>1236</v>
      </c>
      <c r="UMG2148" s="626" t="s">
        <v>1236</v>
      </c>
      <c r="UMH2148" s="626" t="s">
        <v>1236</v>
      </c>
      <c r="UMI2148" s="626" t="s">
        <v>1236</v>
      </c>
      <c r="UMJ2148" s="626" t="s">
        <v>1236</v>
      </c>
      <c r="UMK2148" s="626" t="s">
        <v>1236</v>
      </c>
      <c r="UML2148" s="626" t="s">
        <v>1236</v>
      </c>
      <c r="UMM2148" s="626" t="s">
        <v>1236</v>
      </c>
      <c r="UMN2148" s="626" t="s">
        <v>1236</v>
      </c>
      <c r="UMO2148" s="626" t="s">
        <v>1236</v>
      </c>
      <c r="UMP2148" s="626" t="s">
        <v>1236</v>
      </c>
      <c r="UMQ2148" s="626" t="s">
        <v>1236</v>
      </c>
      <c r="UMR2148" s="626" t="s">
        <v>1236</v>
      </c>
      <c r="UMS2148" s="626" t="s">
        <v>1236</v>
      </c>
      <c r="UMT2148" s="626" t="s">
        <v>1236</v>
      </c>
      <c r="UMU2148" s="626" t="s">
        <v>1236</v>
      </c>
      <c r="UMV2148" s="626" t="s">
        <v>1236</v>
      </c>
      <c r="UMW2148" s="626" t="s">
        <v>1236</v>
      </c>
      <c r="UMX2148" s="626" t="s">
        <v>1236</v>
      </c>
      <c r="UMY2148" s="626" t="s">
        <v>1236</v>
      </c>
      <c r="UMZ2148" s="626" t="s">
        <v>1236</v>
      </c>
      <c r="UNA2148" s="626" t="s">
        <v>1236</v>
      </c>
      <c r="UNB2148" s="626" t="s">
        <v>1236</v>
      </c>
      <c r="UNC2148" s="626" t="s">
        <v>1236</v>
      </c>
      <c r="UND2148" s="626" t="s">
        <v>1236</v>
      </c>
      <c r="UNE2148" s="626" t="s">
        <v>1236</v>
      </c>
      <c r="UNF2148" s="626" t="s">
        <v>1236</v>
      </c>
      <c r="UNG2148" s="626" t="s">
        <v>1236</v>
      </c>
      <c r="UNH2148" s="626" t="s">
        <v>1236</v>
      </c>
      <c r="UNI2148" s="626" t="s">
        <v>1236</v>
      </c>
      <c r="UNJ2148" s="626" t="s">
        <v>1236</v>
      </c>
      <c r="UNK2148" s="626" t="s">
        <v>1236</v>
      </c>
      <c r="UNL2148" s="626" t="s">
        <v>1236</v>
      </c>
      <c r="UNM2148" s="626" t="s">
        <v>1236</v>
      </c>
      <c r="UNN2148" s="626" t="s">
        <v>1236</v>
      </c>
      <c r="UNO2148" s="626" t="s">
        <v>1236</v>
      </c>
      <c r="UNP2148" s="626" t="s">
        <v>1236</v>
      </c>
      <c r="UNQ2148" s="626" t="s">
        <v>1236</v>
      </c>
      <c r="UNR2148" s="626" t="s">
        <v>1236</v>
      </c>
      <c r="UNS2148" s="626" t="s">
        <v>1236</v>
      </c>
      <c r="UNT2148" s="626" t="s">
        <v>1236</v>
      </c>
      <c r="UNU2148" s="626" t="s">
        <v>1236</v>
      </c>
      <c r="UNV2148" s="626" t="s">
        <v>1236</v>
      </c>
      <c r="UNW2148" s="626" t="s">
        <v>1236</v>
      </c>
      <c r="UNX2148" s="626" t="s">
        <v>1236</v>
      </c>
      <c r="UNY2148" s="626" t="s">
        <v>1236</v>
      </c>
      <c r="UNZ2148" s="626" t="s">
        <v>1236</v>
      </c>
      <c r="UOA2148" s="626" t="s">
        <v>1236</v>
      </c>
      <c r="UOB2148" s="626" t="s">
        <v>1236</v>
      </c>
      <c r="UOC2148" s="626" t="s">
        <v>1236</v>
      </c>
      <c r="UOD2148" s="626" t="s">
        <v>1236</v>
      </c>
      <c r="UOE2148" s="626" t="s">
        <v>1236</v>
      </c>
      <c r="UOF2148" s="626" t="s">
        <v>1236</v>
      </c>
      <c r="UOG2148" s="626" t="s">
        <v>1236</v>
      </c>
      <c r="UOH2148" s="626" t="s">
        <v>1236</v>
      </c>
      <c r="UOI2148" s="626" t="s">
        <v>1236</v>
      </c>
      <c r="UOJ2148" s="626" t="s">
        <v>1236</v>
      </c>
      <c r="UOK2148" s="626" t="s">
        <v>1236</v>
      </c>
      <c r="UOL2148" s="626" t="s">
        <v>1236</v>
      </c>
      <c r="UOM2148" s="626" t="s">
        <v>1236</v>
      </c>
      <c r="UON2148" s="626" t="s">
        <v>1236</v>
      </c>
      <c r="UOO2148" s="626" t="s">
        <v>1236</v>
      </c>
      <c r="UOP2148" s="626" t="s">
        <v>1236</v>
      </c>
      <c r="UOQ2148" s="626" t="s">
        <v>1236</v>
      </c>
      <c r="UOR2148" s="626" t="s">
        <v>1236</v>
      </c>
      <c r="UOS2148" s="626" t="s">
        <v>1236</v>
      </c>
      <c r="UOT2148" s="626" t="s">
        <v>1236</v>
      </c>
      <c r="UOU2148" s="626" t="s">
        <v>1236</v>
      </c>
      <c r="UOV2148" s="626" t="s">
        <v>1236</v>
      </c>
      <c r="UOW2148" s="626" t="s">
        <v>1236</v>
      </c>
      <c r="UOX2148" s="626" t="s">
        <v>1236</v>
      </c>
      <c r="UOY2148" s="626" t="s">
        <v>1236</v>
      </c>
      <c r="UOZ2148" s="626" t="s">
        <v>1236</v>
      </c>
      <c r="UPA2148" s="626" t="s">
        <v>1236</v>
      </c>
      <c r="UPB2148" s="626" t="s">
        <v>1236</v>
      </c>
      <c r="UPC2148" s="626" t="s">
        <v>1236</v>
      </c>
      <c r="UPD2148" s="626" t="s">
        <v>1236</v>
      </c>
      <c r="UPE2148" s="626" t="s">
        <v>1236</v>
      </c>
      <c r="UPF2148" s="626" t="s">
        <v>1236</v>
      </c>
      <c r="UPG2148" s="626" t="s">
        <v>1236</v>
      </c>
      <c r="UPH2148" s="626" t="s">
        <v>1236</v>
      </c>
      <c r="UPI2148" s="626" t="s">
        <v>1236</v>
      </c>
      <c r="UPJ2148" s="626" t="s">
        <v>1236</v>
      </c>
      <c r="UPK2148" s="626" t="s">
        <v>1236</v>
      </c>
      <c r="UPL2148" s="626" t="s">
        <v>1236</v>
      </c>
      <c r="UPM2148" s="626" t="s">
        <v>1236</v>
      </c>
      <c r="UPN2148" s="626" t="s">
        <v>1236</v>
      </c>
      <c r="UPO2148" s="626" t="s">
        <v>1236</v>
      </c>
      <c r="UPP2148" s="626" t="s">
        <v>1236</v>
      </c>
      <c r="UPQ2148" s="626" t="s">
        <v>1236</v>
      </c>
      <c r="UPR2148" s="626" t="s">
        <v>1236</v>
      </c>
      <c r="UPS2148" s="626" t="s">
        <v>1236</v>
      </c>
      <c r="UPT2148" s="626" t="s">
        <v>1236</v>
      </c>
      <c r="UPU2148" s="626" t="s">
        <v>1236</v>
      </c>
      <c r="UPV2148" s="626" t="s">
        <v>1236</v>
      </c>
      <c r="UPW2148" s="626" t="s">
        <v>1236</v>
      </c>
      <c r="UPX2148" s="626" t="s">
        <v>1236</v>
      </c>
      <c r="UPY2148" s="626" t="s">
        <v>1236</v>
      </c>
      <c r="UPZ2148" s="626" t="s">
        <v>1236</v>
      </c>
      <c r="UQA2148" s="626" t="s">
        <v>1236</v>
      </c>
      <c r="UQB2148" s="626" t="s">
        <v>1236</v>
      </c>
      <c r="UQC2148" s="626" t="s">
        <v>1236</v>
      </c>
      <c r="UQD2148" s="626" t="s">
        <v>1236</v>
      </c>
      <c r="UQE2148" s="626" t="s">
        <v>1236</v>
      </c>
      <c r="UQF2148" s="626" t="s">
        <v>1236</v>
      </c>
      <c r="UQG2148" s="626" t="s">
        <v>1236</v>
      </c>
      <c r="UQH2148" s="626" t="s">
        <v>1236</v>
      </c>
      <c r="UQI2148" s="626" t="s">
        <v>1236</v>
      </c>
      <c r="UQJ2148" s="626" t="s">
        <v>1236</v>
      </c>
      <c r="UQK2148" s="626" t="s">
        <v>1236</v>
      </c>
      <c r="UQL2148" s="626" t="s">
        <v>1236</v>
      </c>
      <c r="UQM2148" s="626" t="s">
        <v>1236</v>
      </c>
      <c r="UQN2148" s="626" t="s">
        <v>1236</v>
      </c>
      <c r="UQO2148" s="626" t="s">
        <v>1236</v>
      </c>
      <c r="UQP2148" s="626" t="s">
        <v>1236</v>
      </c>
      <c r="UQQ2148" s="626" t="s">
        <v>1236</v>
      </c>
      <c r="UQR2148" s="626" t="s">
        <v>1236</v>
      </c>
      <c r="UQS2148" s="626" t="s">
        <v>1236</v>
      </c>
      <c r="UQT2148" s="626" t="s">
        <v>1236</v>
      </c>
      <c r="UQU2148" s="626" t="s">
        <v>1236</v>
      </c>
      <c r="UQV2148" s="626" t="s">
        <v>1236</v>
      </c>
      <c r="UQW2148" s="626" t="s">
        <v>1236</v>
      </c>
      <c r="UQX2148" s="626" t="s">
        <v>1236</v>
      </c>
      <c r="UQY2148" s="626" t="s">
        <v>1236</v>
      </c>
      <c r="UQZ2148" s="626" t="s">
        <v>1236</v>
      </c>
      <c r="URA2148" s="626" t="s">
        <v>1236</v>
      </c>
      <c r="URB2148" s="626" t="s">
        <v>1236</v>
      </c>
      <c r="URC2148" s="626" t="s">
        <v>1236</v>
      </c>
      <c r="URD2148" s="626" t="s">
        <v>1236</v>
      </c>
      <c r="URE2148" s="626" t="s">
        <v>1236</v>
      </c>
      <c r="URF2148" s="626" t="s">
        <v>1236</v>
      </c>
      <c r="URG2148" s="626" t="s">
        <v>1236</v>
      </c>
      <c r="URH2148" s="626" t="s">
        <v>1236</v>
      </c>
      <c r="URI2148" s="626" t="s">
        <v>1236</v>
      </c>
      <c r="URJ2148" s="626" t="s">
        <v>1236</v>
      </c>
      <c r="URK2148" s="626" t="s">
        <v>1236</v>
      </c>
      <c r="URL2148" s="626" t="s">
        <v>1236</v>
      </c>
      <c r="URM2148" s="626" t="s">
        <v>1236</v>
      </c>
      <c r="URN2148" s="626" t="s">
        <v>1236</v>
      </c>
      <c r="URO2148" s="626" t="s">
        <v>1236</v>
      </c>
      <c r="URP2148" s="626" t="s">
        <v>1236</v>
      </c>
      <c r="URQ2148" s="626" t="s">
        <v>1236</v>
      </c>
      <c r="URR2148" s="626" t="s">
        <v>1236</v>
      </c>
      <c r="URS2148" s="626" t="s">
        <v>1236</v>
      </c>
      <c r="URT2148" s="626" t="s">
        <v>1236</v>
      </c>
      <c r="URU2148" s="626" t="s">
        <v>1236</v>
      </c>
      <c r="URV2148" s="626" t="s">
        <v>1236</v>
      </c>
      <c r="URW2148" s="626" t="s">
        <v>1236</v>
      </c>
      <c r="URX2148" s="626" t="s">
        <v>1236</v>
      </c>
      <c r="URY2148" s="626" t="s">
        <v>1236</v>
      </c>
      <c r="URZ2148" s="626" t="s">
        <v>1236</v>
      </c>
      <c r="USA2148" s="626" t="s">
        <v>1236</v>
      </c>
      <c r="USB2148" s="626" t="s">
        <v>1236</v>
      </c>
      <c r="USC2148" s="626" t="s">
        <v>1236</v>
      </c>
      <c r="USD2148" s="626" t="s">
        <v>1236</v>
      </c>
      <c r="USE2148" s="626" t="s">
        <v>1236</v>
      </c>
      <c r="USF2148" s="626" t="s">
        <v>1236</v>
      </c>
      <c r="USG2148" s="626" t="s">
        <v>1236</v>
      </c>
      <c r="USH2148" s="626" t="s">
        <v>1236</v>
      </c>
      <c r="USI2148" s="626" t="s">
        <v>1236</v>
      </c>
      <c r="USJ2148" s="626" t="s">
        <v>1236</v>
      </c>
      <c r="USK2148" s="626" t="s">
        <v>1236</v>
      </c>
      <c r="USL2148" s="626" t="s">
        <v>1236</v>
      </c>
      <c r="USM2148" s="626" t="s">
        <v>1236</v>
      </c>
      <c r="USN2148" s="626" t="s">
        <v>1236</v>
      </c>
      <c r="USO2148" s="626" t="s">
        <v>1236</v>
      </c>
      <c r="USP2148" s="626" t="s">
        <v>1236</v>
      </c>
      <c r="USQ2148" s="626" t="s">
        <v>1236</v>
      </c>
      <c r="USR2148" s="626" t="s">
        <v>1236</v>
      </c>
      <c r="USS2148" s="626" t="s">
        <v>1236</v>
      </c>
      <c r="UST2148" s="626" t="s">
        <v>1236</v>
      </c>
      <c r="USU2148" s="626" t="s">
        <v>1236</v>
      </c>
      <c r="USV2148" s="626" t="s">
        <v>1236</v>
      </c>
      <c r="USW2148" s="626" t="s">
        <v>1236</v>
      </c>
      <c r="USX2148" s="626" t="s">
        <v>1236</v>
      </c>
      <c r="USY2148" s="626" t="s">
        <v>1236</v>
      </c>
      <c r="USZ2148" s="626" t="s">
        <v>1236</v>
      </c>
      <c r="UTA2148" s="626" t="s">
        <v>1236</v>
      </c>
      <c r="UTB2148" s="626" t="s">
        <v>1236</v>
      </c>
      <c r="UTC2148" s="626" t="s">
        <v>1236</v>
      </c>
      <c r="UTD2148" s="626" t="s">
        <v>1236</v>
      </c>
      <c r="UTE2148" s="626" t="s">
        <v>1236</v>
      </c>
      <c r="UTF2148" s="626" t="s">
        <v>1236</v>
      </c>
      <c r="UTG2148" s="626" t="s">
        <v>1236</v>
      </c>
      <c r="UTH2148" s="626" t="s">
        <v>1236</v>
      </c>
      <c r="UTI2148" s="626" t="s">
        <v>1236</v>
      </c>
      <c r="UTJ2148" s="626" t="s">
        <v>1236</v>
      </c>
      <c r="UTK2148" s="626" t="s">
        <v>1236</v>
      </c>
      <c r="UTL2148" s="626" t="s">
        <v>1236</v>
      </c>
      <c r="UTM2148" s="626" t="s">
        <v>1236</v>
      </c>
      <c r="UTN2148" s="626" t="s">
        <v>1236</v>
      </c>
      <c r="UTO2148" s="626" t="s">
        <v>1236</v>
      </c>
      <c r="UTP2148" s="626" t="s">
        <v>1236</v>
      </c>
      <c r="UTQ2148" s="626" t="s">
        <v>1236</v>
      </c>
      <c r="UTR2148" s="626" t="s">
        <v>1236</v>
      </c>
      <c r="UTS2148" s="626" t="s">
        <v>1236</v>
      </c>
      <c r="UTT2148" s="626" t="s">
        <v>1236</v>
      </c>
      <c r="UTU2148" s="626" t="s">
        <v>1236</v>
      </c>
      <c r="UTV2148" s="626" t="s">
        <v>1236</v>
      </c>
      <c r="UTW2148" s="626" t="s">
        <v>1236</v>
      </c>
      <c r="UTX2148" s="626" t="s">
        <v>1236</v>
      </c>
      <c r="UTY2148" s="626" t="s">
        <v>1236</v>
      </c>
      <c r="UTZ2148" s="626" t="s">
        <v>1236</v>
      </c>
      <c r="UUA2148" s="626" t="s">
        <v>1236</v>
      </c>
      <c r="UUB2148" s="626" t="s">
        <v>1236</v>
      </c>
      <c r="UUC2148" s="626" t="s">
        <v>1236</v>
      </c>
      <c r="UUD2148" s="626" t="s">
        <v>1236</v>
      </c>
      <c r="UUE2148" s="626" t="s">
        <v>1236</v>
      </c>
      <c r="UUF2148" s="626" t="s">
        <v>1236</v>
      </c>
      <c r="UUG2148" s="626" t="s">
        <v>1236</v>
      </c>
      <c r="UUH2148" s="626" t="s">
        <v>1236</v>
      </c>
      <c r="UUI2148" s="626" t="s">
        <v>1236</v>
      </c>
      <c r="UUJ2148" s="626" t="s">
        <v>1236</v>
      </c>
      <c r="UUK2148" s="626" t="s">
        <v>1236</v>
      </c>
      <c r="UUL2148" s="626" t="s">
        <v>1236</v>
      </c>
      <c r="UUM2148" s="626" t="s">
        <v>1236</v>
      </c>
      <c r="UUN2148" s="626" t="s">
        <v>1236</v>
      </c>
      <c r="UUO2148" s="626" t="s">
        <v>1236</v>
      </c>
      <c r="UUP2148" s="626" t="s">
        <v>1236</v>
      </c>
      <c r="UUQ2148" s="626" t="s">
        <v>1236</v>
      </c>
      <c r="UUR2148" s="626" t="s">
        <v>1236</v>
      </c>
      <c r="UUS2148" s="626" t="s">
        <v>1236</v>
      </c>
      <c r="UUT2148" s="626" t="s">
        <v>1236</v>
      </c>
      <c r="UUU2148" s="626" t="s">
        <v>1236</v>
      </c>
      <c r="UUV2148" s="626" t="s">
        <v>1236</v>
      </c>
      <c r="UUW2148" s="626" t="s">
        <v>1236</v>
      </c>
      <c r="UUX2148" s="626" t="s">
        <v>1236</v>
      </c>
      <c r="UUY2148" s="626" t="s">
        <v>1236</v>
      </c>
      <c r="UUZ2148" s="626" t="s">
        <v>1236</v>
      </c>
      <c r="UVA2148" s="626" t="s">
        <v>1236</v>
      </c>
      <c r="UVB2148" s="626" t="s">
        <v>1236</v>
      </c>
      <c r="UVC2148" s="626" t="s">
        <v>1236</v>
      </c>
      <c r="UVD2148" s="626" t="s">
        <v>1236</v>
      </c>
      <c r="UVE2148" s="626" t="s">
        <v>1236</v>
      </c>
      <c r="UVF2148" s="626" t="s">
        <v>1236</v>
      </c>
      <c r="UVG2148" s="626" t="s">
        <v>1236</v>
      </c>
      <c r="UVH2148" s="626" t="s">
        <v>1236</v>
      </c>
      <c r="UVI2148" s="626" t="s">
        <v>1236</v>
      </c>
      <c r="UVJ2148" s="626" t="s">
        <v>1236</v>
      </c>
      <c r="UVK2148" s="626" t="s">
        <v>1236</v>
      </c>
      <c r="UVL2148" s="626" t="s">
        <v>1236</v>
      </c>
      <c r="UVM2148" s="626" t="s">
        <v>1236</v>
      </c>
      <c r="UVN2148" s="626" t="s">
        <v>1236</v>
      </c>
      <c r="UVO2148" s="626" t="s">
        <v>1236</v>
      </c>
      <c r="UVP2148" s="626" t="s">
        <v>1236</v>
      </c>
      <c r="UVQ2148" s="626" t="s">
        <v>1236</v>
      </c>
      <c r="UVR2148" s="626" t="s">
        <v>1236</v>
      </c>
      <c r="UVS2148" s="626" t="s">
        <v>1236</v>
      </c>
      <c r="UVT2148" s="626" t="s">
        <v>1236</v>
      </c>
      <c r="UVU2148" s="626" t="s">
        <v>1236</v>
      </c>
      <c r="UVV2148" s="626" t="s">
        <v>1236</v>
      </c>
      <c r="UVW2148" s="626" t="s">
        <v>1236</v>
      </c>
      <c r="UVX2148" s="626" t="s">
        <v>1236</v>
      </c>
      <c r="UVY2148" s="626" t="s">
        <v>1236</v>
      </c>
      <c r="UVZ2148" s="626" t="s">
        <v>1236</v>
      </c>
      <c r="UWA2148" s="626" t="s">
        <v>1236</v>
      </c>
      <c r="UWB2148" s="626" t="s">
        <v>1236</v>
      </c>
      <c r="UWC2148" s="626" t="s">
        <v>1236</v>
      </c>
      <c r="UWD2148" s="626" t="s">
        <v>1236</v>
      </c>
      <c r="UWE2148" s="626" t="s">
        <v>1236</v>
      </c>
      <c r="UWF2148" s="626" t="s">
        <v>1236</v>
      </c>
      <c r="UWG2148" s="626" t="s">
        <v>1236</v>
      </c>
      <c r="UWH2148" s="626" t="s">
        <v>1236</v>
      </c>
      <c r="UWI2148" s="626" t="s">
        <v>1236</v>
      </c>
      <c r="UWJ2148" s="626" t="s">
        <v>1236</v>
      </c>
      <c r="UWK2148" s="626" t="s">
        <v>1236</v>
      </c>
      <c r="UWL2148" s="626" t="s">
        <v>1236</v>
      </c>
      <c r="UWM2148" s="626" t="s">
        <v>1236</v>
      </c>
      <c r="UWN2148" s="626" t="s">
        <v>1236</v>
      </c>
      <c r="UWO2148" s="626" t="s">
        <v>1236</v>
      </c>
      <c r="UWP2148" s="626" t="s">
        <v>1236</v>
      </c>
      <c r="UWQ2148" s="626" t="s">
        <v>1236</v>
      </c>
      <c r="UWR2148" s="626" t="s">
        <v>1236</v>
      </c>
      <c r="UWS2148" s="626" t="s">
        <v>1236</v>
      </c>
      <c r="UWT2148" s="626" t="s">
        <v>1236</v>
      </c>
      <c r="UWU2148" s="626" t="s">
        <v>1236</v>
      </c>
      <c r="UWV2148" s="626" t="s">
        <v>1236</v>
      </c>
      <c r="UWW2148" s="626" t="s">
        <v>1236</v>
      </c>
      <c r="UWX2148" s="626" t="s">
        <v>1236</v>
      </c>
      <c r="UWY2148" s="626" t="s">
        <v>1236</v>
      </c>
      <c r="UWZ2148" s="626" t="s">
        <v>1236</v>
      </c>
      <c r="UXA2148" s="626" t="s">
        <v>1236</v>
      </c>
      <c r="UXB2148" s="626" t="s">
        <v>1236</v>
      </c>
      <c r="UXC2148" s="626" t="s">
        <v>1236</v>
      </c>
      <c r="UXD2148" s="626" t="s">
        <v>1236</v>
      </c>
      <c r="UXE2148" s="626" t="s">
        <v>1236</v>
      </c>
      <c r="UXF2148" s="626" t="s">
        <v>1236</v>
      </c>
      <c r="UXG2148" s="626" t="s">
        <v>1236</v>
      </c>
      <c r="UXH2148" s="626" t="s">
        <v>1236</v>
      </c>
      <c r="UXI2148" s="626" t="s">
        <v>1236</v>
      </c>
      <c r="UXJ2148" s="626" t="s">
        <v>1236</v>
      </c>
      <c r="UXK2148" s="626" t="s">
        <v>1236</v>
      </c>
      <c r="UXL2148" s="626" t="s">
        <v>1236</v>
      </c>
      <c r="UXM2148" s="626" t="s">
        <v>1236</v>
      </c>
      <c r="UXN2148" s="626" t="s">
        <v>1236</v>
      </c>
      <c r="UXO2148" s="626" t="s">
        <v>1236</v>
      </c>
      <c r="UXP2148" s="626" t="s">
        <v>1236</v>
      </c>
      <c r="UXQ2148" s="626" t="s">
        <v>1236</v>
      </c>
      <c r="UXR2148" s="626" t="s">
        <v>1236</v>
      </c>
      <c r="UXS2148" s="626" t="s">
        <v>1236</v>
      </c>
      <c r="UXT2148" s="626" t="s">
        <v>1236</v>
      </c>
      <c r="UXU2148" s="626" t="s">
        <v>1236</v>
      </c>
      <c r="UXV2148" s="626" t="s">
        <v>1236</v>
      </c>
      <c r="UXW2148" s="626" t="s">
        <v>1236</v>
      </c>
      <c r="UXX2148" s="626" t="s">
        <v>1236</v>
      </c>
      <c r="UXY2148" s="626" t="s">
        <v>1236</v>
      </c>
      <c r="UXZ2148" s="626" t="s">
        <v>1236</v>
      </c>
      <c r="UYA2148" s="626" t="s">
        <v>1236</v>
      </c>
      <c r="UYB2148" s="626" t="s">
        <v>1236</v>
      </c>
      <c r="UYC2148" s="626" t="s">
        <v>1236</v>
      </c>
      <c r="UYD2148" s="626" t="s">
        <v>1236</v>
      </c>
      <c r="UYE2148" s="626" t="s">
        <v>1236</v>
      </c>
      <c r="UYF2148" s="626" t="s">
        <v>1236</v>
      </c>
      <c r="UYG2148" s="626" t="s">
        <v>1236</v>
      </c>
      <c r="UYH2148" s="626" t="s">
        <v>1236</v>
      </c>
      <c r="UYI2148" s="626" t="s">
        <v>1236</v>
      </c>
      <c r="UYJ2148" s="626" t="s">
        <v>1236</v>
      </c>
      <c r="UYK2148" s="626" t="s">
        <v>1236</v>
      </c>
      <c r="UYL2148" s="626" t="s">
        <v>1236</v>
      </c>
      <c r="UYM2148" s="626" t="s">
        <v>1236</v>
      </c>
      <c r="UYN2148" s="626" t="s">
        <v>1236</v>
      </c>
      <c r="UYO2148" s="626" t="s">
        <v>1236</v>
      </c>
      <c r="UYP2148" s="626" t="s">
        <v>1236</v>
      </c>
      <c r="UYQ2148" s="626" t="s">
        <v>1236</v>
      </c>
      <c r="UYR2148" s="626" t="s">
        <v>1236</v>
      </c>
      <c r="UYS2148" s="626" t="s">
        <v>1236</v>
      </c>
      <c r="UYT2148" s="626" t="s">
        <v>1236</v>
      </c>
      <c r="UYU2148" s="626" t="s">
        <v>1236</v>
      </c>
      <c r="UYV2148" s="626" t="s">
        <v>1236</v>
      </c>
      <c r="UYW2148" s="626" t="s">
        <v>1236</v>
      </c>
      <c r="UYX2148" s="626" t="s">
        <v>1236</v>
      </c>
      <c r="UYY2148" s="626" t="s">
        <v>1236</v>
      </c>
      <c r="UYZ2148" s="626" t="s">
        <v>1236</v>
      </c>
      <c r="UZA2148" s="626" t="s">
        <v>1236</v>
      </c>
      <c r="UZB2148" s="626" t="s">
        <v>1236</v>
      </c>
      <c r="UZC2148" s="626" t="s">
        <v>1236</v>
      </c>
      <c r="UZD2148" s="626" t="s">
        <v>1236</v>
      </c>
      <c r="UZE2148" s="626" t="s">
        <v>1236</v>
      </c>
      <c r="UZF2148" s="626" t="s">
        <v>1236</v>
      </c>
      <c r="UZG2148" s="626" t="s">
        <v>1236</v>
      </c>
      <c r="UZH2148" s="626" t="s">
        <v>1236</v>
      </c>
      <c r="UZI2148" s="626" t="s">
        <v>1236</v>
      </c>
      <c r="UZJ2148" s="626" t="s">
        <v>1236</v>
      </c>
      <c r="UZK2148" s="626" t="s">
        <v>1236</v>
      </c>
      <c r="UZL2148" s="626" t="s">
        <v>1236</v>
      </c>
      <c r="UZM2148" s="626" t="s">
        <v>1236</v>
      </c>
      <c r="UZN2148" s="626" t="s">
        <v>1236</v>
      </c>
      <c r="UZO2148" s="626" t="s">
        <v>1236</v>
      </c>
      <c r="UZP2148" s="626" t="s">
        <v>1236</v>
      </c>
      <c r="UZQ2148" s="626" t="s">
        <v>1236</v>
      </c>
      <c r="UZR2148" s="626" t="s">
        <v>1236</v>
      </c>
      <c r="UZS2148" s="626" t="s">
        <v>1236</v>
      </c>
      <c r="UZT2148" s="626" t="s">
        <v>1236</v>
      </c>
      <c r="UZU2148" s="626" t="s">
        <v>1236</v>
      </c>
      <c r="UZV2148" s="626" t="s">
        <v>1236</v>
      </c>
      <c r="UZW2148" s="626" t="s">
        <v>1236</v>
      </c>
      <c r="UZX2148" s="626" t="s">
        <v>1236</v>
      </c>
      <c r="UZY2148" s="626" t="s">
        <v>1236</v>
      </c>
      <c r="UZZ2148" s="626" t="s">
        <v>1236</v>
      </c>
      <c r="VAA2148" s="626" t="s">
        <v>1236</v>
      </c>
      <c r="VAB2148" s="626" t="s">
        <v>1236</v>
      </c>
      <c r="VAC2148" s="626" t="s">
        <v>1236</v>
      </c>
      <c r="VAD2148" s="626" t="s">
        <v>1236</v>
      </c>
      <c r="VAE2148" s="626" t="s">
        <v>1236</v>
      </c>
      <c r="VAF2148" s="626" t="s">
        <v>1236</v>
      </c>
      <c r="VAG2148" s="626" t="s">
        <v>1236</v>
      </c>
      <c r="VAH2148" s="626" t="s">
        <v>1236</v>
      </c>
      <c r="VAI2148" s="626" t="s">
        <v>1236</v>
      </c>
      <c r="VAJ2148" s="626" t="s">
        <v>1236</v>
      </c>
      <c r="VAK2148" s="626" t="s">
        <v>1236</v>
      </c>
      <c r="VAL2148" s="626" t="s">
        <v>1236</v>
      </c>
      <c r="VAM2148" s="626" t="s">
        <v>1236</v>
      </c>
      <c r="VAN2148" s="626" t="s">
        <v>1236</v>
      </c>
      <c r="VAO2148" s="626" t="s">
        <v>1236</v>
      </c>
      <c r="VAP2148" s="626" t="s">
        <v>1236</v>
      </c>
      <c r="VAQ2148" s="626" t="s">
        <v>1236</v>
      </c>
      <c r="VAR2148" s="626" t="s">
        <v>1236</v>
      </c>
      <c r="VAS2148" s="626" t="s">
        <v>1236</v>
      </c>
      <c r="VAT2148" s="626" t="s">
        <v>1236</v>
      </c>
      <c r="VAU2148" s="626" t="s">
        <v>1236</v>
      </c>
      <c r="VAV2148" s="626" t="s">
        <v>1236</v>
      </c>
      <c r="VAW2148" s="626" t="s">
        <v>1236</v>
      </c>
      <c r="VAX2148" s="626" t="s">
        <v>1236</v>
      </c>
      <c r="VAY2148" s="626" t="s">
        <v>1236</v>
      </c>
      <c r="VAZ2148" s="626" t="s">
        <v>1236</v>
      </c>
      <c r="VBA2148" s="626" t="s">
        <v>1236</v>
      </c>
      <c r="VBB2148" s="626" t="s">
        <v>1236</v>
      </c>
      <c r="VBC2148" s="626" t="s">
        <v>1236</v>
      </c>
      <c r="VBD2148" s="626" t="s">
        <v>1236</v>
      </c>
      <c r="VBE2148" s="626" t="s">
        <v>1236</v>
      </c>
      <c r="VBF2148" s="626" t="s">
        <v>1236</v>
      </c>
      <c r="VBG2148" s="626" t="s">
        <v>1236</v>
      </c>
      <c r="VBH2148" s="626" t="s">
        <v>1236</v>
      </c>
      <c r="VBI2148" s="626" t="s">
        <v>1236</v>
      </c>
      <c r="VBJ2148" s="626" t="s">
        <v>1236</v>
      </c>
      <c r="VBK2148" s="626" t="s">
        <v>1236</v>
      </c>
      <c r="VBL2148" s="626" t="s">
        <v>1236</v>
      </c>
      <c r="VBM2148" s="626" t="s">
        <v>1236</v>
      </c>
      <c r="VBN2148" s="626" t="s">
        <v>1236</v>
      </c>
      <c r="VBO2148" s="626" t="s">
        <v>1236</v>
      </c>
      <c r="VBP2148" s="626" t="s">
        <v>1236</v>
      </c>
      <c r="VBQ2148" s="626" t="s">
        <v>1236</v>
      </c>
      <c r="VBR2148" s="626" t="s">
        <v>1236</v>
      </c>
      <c r="VBS2148" s="626" t="s">
        <v>1236</v>
      </c>
      <c r="VBT2148" s="626" t="s">
        <v>1236</v>
      </c>
      <c r="VBU2148" s="626" t="s">
        <v>1236</v>
      </c>
      <c r="VBV2148" s="626" t="s">
        <v>1236</v>
      </c>
      <c r="VBW2148" s="626" t="s">
        <v>1236</v>
      </c>
      <c r="VBX2148" s="626" t="s">
        <v>1236</v>
      </c>
      <c r="VBY2148" s="626" t="s">
        <v>1236</v>
      </c>
      <c r="VBZ2148" s="626" t="s">
        <v>1236</v>
      </c>
      <c r="VCA2148" s="626" t="s">
        <v>1236</v>
      </c>
      <c r="VCB2148" s="626" t="s">
        <v>1236</v>
      </c>
      <c r="VCC2148" s="626" t="s">
        <v>1236</v>
      </c>
      <c r="VCD2148" s="626" t="s">
        <v>1236</v>
      </c>
      <c r="VCE2148" s="626" t="s">
        <v>1236</v>
      </c>
      <c r="VCF2148" s="626" t="s">
        <v>1236</v>
      </c>
      <c r="VCG2148" s="626" t="s">
        <v>1236</v>
      </c>
      <c r="VCH2148" s="626" t="s">
        <v>1236</v>
      </c>
      <c r="VCI2148" s="626" t="s">
        <v>1236</v>
      </c>
      <c r="VCJ2148" s="626" t="s">
        <v>1236</v>
      </c>
      <c r="VCK2148" s="626" t="s">
        <v>1236</v>
      </c>
      <c r="VCL2148" s="626" t="s">
        <v>1236</v>
      </c>
      <c r="VCM2148" s="626" t="s">
        <v>1236</v>
      </c>
      <c r="VCN2148" s="626" t="s">
        <v>1236</v>
      </c>
      <c r="VCO2148" s="626" t="s">
        <v>1236</v>
      </c>
      <c r="VCP2148" s="626" t="s">
        <v>1236</v>
      </c>
      <c r="VCQ2148" s="626" t="s">
        <v>1236</v>
      </c>
      <c r="VCR2148" s="626" t="s">
        <v>1236</v>
      </c>
      <c r="VCS2148" s="626" t="s">
        <v>1236</v>
      </c>
      <c r="VCT2148" s="626" t="s">
        <v>1236</v>
      </c>
      <c r="VCU2148" s="626" t="s">
        <v>1236</v>
      </c>
      <c r="VCV2148" s="626" t="s">
        <v>1236</v>
      </c>
      <c r="VCW2148" s="626" t="s">
        <v>1236</v>
      </c>
      <c r="VCX2148" s="626" t="s">
        <v>1236</v>
      </c>
      <c r="VCY2148" s="626" t="s">
        <v>1236</v>
      </c>
      <c r="VCZ2148" s="626" t="s">
        <v>1236</v>
      </c>
      <c r="VDA2148" s="626" t="s">
        <v>1236</v>
      </c>
      <c r="VDB2148" s="626" t="s">
        <v>1236</v>
      </c>
      <c r="VDC2148" s="626" t="s">
        <v>1236</v>
      </c>
      <c r="VDD2148" s="626" t="s">
        <v>1236</v>
      </c>
      <c r="VDE2148" s="626" t="s">
        <v>1236</v>
      </c>
      <c r="VDF2148" s="626" t="s">
        <v>1236</v>
      </c>
      <c r="VDG2148" s="626" t="s">
        <v>1236</v>
      </c>
      <c r="VDH2148" s="626" t="s">
        <v>1236</v>
      </c>
      <c r="VDI2148" s="626" t="s">
        <v>1236</v>
      </c>
      <c r="VDJ2148" s="626" t="s">
        <v>1236</v>
      </c>
      <c r="VDK2148" s="626" t="s">
        <v>1236</v>
      </c>
      <c r="VDL2148" s="626" t="s">
        <v>1236</v>
      </c>
      <c r="VDM2148" s="626" t="s">
        <v>1236</v>
      </c>
      <c r="VDN2148" s="626" t="s">
        <v>1236</v>
      </c>
      <c r="VDO2148" s="626" t="s">
        <v>1236</v>
      </c>
      <c r="VDP2148" s="626" t="s">
        <v>1236</v>
      </c>
      <c r="VDQ2148" s="626" t="s">
        <v>1236</v>
      </c>
      <c r="VDR2148" s="626" t="s">
        <v>1236</v>
      </c>
      <c r="VDS2148" s="626" t="s">
        <v>1236</v>
      </c>
      <c r="VDT2148" s="626" t="s">
        <v>1236</v>
      </c>
      <c r="VDU2148" s="626" t="s">
        <v>1236</v>
      </c>
      <c r="VDV2148" s="626" t="s">
        <v>1236</v>
      </c>
      <c r="VDW2148" s="626" t="s">
        <v>1236</v>
      </c>
      <c r="VDX2148" s="626" t="s">
        <v>1236</v>
      </c>
      <c r="VDY2148" s="626" t="s">
        <v>1236</v>
      </c>
      <c r="VDZ2148" s="626" t="s">
        <v>1236</v>
      </c>
      <c r="VEA2148" s="626" t="s">
        <v>1236</v>
      </c>
      <c r="VEB2148" s="626" t="s">
        <v>1236</v>
      </c>
      <c r="VEC2148" s="626" t="s">
        <v>1236</v>
      </c>
      <c r="VED2148" s="626" t="s">
        <v>1236</v>
      </c>
      <c r="VEE2148" s="626" t="s">
        <v>1236</v>
      </c>
      <c r="VEF2148" s="626" t="s">
        <v>1236</v>
      </c>
      <c r="VEG2148" s="626" t="s">
        <v>1236</v>
      </c>
      <c r="VEH2148" s="626" t="s">
        <v>1236</v>
      </c>
      <c r="VEI2148" s="626" t="s">
        <v>1236</v>
      </c>
      <c r="VEJ2148" s="626" t="s">
        <v>1236</v>
      </c>
      <c r="VEK2148" s="626" t="s">
        <v>1236</v>
      </c>
      <c r="VEL2148" s="626" t="s">
        <v>1236</v>
      </c>
      <c r="VEM2148" s="626" t="s">
        <v>1236</v>
      </c>
      <c r="VEN2148" s="626" t="s">
        <v>1236</v>
      </c>
      <c r="VEO2148" s="626" t="s">
        <v>1236</v>
      </c>
      <c r="VEP2148" s="626" t="s">
        <v>1236</v>
      </c>
      <c r="VEQ2148" s="626" t="s">
        <v>1236</v>
      </c>
      <c r="VER2148" s="626" t="s">
        <v>1236</v>
      </c>
      <c r="VES2148" s="626" t="s">
        <v>1236</v>
      </c>
      <c r="VET2148" s="626" t="s">
        <v>1236</v>
      </c>
      <c r="VEU2148" s="626" t="s">
        <v>1236</v>
      </c>
      <c r="VEV2148" s="626" t="s">
        <v>1236</v>
      </c>
      <c r="VEW2148" s="626" t="s">
        <v>1236</v>
      </c>
      <c r="VEX2148" s="626" t="s">
        <v>1236</v>
      </c>
      <c r="VEY2148" s="626" t="s">
        <v>1236</v>
      </c>
      <c r="VEZ2148" s="626" t="s">
        <v>1236</v>
      </c>
      <c r="VFA2148" s="626" t="s">
        <v>1236</v>
      </c>
      <c r="VFB2148" s="626" t="s">
        <v>1236</v>
      </c>
      <c r="VFC2148" s="626" t="s">
        <v>1236</v>
      </c>
      <c r="VFD2148" s="626" t="s">
        <v>1236</v>
      </c>
      <c r="VFE2148" s="626" t="s">
        <v>1236</v>
      </c>
      <c r="VFF2148" s="626" t="s">
        <v>1236</v>
      </c>
      <c r="VFG2148" s="626" t="s">
        <v>1236</v>
      </c>
      <c r="VFH2148" s="626" t="s">
        <v>1236</v>
      </c>
      <c r="VFI2148" s="626" t="s">
        <v>1236</v>
      </c>
      <c r="VFJ2148" s="626" t="s">
        <v>1236</v>
      </c>
      <c r="VFK2148" s="626" t="s">
        <v>1236</v>
      </c>
      <c r="VFL2148" s="626" t="s">
        <v>1236</v>
      </c>
      <c r="VFM2148" s="626" t="s">
        <v>1236</v>
      </c>
      <c r="VFN2148" s="626" t="s">
        <v>1236</v>
      </c>
      <c r="VFO2148" s="626" t="s">
        <v>1236</v>
      </c>
      <c r="VFP2148" s="626" t="s">
        <v>1236</v>
      </c>
      <c r="VFQ2148" s="626" t="s">
        <v>1236</v>
      </c>
      <c r="VFR2148" s="626" t="s">
        <v>1236</v>
      </c>
      <c r="VFS2148" s="626" t="s">
        <v>1236</v>
      </c>
      <c r="VFT2148" s="626" t="s">
        <v>1236</v>
      </c>
      <c r="VFU2148" s="626" t="s">
        <v>1236</v>
      </c>
      <c r="VFV2148" s="626" t="s">
        <v>1236</v>
      </c>
      <c r="VFW2148" s="626" t="s">
        <v>1236</v>
      </c>
      <c r="VFX2148" s="626" t="s">
        <v>1236</v>
      </c>
      <c r="VFY2148" s="626" t="s">
        <v>1236</v>
      </c>
      <c r="VFZ2148" s="626" t="s">
        <v>1236</v>
      </c>
      <c r="VGA2148" s="626" t="s">
        <v>1236</v>
      </c>
      <c r="VGB2148" s="626" t="s">
        <v>1236</v>
      </c>
      <c r="VGC2148" s="626" t="s">
        <v>1236</v>
      </c>
      <c r="VGD2148" s="626" t="s">
        <v>1236</v>
      </c>
      <c r="VGE2148" s="626" t="s">
        <v>1236</v>
      </c>
      <c r="VGF2148" s="626" t="s">
        <v>1236</v>
      </c>
      <c r="VGG2148" s="626" t="s">
        <v>1236</v>
      </c>
      <c r="VGH2148" s="626" t="s">
        <v>1236</v>
      </c>
      <c r="VGI2148" s="626" t="s">
        <v>1236</v>
      </c>
      <c r="VGJ2148" s="626" t="s">
        <v>1236</v>
      </c>
      <c r="VGK2148" s="626" t="s">
        <v>1236</v>
      </c>
      <c r="VGL2148" s="626" t="s">
        <v>1236</v>
      </c>
      <c r="VGM2148" s="626" t="s">
        <v>1236</v>
      </c>
      <c r="VGN2148" s="626" t="s">
        <v>1236</v>
      </c>
      <c r="VGO2148" s="626" t="s">
        <v>1236</v>
      </c>
      <c r="VGP2148" s="626" t="s">
        <v>1236</v>
      </c>
      <c r="VGQ2148" s="626" t="s">
        <v>1236</v>
      </c>
      <c r="VGR2148" s="626" t="s">
        <v>1236</v>
      </c>
      <c r="VGS2148" s="626" t="s">
        <v>1236</v>
      </c>
      <c r="VGT2148" s="626" t="s">
        <v>1236</v>
      </c>
      <c r="VGU2148" s="626" t="s">
        <v>1236</v>
      </c>
      <c r="VGV2148" s="626" t="s">
        <v>1236</v>
      </c>
      <c r="VGW2148" s="626" t="s">
        <v>1236</v>
      </c>
      <c r="VGX2148" s="626" t="s">
        <v>1236</v>
      </c>
      <c r="VGY2148" s="626" t="s">
        <v>1236</v>
      </c>
      <c r="VGZ2148" s="626" t="s">
        <v>1236</v>
      </c>
      <c r="VHA2148" s="626" t="s">
        <v>1236</v>
      </c>
      <c r="VHB2148" s="626" t="s">
        <v>1236</v>
      </c>
      <c r="VHC2148" s="626" t="s">
        <v>1236</v>
      </c>
      <c r="VHD2148" s="626" t="s">
        <v>1236</v>
      </c>
      <c r="VHE2148" s="626" t="s">
        <v>1236</v>
      </c>
      <c r="VHF2148" s="626" t="s">
        <v>1236</v>
      </c>
      <c r="VHG2148" s="626" t="s">
        <v>1236</v>
      </c>
      <c r="VHH2148" s="626" t="s">
        <v>1236</v>
      </c>
      <c r="VHI2148" s="626" t="s">
        <v>1236</v>
      </c>
      <c r="VHJ2148" s="626" t="s">
        <v>1236</v>
      </c>
      <c r="VHK2148" s="626" t="s">
        <v>1236</v>
      </c>
      <c r="VHL2148" s="626" t="s">
        <v>1236</v>
      </c>
      <c r="VHM2148" s="626" t="s">
        <v>1236</v>
      </c>
      <c r="VHN2148" s="626" t="s">
        <v>1236</v>
      </c>
      <c r="VHO2148" s="626" t="s">
        <v>1236</v>
      </c>
      <c r="VHP2148" s="626" t="s">
        <v>1236</v>
      </c>
      <c r="VHQ2148" s="626" t="s">
        <v>1236</v>
      </c>
      <c r="VHR2148" s="626" t="s">
        <v>1236</v>
      </c>
      <c r="VHS2148" s="626" t="s">
        <v>1236</v>
      </c>
      <c r="VHT2148" s="626" t="s">
        <v>1236</v>
      </c>
      <c r="VHU2148" s="626" t="s">
        <v>1236</v>
      </c>
      <c r="VHV2148" s="626" t="s">
        <v>1236</v>
      </c>
      <c r="VHW2148" s="626" t="s">
        <v>1236</v>
      </c>
      <c r="VHX2148" s="626" t="s">
        <v>1236</v>
      </c>
      <c r="VHY2148" s="626" t="s">
        <v>1236</v>
      </c>
      <c r="VHZ2148" s="626" t="s">
        <v>1236</v>
      </c>
      <c r="VIA2148" s="626" t="s">
        <v>1236</v>
      </c>
      <c r="VIB2148" s="626" t="s">
        <v>1236</v>
      </c>
      <c r="VIC2148" s="626" t="s">
        <v>1236</v>
      </c>
      <c r="VID2148" s="626" t="s">
        <v>1236</v>
      </c>
      <c r="VIE2148" s="626" t="s">
        <v>1236</v>
      </c>
      <c r="VIF2148" s="626" t="s">
        <v>1236</v>
      </c>
      <c r="VIG2148" s="626" t="s">
        <v>1236</v>
      </c>
      <c r="VIH2148" s="626" t="s">
        <v>1236</v>
      </c>
      <c r="VII2148" s="626" t="s">
        <v>1236</v>
      </c>
      <c r="VIJ2148" s="626" t="s">
        <v>1236</v>
      </c>
      <c r="VIK2148" s="626" t="s">
        <v>1236</v>
      </c>
      <c r="VIL2148" s="626" t="s">
        <v>1236</v>
      </c>
      <c r="VIM2148" s="626" t="s">
        <v>1236</v>
      </c>
      <c r="VIN2148" s="626" t="s">
        <v>1236</v>
      </c>
      <c r="VIO2148" s="626" t="s">
        <v>1236</v>
      </c>
      <c r="VIP2148" s="626" t="s">
        <v>1236</v>
      </c>
      <c r="VIQ2148" s="626" t="s">
        <v>1236</v>
      </c>
      <c r="VIR2148" s="626" t="s">
        <v>1236</v>
      </c>
      <c r="VIS2148" s="626" t="s">
        <v>1236</v>
      </c>
      <c r="VIT2148" s="626" t="s">
        <v>1236</v>
      </c>
      <c r="VIU2148" s="626" t="s">
        <v>1236</v>
      </c>
      <c r="VIV2148" s="626" t="s">
        <v>1236</v>
      </c>
      <c r="VIW2148" s="626" t="s">
        <v>1236</v>
      </c>
      <c r="VIX2148" s="626" t="s">
        <v>1236</v>
      </c>
      <c r="VIY2148" s="626" t="s">
        <v>1236</v>
      </c>
      <c r="VIZ2148" s="626" t="s">
        <v>1236</v>
      </c>
      <c r="VJA2148" s="626" t="s">
        <v>1236</v>
      </c>
      <c r="VJB2148" s="626" t="s">
        <v>1236</v>
      </c>
      <c r="VJC2148" s="626" t="s">
        <v>1236</v>
      </c>
      <c r="VJD2148" s="626" t="s">
        <v>1236</v>
      </c>
      <c r="VJE2148" s="626" t="s">
        <v>1236</v>
      </c>
      <c r="VJF2148" s="626" t="s">
        <v>1236</v>
      </c>
      <c r="VJG2148" s="626" t="s">
        <v>1236</v>
      </c>
      <c r="VJH2148" s="626" t="s">
        <v>1236</v>
      </c>
      <c r="VJI2148" s="626" t="s">
        <v>1236</v>
      </c>
      <c r="VJJ2148" s="626" t="s">
        <v>1236</v>
      </c>
      <c r="VJK2148" s="626" t="s">
        <v>1236</v>
      </c>
      <c r="VJL2148" s="626" t="s">
        <v>1236</v>
      </c>
      <c r="VJM2148" s="626" t="s">
        <v>1236</v>
      </c>
      <c r="VJN2148" s="626" t="s">
        <v>1236</v>
      </c>
      <c r="VJO2148" s="626" t="s">
        <v>1236</v>
      </c>
      <c r="VJP2148" s="626" t="s">
        <v>1236</v>
      </c>
      <c r="VJQ2148" s="626" t="s">
        <v>1236</v>
      </c>
      <c r="VJR2148" s="626" t="s">
        <v>1236</v>
      </c>
      <c r="VJS2148" s="626" t="s">
        <v>1236</v>
      </c>
      <c r="VJT2148" s="626" t="s">
        <v>1236</v>
      </c>
      <c r="VJU2148" s="626" t="s">
        <v>1236</v>
      </c>
      <c r="VJV2148" s="626" t="s">
        <v>1236</v>
      </c>
      <c r="VJW2148" s="626" t="s">
        <v>1236</v>
      </c>
      <c r="VJX2148" s="626" t="s">
        <v>1236</v>
      </c>
      <c r="VJY2148" s="626" t="s">
        <v>1236</v>
      </c>
      <c r="VJZ2148" s="626" t="s">
        <v>1236</v>
      </c>
      <c r="VKA2148" s="626" t="s">
        <v>1236</v>
      </c>
      <c r="VKB2148" s="626" t="s">
        <v>1236</v>
      </c>
      <c r="VKC2148" s="626" t="s">
        <v>1236</v>
      </c>
      <c r="VKD2148" s="626" t="s">
        <v>1236</v>
      </c>
      <c r="VKE2148" s="626" t="s">
        <v>1236</v>
      </c>
      <c r="VKF2148" s="626" t="s">
        <v>1236</v>
      </c>
      <c r="VKG2148" s="626" t="s">
        <v>1236</v>
      </c>
      <c r="VKH2148" s="626" t="s">
        <v>1236</v>
      </c>
      <c r="VKI2148" s="626" t="s">
        <v>1236</v>
      </c>
      <c r="VKJ2148" s="626" t="s">
        <v>1236</v>
      </c>
      <c r="VKK2148" s="626" t="s">
        <v>1236</v>
      </c>
      <c r="VKL2148" s="626" t="s">
        <v>1236</v>
      </c>
      <c r="VKM2148" s="626" t="s">
        <v>1236</v>
      </c>
      <c r="VKN2148" s="626" t="s">
        <v>1236</v>
      </c>
      <c r="VKO2148" s="626" t="s">
        <v>1236</v>
      </c>
      <c r="VKP2148" s="626" t="s">
        <v>1236</v>
      </c>
      <c r="VKQ2148" s="626" t="s">
        <v>1236</v>
      </c>
      <c r="VKR2148" s="626" t="s">
        <v>1236</v>
      </c>
      <c r="VKS2148" s="626" t="s">
        <v>1236</v>
      </c>
      <c r="VKT2148" s="626" t="s">
        <v>1236</v>
      </c>
      <c r="VKU2148" s="626" t="s">
        <v>1236</v>
      </c>
      <c r="VKV2148" s="626" t="s">
        <v>1236</v>
      </c>
      <c r="VKW2148" s="626" t="s">
        <v>1236</v>
      </c>
      <c r="VKX2148" s="626" t="s">
        <v>1236</v>
      </c>
      <c r="VKY2148" s="626" t="s">
        <v>1236</v>
      </c>
      <c r="VKZ2148" s="626" t="s">
        <v>1236</v>
      </c>
      <c r="VLA2148" s="626" t="s">
        <v>1236</v>
      </c>
      <c r="VLB2148" s="626" t="s">
        <v>1236</v>
      </c>
      <c r="VLC2148" s="626" t="s">
        <v>1236</v>
      </c>
      <c r="VLD2148" s="626" t="s">
        <v>1236</v>
      </c>
      <c r="VLE2148" s="626" t="s">
        <v>1236</v>
      </c>
      <c r="VLF2148" s="626" t="s">
        <v>1236</v>
      </c>
      <c r="VLG2148" s="626" t="s">
        <v>1236</v>
      </c>
      <c r="VLH2148" s="626" t="s">
        <v>1236</v>
      </c>
      <c r="VLI2148" s="626" t="s">
        <v>1236</v>
      </c>
      <c r="VLJ2148" s="626" t="s">
        <v>1236</v>
      </c>
      <c r="VLK2148" s="626" t="s">
        <v>1236</v>
      </c>
      <c r="VLL2148" s="626" t="s">
        <v>1236</v>
      </c>
      <c r="VLM2148" s="626" t="s">
        <v>1236</v>
      </c>
      <c r="VLN2148" s="626" t="s">
        <v>1236</v>
      </c>
      <c r="VLO2148" s="626" t="s">
        <v>1236</v>
      </c>
      <c r="VLP2148" s="626" t="s">
        <v>1236</v>
      </c>
      <c r="VLQ2148" s="626" t="s">
        <v>1236</v>
      </c>
      <c r="VLR2148" s="626" t="s">
        <v>1236</v>
      </c>
      <c r="VLS2148" s="626" t="s">
        <v>1236</v>
      </c>
      <c r="VLT2148" s="626" t="s">
        <v>1236</v>
      </c>
      <c r="VLU2148" s="626" t="s">
        <v>1236</v>
      </c>
      <c r="VLV2148" s="626" t="s">
        <v>1236</v>
      </c>
      <c r="VLW2148" s="626" t="s">
        <v>1236</v>
      </c>
      <c r="VLX2148" s="626" t="s">
        <v>1236</v>
      </c>
      <c r="VLY2148" s="626" t="s">
        <v>1236</v>
      </c>
      <c r="VLZ2148" s="626" t="s">
        <v>1236</v>
      </c>
      <c r="VMA2148" s="626" t="s">
        <v>1236</v>
      </c>
      <c r="VMB2148" s="626" t="s">
        <v>1236</v>
      </c>
      <c r="VMC2148" s="626" t="s">
        <v>1236</v>
      </c>
      <c r="VMD2148" s="626" t="s">
        <v>1236</v>
      </c>
      <c r="VME2148" s="626" t="s">
        <v>1236</v>
      </c>
      <c r="VMF2148" s="626" t="s">
        <v>1236</v>
      </c>
      <c r="VMG2148" s="626" t="s">
        <v>1236</v>
      </c>
      <c r="VMH2148" s="626" t="s">
        <v>1236</v>
      </c>
      <c r="VMI2148" s="626" t="s">
        <v>1236</v>
      </c>
      <c r="VMJ2148" s="626" t="s">
        <v>1236</v>
      </c>
      <c r="VMK2148" s="626" t="s">
        <v>1236</v>
      </c>
      <c r="VML2148" s="626" t="s">
        <v>1236</v>
      </c>
      <c r="VMM2148" s="626" t="s">
        <v>1236</v>
      </c>
      <c r="VMN2148" s="626" t="s">
        <v>1236</v>
      </c>
      <c r="VMO2148" s="626" t="s">
        <v>1236</v>
      </c>
      <c r="VMP2148" s="626" t="s">
        <v>1236</v>
      </c>
      <c r="VMQ2148" s="626" t="s">
        <v>1236</v>
      </c>
      <c r="VMR2148" s="626" t="s">
        <v>1236</v>
      </c>
      <c r="VMS2148" s="626" t="s">
        <v>1236</v>
      </c>
      <c r="VMT2148" s="626" t="s">
        <v>1236</v>
      </c>
      <c r="VMU2148" s="626" t="s">
        <v>1236</v>
      </c>
      <c r="VMV2148" s="626" t="s">
        <v>1236</v>
      </c>
      <c r="VMW2148" s="626" t="s">
        <v>1236</v>
      </c>
      <c r="VMX2148" s="626" t="s">
        <v>1236</v>
      </c>
      <c r="VMY2148" s="626" t="s">
        <v>1236</v>
      </c>
      <c r="VMZ2148" s="626" t="s">
        <v>1236</v>
      </c>
      <c r="VNA2148" s="626" t="s">
        <v>1236</v>
      </c>
      <c r="VNB2148" s="626" t="s">
        <v>1236</v>
      </c>
      <c r="VNC2148" s="626" t="s">
        <v>1236</v>
      </c>
      <c r="VND2148" s="626" t="s">
        <v>1236</v>
      </c>
      <c r="VNE2148" s="626" t="s">
        <v>1236</v>
      </c>
      <c r="VNF2148" s="626" t="s">
        <v>1236</v>
      </c>
      <c r="VNG2148" s="626" t="s">
        <v>1236</v>
      </c>
      <c r="VNH2148" s="626" t="s">
        <v>1236</v>
      </c>
      <c r="VNI2148" s="626" t="s">
        <v>1236</v>
      </c>
      <c r="VNJ2148" s="626" t="s">
        <v>1236</v>
      </c>
      <c r="VNK2148" s="626" t="s">
        <v>1236</v>
      </c>
      <c r="VNL2148" s="626" t="s">
        <v>1236</v>
      </c>
      <c r="VNM2148" s="626" t="s">
        <v>1236</v>
      </c>
      <c r="VNN2148" s="626" t="s">
        <v>1236</v>
      </c>
      <c r="VNO2148" s="626" t="s">
        <v>1236</v>
      </c>
      <c r="VNP2148" s="626" t="s">
        <v>1236</v>
      </c>
      <c r="VNQ2148" s="626" t="s">
        <v>1236</v>
      </c>
      <c r="VNR2148" s="626" t="s">
        <v>1236</v>
      </c>
      <c r="VNS2148" s="626" t="s">
        <v>1236</v>
      </c>
      <c r="VNT2148" s="626" t="s">
        <v>1236</v>
      </c>
      <c r="VNU2148" s="626" t="s">
        <v>1236</v>
      </c>
      <c r="VNV2148" s="626" t="s">
        <v>1236</v>
      </c>
      <c r="VNW2148" s="626" t="s">
        <v>1236</v>
      </c>
      <c r="VNX2148" s="626" t="s">
        <v>1236</v>
      </c>
      <c r="VNY2148" s="626" t="s">
        <v>1236</v>
      </c>
      <c r="VNZ2148" s="626" t="s">
        <v>1236</v>
      </c>
      <c r="VOA2148" s="626" t="s">
        <v>1236</v>
      </c>
      <c r="VOB2148" s="626" t="s">
        <v>1236</v>
      </c>
      <c r="VOC2148" s="626" t="s">
        <v>1236</v>
      </c>
      <c r="VOD2148" s="626" t="s">
        <v>1236</v>
      </c>
      <c r="VOE2148" s="626" t="s">
        <v>1236</v>
      </c>
      <c r="VOF2148" s="626" t="s">
        <v>1236</v>
      </c>
      <c r="VOG2148" s="626" t="s">
        <v>1236</v>
      </c>
      <c r="VOH2148" s="626" t="s">
        <v>1236</v>
      </c>
      <c r="VOI2148" s="626" t="s">
        <v>1236</v>
      </c>
      <c r="VOJ2148" s="626" t="s">
        <v>1236</v>
      </c>
      <c r="VOK2148" s="626" t="s">
        <v>1236</v>
      </c>
      <c r="VOL2148" s="626" t="s">
        <v>1236</v>
      </c>
      <c r="VOM2148" s="626" t="s">
        <v>1236</v>
      </c>
      <c r="VON2148" s="626" t="s">
        <v>1236</v>
      </c>
      <c r="VOO2148" s="626" t="s">
        <v>1236</v>
      </c>
      <c r="VOP2148" s="626" t="s">
        <v>1236</v>
      </c>
      <c r="VOQ2148" s="626" t="s">
        <v>1236</v>
      </c>
      <c r="VOR2148" s="626" t="s">
        <v>1236</v>
      </c>
      <c r="VOS2148" s="626" t="s">
        <v>1236</v>
      </c>
      <c r="VOT2148" s="626" t="s">
        <v>1236</v>
      </c>
      <c r="VOU2148" s="626" t="s">
        <v>1236</v>
      </c>
      <c r="VOV2148" s="626" t="s">
        <v>1236</v>
      </c>
      <c r="VOW2148" s="626" t="s">
        <v>1236</v>
      </c>
      <c r="VOX2148" s="626" t="s">
        <v>1236</v>
      </c>
      <c r="VOY2148" s="626" t="s">
        <v>1236</v>
      </c>
      <c r="VOZ2148" s="626" t="s">
        <v>1236</v>
      </c>
      <c r="VPA2148" s="626" t="s">
        <v>1236</v>
      </c>
      <c r="VPB2148" s="626" t="s">
        <v>1236</v>
      </c>
      <c r="VPC2148" s="626" t="s">
        <v>1236</v>
      </c>
      <c r="VPD2148" s="626" t="s">
        <v>1236</v>
      </c>
      <c r="VPE2148" s="626" t="s">
        <v>1236</v>
      </c>
      <c r="VPF2148" s="626" t="s">
        <v>1236</v>
      </c>
      <c r="VPG2148" s="626" t="s">
        <v>1236</v>
      </c>
      <c r="VPH2148" s="626" t="s">
        <v>1236</v>
      </c>
      <c r="VPI2148" s="626" t="s">
        <v>1236</v>
      </c>
      <c r="VPJ2148" s="626" t="s">
        <v>1236</v>
      </c>
      <c r="VPK2148" s="626" t="s">
        <v>1236</v>
      </c>
      <c r="VPL2148" s="626" t="s">
        <v>1236</v>
      </c>
      <c r="VPM2148" s="626" t="s">
        <v>1236</v>
      </c>
      <c r="VPN2148" s="626" t="s">
        <v>1236</v>
      </c>
      <c r="VPO2148" s="626" t="s">
        <v>1236</v>
      </c>
      <c r="VPP2148" s="626" t="s">
        <v>1236</v>
      </c>
      <c r="VPQ2148" s="626" t="s">
        <v>1236</v>
      </c>
      <c r="VPR2148" s="626" t="s">
        <v>1236</v>
      </c>
      <c r="VPS2148" s="626" t="s">
        <v>1236</v>
      </c>
      <c r="VPT2148" s="626" t="s">
        <v>1236</v>
      </c>
      <c r="VPU2148" s="626" t="s">
        <v>1236</v>
      </c>
      <c r="VPV2148" s="626" t="s">
        <v>1236</v>
      </c>
      <c r="VPW2148" s="626" t="s">
        <v>1236</v>
      </c>
      <c r="VPX2148" s="626" t="s">
        <v>1236</v>
      </c>
      <c r="VPY2148" s="626" t="s">
        <v>1236</v>
      </c>
      <c r="VPZ2148" s="626" t="s">
        <v>1236</v>
      </c>
      <c r="VQA2148" s="626" t="s">
        <v>1236</v>
      </c>
      <c r="VQB2148" s="626" t="s">
        <v>1236</v>
      </c>
      <c r="VQC2148" s="626" t="s">
        <v>1236</v>
      </c>
      <c r="VQD2148" s="626" t="s">
        <v>1236</v>
      </c>
      <c r="VQE2148" s="626" t="s">
        <v>1236</v>
      </c>
      <c r="VQF2148" s="626" t="s">
        <v>1236</v>
      </c>
      <c r="VQG2148" s="626" t="s">
        <v>1236</v>
      </c>
      <c r="VQH2148" s="626" t="s">
        <v>1236</v>
      </c>
      <c r="VQI2148" s="626" t="s">
        <v>1236</v>
      </c>
      <c r="VQJ2148" s="626" t="s">
        <v>1236</v>
      </c>
      <c r="VQK2148" s="626" t="s">
        <v>1236</v>
      </c>
      <c r="VQL2148" s="626" t="s">
        <v>1236</v>
      </c>
      <c r="VQM2148" s="626" t="s">
        <v>1236</v>
      </c>
      <c r="VQN2148" s="626" t="s">
        <v>1236</v>
      </c>
      <c r="VQO2148" s="626" t="s">
        <v>1236</v>
      </c>
      <c r="VQP2148" s="626" t="s">
        <v>1236</v>
      </c>
      <c r="VQQ2148" s="626" t="s">
        <v>1236</v>
      </c>
      <c r="VQR2148" s="626" t="s">
        <v>1236</v>
      </c>
      <c r="VQS2148" s="626" t="s">
        <v>1236</v>
      </c>
      <c r="VQT2148" s="626" t="s">
        <v>1236</v>
      </c>
      <c r="VQU2148" s="626" t="s">
        <v>1236</v>
      </c>
      <c r="VQV2148" s="626" t="s">
        <v>1236</v>
      </c>
      <c r="VQW2148" s="626" t="s">
        <v>1236</v>
      </c>
      <c r="VQX2148" s="626" t="s">
        <v>1236</v>
      </c>
      <c r="VQY2148" s="626" t="s">
        <v>1236</v>
      </c>
      <c r="VQZ2148" s="626" t="s">
        <v>1236</v>
      </c>
      <c r="VRA2148" s="626" t="s">
        <v>1236</v>
      </c>
      <c r="VRB2148" s="626" t="s">
        <v>1236</v>
      </c>
      <c r="VRC2148" s="626" t="s">
        <v>1236</v>
      </c>
      <c r="VRD2148" s="626" t="s">
        <v>1236</v>
      </c>
      <c r="VRE2148" s="626" t="s">
        <v>1236</v>
      </c>
      <c r="VRF2148" s="626" t="s">
        <v>1236</v>
      </c>
      <c r="VRG2148" s="626" t="s">
        <v>1236</v>
      </c>
      <c r="VRH2148" s="626" t="s">
        <v>1236</v>
      </c>
      <c r="VRI2148" s="626" t="s">
        <v>1236</v>
      </c>
      <c r="VRJ2148" s="626" t="s">
        <v>1236</v>
      </c>
      <c r="VRK2148" s="626" t="s">
        <v>1236</v>
      </c>
      <c r="VRL2148" s="626" t="s">
        <v>1236</v>
      </c>
      <c r="VRM2148" s="626" t="s">
        <v>1236</v>
      </c>
      <c r="VRN2148" s="626" t="s">
        <v>1236</v>
      </c>
      <c r="VRO2148" s="626" t="s">
        <v>1236</v>
      </c>
      <c r="VRP2148" s="626" t="s">
        <v>1236</v>
      </c>
      <c r="VRQ2148" s="626" t="s">
        <v>1236</v>
      </c>
      <c r="VRR2148" s="626" t="s">
        <v>1236</v>
      </c>
      <c r="VRS2148" s="626" t="s">
        <v>1236</v>
      </c>
      <c r="VRT2148" s="626" t="s">
        <v>1236</v>
      </c>
      <c r="VRU2148" s="626" t="s">
        <v>1236</v>
      </c>
      <c r="VRV2148" s="626" t="s">
        <v>1236</v>
      </c>
      <c r="VRW2148" s="626" t="s">
        <v>1236</v>
      </c>
      <c r="VRX2148" s="626" t="s">
        <v>1236</v>
      </c>
      <c r="VRY2148" s="626" t="s">
        <v>1236</v>
      </c>
      <c r="VRZ2148" s="626" t="s">
        <v>1236</v>
      </c>
      <c r="VSA2148" s="626" t="s">
        <v>1236</v>
      </c>
      <c r="VSB2148" s="626" t="s">
        <v>1236</v>
      </c>
      <c r="VSC2148" s="626" t="s">
        <v>1236</v>
      </c>
      <c r="VSD2148" s="626" t="s">
        <v>1236</v>
      </c>
      <c r="VSE2148" s="626" t="s">
        <v>1236</v>
      </c>
      <c r="VSF2148" s="626" t="s">
        <v>1236</v>
      </c>
      <c r="VSG2148" s="626" t="s">
        <v>1236</v>
      </c>
      <c r="VSH2148" s="626" t="s">
        <v>1236</v>
      </c>
      <c r="VSI2148" s="626" t="s">
        <v>1236</v>
      </c>
      <c r="VSJ2148" s="626" t="s">
        <v>1236</v>
      </c>
      <c r="VSK2148" s="626" t="s">
        <v>1236</v>
      </c>
      <c r="VSL2148" s="626" t="s">
        <v>1236</v>
      </c>
      <c r="VSM2148" s="626" t="s">
        <v>1236</v>
      </c>
      <c r="VSN2148" s="626" t="s">
        <v>1236</v>
      </c>
      <c r="VSO2148" s="626" t="s">
        <v>1236</v>
      </c>
      <c r="VSP2148" s="626" t="s">
        <v>1236</v>
      </c>
      <c r="VSQ2148" s="626" t="s">
        <v>1236</v>
      </c>
      <c r="VSR2148" s="626" t="s">
        <v>1236</v>
      </c>
      <c r="VSS2148" s="626" t="s">
        <v>1236</v>
      </c>
      <c r="VST2148" s="626" t="s">
        <v>1236</v>
      </c>
      <c r="VSU2148" s="626" t="s">
        <v>1236</v>
      </c>
      <c r="VSV2148" s="626" t="s">
        <v>1236</v>
      </c>
      <c r="VSW2148" s="626" t="s">
        <v>1236</v>
      </c>
      <c r="VSX2148" s="626" t="s">
        <v>1236</v>
      </c>
      <c r="VSY2148" s="626" t="s">
        <v>1236</v>
      </c>
      <c r="VSZ2148" s="626" t="s">
        <v>1236</v>
      </c>
      <c r="VTA2148" s="626" t="s">
        <v>1236</v>
      </c>
      <c r="VTB2148" s="626" t="s">
        <v>1236</v>
      </c>
      <c r="VTC2148" s="626" t="s">
        <v>1236</v>
      </c>
      <c r="VTD2148" s="626" t="s">
        <v>1236</v>
      </c>
      <c r="VTE2148" s="626" t="s">
        <v>1236</v>
      </c>
      <c r="VTF2148" s="626" t="s">
        <v>1236</v>
      </c>
      <c r="VTG2148" s="626" t="s">
        <v>1236</v>
      </c>
      <c r="VTH2148" s="626" t="s">
        <v>1236</v>
      </c>
      <c r="VTI2148" s="626" t="s">
        <v>1236</v>
      </c>
      <c r="VTJ2148" s="626" t="s">
        <v>1236</v>
      </c>
      <c r="VTK2148" s="626" t="s">
        <v>1236</v>
      </c>
      <c r="VTL2148" s="626" t="s">
        <v>1236</v>
      </c>
      <c r="VTM2148" s="626" t="s">
        <v>1236</v>
      </c>
      <c r="VTN2148" s="626" t="s">
        <v>1236</v>
      </c>
      <c r="VTO2148" s="626" t="s">
        <v>1236</v>
      </c>
      <c r="VTP2148" s="626" t="s">
        <v>1236</v>
      </c>
      <c r="VTQ2148" s="626" t="s">
        <v>1236</v>
      </c>
      <c r="VTR2148" s="626" t="s">
        <v>1236</v>
      </c>
      <c r="VTS2148" s="626" t="s">
        <v>1236</v>
      </c>
      <c r="VTT2148" s="626" t="s">
        <v>1236</v>
      </c>
      <c r="VTU2148" s="626" t="s">
        <v>1236</v>
      </c>
      <c r="VTV2148" s="626" t="s">
        <v>1236</v>
      </c>
      <c r="VTW2148" s="626" t="s">
        <v>1236</v>
      </c>
      <c r="VTX2148" s="626" t="s">
        <v>1236</v>
      </c>
      <c r="VTY2148" s="626" t="s">
        <v>1236</v>
      </c>
      <c r="VTZ2148" s="626" t="s">
        <v>1236</v>
      </c>
      <c r="VUA2148" s="626" t="s">
        <v>1236</v>
      </c>
      <c r="VUB2148" s="626" t="s">
        <v>1236</v>
      </c>
      <c r="VUC2148" s="626" t="s">
        <v>1236</v>
      </c>
      <c r="VUD2148" s="626" t="s">
        <v>1236</v>
      </c>
      <c r="VUE2148" s="626" t="s">
        <v>1236</v>
      </c>
      <c r="VUF2148" s="626" t="s">
        <v>1236</v>
      </c>
      <c r="VUG2148" s="626" t="s">
        <v>1236</v>
      </c>
      <c r="VUH2148" s="626" t="s">
        <v>1236</v>
      </c>
      <c r="VUI2148" s="626" t="s">
        <v>1236</v>
      </c>
      <c r="VUJ2148" s="626" t="s">
        <v>1236</v>
      </c>
      <c r="VUK2148" s="626" t="s">
        <v>1236</v>
      </c>
      <c r="VUL2148" s="626" t="s">
        <v>1236</v>
      </c>
      <c r="VUM2148" s="626" t="s">
        <v>1236</v>
      </c>
      <c r="VUN2148" s="626" t="s">
        <v>1236</v>
      </c>
      <c r="VUO2148" s="626" t="s">
        <v>1236</v>
      </c>
      <c r="VUP2148" s="626" t="s">
        <v>1236</v>
      </c>
      <c r="VUQ2148" s="626" t="s">
        <v>1236</v>
      </c>
      <c r="VUR2148" s="626" t="s">
        <v>1236</v>
      </c>
      <c r="VUS2148" s="626" t="s">
        <v>1236</v>
      </c>
      <c r="VUT2148" s="626" t="s">
        <v>1236</v>
      </c>
      <c r="VUU2148" s="626" t="s">
        <v>1236</v>
      </c>
      <c r="VUV2148" s="626" t="s">
        <v>1236</v>
      </c>
      <c r="VUW2148" s="626" t="s">
        <v>1236</v>
      </c>
      <c r="VUX2148" s="626" t="s">
        <v>1236</v>
      </c>
      <c r="VUY2148" s="626" t="s">
        <v>1236</v>
      </c>
      <c r="VUZ2148" s="626" t="s">
        <v>1236</v>
      </c>
      <c r="VVA2148" s="626" t="s">
        <v>1236</v>
      </c>
      <c r="VVB2148" s="626" t="s">
        <v>1236</v>
      </c>
      <c r="VVC2148" s="626" t="s">
        <v>1236</v>
      </c>
      <c r="VVD2148" s="626" t="s">
        <v>1236</v>
      </c>
      <c r="VVE2148" s="626" t="s">
        <v>1236</v>
      </c>
      <c r="VVF2148" s="626" t="s">
        <v>1236</v>
      </c>
      <c r="VVG2148" s="626" t="s">
        <v>1236</v>
      </c>
      <c r="VVH2148" s="626" t="s">
        <v>1236</v>
      </c>
      <c r="VVI2148" s="626" t="s">
        <v>1236</v>
      </c>
      <c r="VVJ2148" s="626" t="s">
        <v>1236</v>
      </c>
      <c r="VVK2148" s="626" t="s">
        <v>1236</v>
      </c>
      <c r="VVL2148" s="626" t="s">
        <v>1236</v>
      </c>
      <c r="VVM2148" s="626" t="s">
        <v>1236</v>
      </c>
      <c r="VVN2148" s="626" t="s">
        <v>1236</v>
      </c>
      <c r="VVO2148" s="626" t="s">
        <v>1236</v>
      </c>
      <c r="VVP2148" s="626" t="s">
        <v>1236</v>
      </c>
      <c r="VVQ2148" s="626" t="s">
        <v>1236</v>
      </c>
      <c r="VVR2148" s="626" t="s">
        <v>1236</v>
      </c>
      <c r="VVS2148" s="626" t="s">
        <v>1236</v>
      </c>
      <c r="VVT2148" s="626" t="s">
        <v>1236</v>
      </c>
      <c r="VVU2148" s="626" t="s">
        <v>1236</v>
      </c>
      <c r="VVV2148" s="626" t="s">
        <v>1236</v>
      </c>
      <c r="VVW2148" s="626" t="s">
        <v>1236</v>
      </c>
      <c r="VVX2148" s="626" t="s">
        <v>1236</v>
      </c>
      <c r="VVY2148" s="626" t="s">
        <v>1236</v>
      </c>
      <c r="VVZ2148" s="626" t="s">
        <v>1236</v>
      </c>
      <c r="VWA2148" s="626" t="s">
        <v>1236</v>
      </c>
      <c r="VWB2148" s="626" t="s">
        <v>1236</v>
      </c>
      <c r="VWC2148" s="626" t="s">
        <v>1236</v>
      </c>
      <c r="VWD2148" s="626" t="s">
        <v>1236</v>
      </c>
      <c r="VWE2148" s="626" t="s">
        <v>1236</v>
      </c>
      <c r="VWF2148" s="626" t="s">
        <v>1236</v>
      </c>
      <c r="VWG2148" s="626" t="s">
        <v>1236</v>
      </c>
      <c r="VWH2148" s="626" t="s">
        <v>1236</v>
      </c>
      <c r="VWI2148" s="626" t="s">
        <v>1236</v>
      </c>
      <c r="VWJ2148" s="626" t="s">
        <v>1236</v>
      </c>
      <c r="VWK2148" s="626" t="s">
        <v>1236</v>
      </c>
      <c r="VWL2148" s="626" t="s">
        <v>1236</v>
      </c>
      <c r="VWM2148" s="626" t="s">
        <v>1236</v>
      </c>
      <c r="VWN2148" s="626" t="s">
        <v>1236</v>
      </c>
      <c r="VWO2148" s="626" t="s">
        <v>1236</v>
      </c>
      <c r="VWP2148" s="626" t="s">
        <v>1236</v>
      </c>
      <c r="VWQ2148" s="626" t="s">
        <v>1236</v>
      </c>
      <c r="VWR2148" s="626" t="s">
        <v>1236</v>
      </c>
      <c r="VWS2148" s="626" t="s">
        <v>1236</v>
      </c>
      <c r="VWT2148" s="626" t="s">
        <v>1236</v>
      </c>
      <c r="VWU2148" s="626" t="s">
        <v>1236</v>
      </c>
      <c r="VWV2148" s="626" t="s">
        <v>1236</v>
      </c>
      <c r="VWW2148" s="626" t="s">
        <v>1236</v>
      </c>
      <c r="VWX2148" s="626" t="s">
        <v>1236</v>
      </c>
      <c r="VWY2148" s="626" t="s">
        <v>1236</v>
      </c>
      <c r="VWZ2148" s="626" t="s">
        <v>1236</v>
      </c>
      <c r="VXA2148" s="626" t="s">
        <v>1236</v>
      </c>
      <c r="VXB2148" s="626" t="s">
        <v>1236</v>
      </c>
      <c r="VXC2148" s="626" t="s">
        <v>1236</v>
      </c>
      <c r="VXD2148" s="626" t="s">
        <v>1236</v>
      </c>
      <c r="VXE2148" s="626" t="s">
        <v>1236</v>
      </c>
      <c r="VXF2148" s="626" t="s">
        <v>1236</v>
      </c>
      <c r="VXG2148" s="626" t="s">
        <v>1236</v>
      </c>
      <c r="VXH2148" s="626" t="s">
        <v>1236</v>
      </c>
      <c r="VXI2148" s="626" t="s">
        <v>1236</v>
      </c>
      <c r="VXJ2148" s="626" t="s">
        <v>1236</v>
      </c>
      <c r="VXK2148" s="626" t="s">
        <v>1236</v>
      </c>
      <c r="VXL2148" s="626" t="s">
        <v>1236</v>
      </c>
      <c r="VXM2148" s="626" t="s">
        <v>1236</v>
      </c>
      <c r="VXN2148" s="626" t="s">
        <v>1236</v>
      </c>
      <c r="VXO2148" s="626" t="s">
        <v>1236</v>
      </c>
      <c r="VXP2148" s="626" t="s">
        <v>1236</v>
      </c>
      <c r="VXQ2148" s="626" t="s">
        <v>1236</v>
      </c>
      <c r="VXR2148" s="626" t="s">
        <v>1236</v>
      </c>
      <c r="VXS2148" s="626" t="s">
        <v>1236</v>
      </c>
      <c r="VXT2148" s="626" t="s">
        <v>1236</v>
      </c>
      <c r="VXU2148" s="626" t="s">
        <v>1236</v>
      </c>
      <c r="VXV2148" s="626" t="s">
        <v>1236</v>
      </c>
      <c r="VXW2148" s="626" t="s">
        <v>1236</v>
      </c>
      <c r="VXX2148" s="626" t="s">
        <v>1236</v>
      </c>
      <c r="VXY2148" s="626" t="s">
        <v>1236</v>
      </c>
      <c r="VXZ2148" s="626" t="s">
        <v>1236</v>
      </c>
      <c r="VYA2148" s="626" t="s">
        <v>1236</v>
      </c>
      <c r="VYB2148" s="626" t="s">
        <v>1236</v>
      </c>
      <c r="VYC2148" s="626" t="s">
        <v>1236</v>
      </c>
      <c r="VYD2148" s="626" t="s">
        <v>1236</v>
      </c>
      <c r="VYE2148" s="626" t="s">
        <v>1236</v>
      </c>
      <c r="VYF2148" s="626" t="s">
        <v>1236</v>
      </c>
      <c r="VYG2148" s="626" t="s">
        <v>1236</v>
      </c>
      <c r="VYH2148" s="626" t="s">
        <v>1236</v>
      </c>
      <c r="VYI2148" s="626" t="s">
        <v>1236</v>
      </c>
      <c r="VYJ2148" s="626" t="s">
        <v>1236</v>
      </c>
      <c r="VYK2148" s="626" t="s">
        <v>1236</v>
      </c>
      <c r="VYL2148" s="626" t="s">
        <v>1236</v>
      </c>
      <c r="VYM2148" s="626" t="s">
        <v>1236</v>
      </c>
      <c r="VYN2148" s="626" t="s">
        <v>1236</v>
      </c>
      <c r="VYO2148" s="626" t="s">
        <v>1236</v>
      </c>
      <c r="VYP2148" s="626" t="s">
        <v>1236</v>
      </c>
      <c r="VYQ2148" s="626" t="s">
        <v>1236</v>
      </c>
      <c r="VYR2148" s="626" t="s">
        <v>1236</v>
      </c>
      <c r="VYS2148" s="626" t="s">
        <v>1236</v>
      </c>
      <c r="VYT2148" s="626" t="s">
        <v>1236</v>
      </c>
      <c r="VYU2148" s="626" t="s">
        <v>1236</v>
      </c>
      <c r="VYV2148" s="626" t="s">
        <v>1236</v>
      </c>
      <c r="VYW2148" s="626" t="s">
        <v>1236</v>
      </c>
      <c r="VYX2148" s="626" t="s">
        <v>1236</v>
      </c>
      <c r="VYY2148" s="626" t="s">
        <v>1236</v>
      </c>
      <c r="VYZ2148" s="626" t="s">
        <v>1236</v>
      </c>
      <c r="VZA2148" s="626" t="s">
        <v>1236</v>
      </c>
      <c r="VZB2148" s="626" t="s">
        <v>1236</v>
      </c>
      <c r="VZC2148" s="626" t="s">
        <v>1236</v>
      </c>
      <c r="VZD2148" s="626" t="s">
        <v>1236</v>
      </c>
      <c r="VZE2148" s="626" t="s">
        <v>1236</v>
      </c>
      <c r="VZF2148" s="626" t="s">
        <v>1236</v>
      </c>
      <c r="VZG2148" s="626" t="s">
        <v>1236</v>
      </c>
      <c r="VZH2148" s="626" t="s">
        <v>1236</v>
      </c>
      <c r="VZI2148" s="626" t="s">
        <v>1236</v>
      </c>
      <c r="VZJ2148" s="626" t="s">
        <v>1236</v>
      </c>
      <c r="VZK2148" s="626" t="s">
        <v>1236</v>
      </c>
      <c r="VZL2148" s="626" t="s">
        <v>1236</v>
      </c>
      <c r="VZM2148" s="626" t="s">
        <v>1236</v>
      </c>
      <c r="VZN2148" s="626" t="s">
        <v>1236</v>
      </c>
      <c r="VZO2148" s="626" t="s">
        <v>1236</v>
      </c>
      <c r="VZP2148" s="626" t="s">
        <v>1236</v>
      </c>
      <c r="VZQ2148" s="626" t="s">
        <v>1236</v>
      </c>
      <c r="VZR2148" s="626" t="s">
        <v>1236</v>
      </c>
      <c r="VZS2148" s="626" t="s">
        <v>1236</v>
      </c>
      <c r="VZT2148" s="626" t="s">
        <v>1236</v>
      </c>
      <c r="VZU2148" s="626" t="s">
        <v>1236</v>
      </c>
      <c r="VZV2148" s="626" t="s">
        <v>1236</v>
      </c>
      <c r="VZW2148" s="626" t="s">
        <v>1236</v>
      </c>
      <c r="VZX2148" s="626" t="s">
        <v>1236</v>
      </c>
      <c r="VZY2148" s="626" t="s">
        <v>1236</v>
      </c>
      <c r="VZZ2148" s="626" t="s">
        <v>1236</v>
      </c>
      <c r="WAA2148" s="626" t="s">
        <v>1236</v>
      </c>
      <c r="WAB2148" s="626" t="s">
        <v>1236</v>
      </c>
      <c r="WAC2148" s="626" t="s">
        <v>1236</v>
      </c>
      <c r="WAD2148" s="626" t="s">
        <v>1236</v>
      </c>
      <c r="WAE2148" s="626" t="s">
        <v>1236</v>
      </c>
      <c r="WAF2148" s="626" t="s">
        <v>1236</v>
      </c>
      <c r="WAG2148" s="626" t="s">
        <v>1236</v>
      </c>
      <c r="WAH2148" s="626" t="s">
        <v>1236</v>
      </c>
      <c r="WAI2148" s="626" t="s">
        <v>1236</v>
      </c>
      <c r="WAJ2148" s="626" t="s">
        <v>1236</v>
      </c>
      <c r="WAK2148" s="626" t="s">
        <v>1236</v>
      </c>
      <c r="WAL2148" s="626" t="s">
        <v>1236</v>
      </c>
      <c r="WAM2148" s="626" t="s">
        <v>1236</v>
      </c>
      <c r="WAN2148" s="626" t="s">
        <v>1236</v>
      </c>
      <c r="WAO2148" s="626" t="s">
        <v>1236</v>
      </c>
      <c r="WAP2148" s="626" t="s">
        <v>1236</v>
      </c>
      <c r="WAQ2148" s="626" t="s">
        <v>1236</v>
      </c>
      <c r="WAR2148" s="626" t="s">
        <v>1236</v>
      </c>
      <c r="WAS2148" s="626" t="s">
        <v>1236</v>
      </c>
      <c r="WAT2148" s="626" t="s">
        <v>1236</v>
      </c>
      <c r="WAU2148" s="626" t="s">
        <v>1236</v>
      </c>
      <c r="WAV2148" s="626" t="s">
        <v>1236</v>
      </c>
      <c r="WAW2148" s="626" t="s">
        <v>1236</v>
      </c>
      <c r="WAX2148" s="626" t="s">
        <v>1236</v>
      </c>
      <c r="WAY2148" s="626" t="s">
        <v>1236</v>
      </c>
      <c r="WAZ2148" s="626" t="s">
        <v>1236</v>
      </c>
      <c r="WBA2148" s="626" t="s">
        <v>1236</v>
      </c>
      <c r="WBB2148" s="626" t="s">
        <v>1236</v>
      </c>
      <c r="WBC2148" s="626" t="s">
        <v>1236</v>
      </c>
      <c r="WBD2148" s="626" t="s">
        <v>1236</v>
      </c>
      <c r="WBE2148" s="626" t="s">
        <v>1236</v>
      </c>
      <c r="WBF2148" s="626" t="s">
        <v>1236</v>
      </c>
      <c r="WBG2148" s="626" t="s">
        <v>1236</v>
      </c>
      <c r="WBH2148" s="626" t="s">
        <v>1236</v>
      </c>
      <c r="WBI2148" s="626" t="s">
        <v>1236</v>
      </c>
      <c r="WBJ2148" s="626" t="s">
        <v>1236</v>
      </c>
      <c r="WBK2148" s="626" t="s">
        <v>1236</v>
      </c>
      <c r="WBL2148" s="626" t="s">
        <v>1236</v>
      </c>
      <c r="WBM2148" s="626" t="s">
        <v>1236</v>
      </c>
      <c r="WBN2148" s="626" t="s">
        <v>1236</v>
      </c>
      <c r="WBO2148" s="626" t="s">
        <v>1236</v>
      </c>
      <c r="WBP2148" s="626" t="s">
        <v>1236</v>
      </c>
      <c r="WBQ2148" s="626" t="s">
        <v>1236</v>
      </c>
      <c r="WBR2148" s="626" t="s">
        <v>1236</v>
      </c>
      <c r="WBS2148" s="626" t="s">
        <v>1236</v>
      </c>
      <c r="WBT2148" s="626" t="s">
        <v>1236</v>
      </c>
      <c r="WBU2148" s="626" t="s">
        <v>1236</v>
      </c>
      <c r="WBV2148" s="626" t="s">
        <v>1236</v>
      </c>
      <c r="WBW2148" s="626" t="s">
        <v>1236</v>
      </c>
      <c r="WBX2148" s="626" t="s">
        <v>1236</v>
      </c>
      <c r="WBY2148" s="626" t="s">
        <v>1236</v>
      </c>
      <c r="WBZ2148" s="626" t="s">
        <v>1236</v>
      </c>
      <c r="WCA2148" s="626" t="s">
        <v>1236</v>
      </c>
      <c r="WCB2148" s="626" t="s">
        <v>1236</v>
      </c>
      <c r="WCC2148" s="626" t="s">
        <v>1236</v>
      </c>
      <c r="WCD2148" s="626" t="s">
        <v>1236</v>
      </c>
      <c r="WCE2148" s="626" t="s">
        <v>1236</v>
      </c>
      <c r="WCF2148" s="626" t="s">
        <v>1236</v>
      </c>
      <c r="WCG2148" s="626" t="s">
        <v>1236</v>
      </c>
      <c r="WCH2148" s="626" t="s">
        <v>1236</v>
      </c>
      <c r="WCI2148" s="626" t="s">
        <v>1236</v>
      </c>
      <c r="WCJ2148" s="626" t="s">
        <v>1236</v>
      </c>
      <c r="WCK2148" s="626" t="s">
        <v>1236</v>
      </c>
      <c r="WCL2148" s="626" t="s">
        <v>1236</v>
      </c>
      <c r="WCM2148" s="626" t="s">
        <v>1236</v>
      </c>
      <c r="WCN2148" s="626" t="s">
        <v>1236</v>
      </c>
      <c r="WCO2148" s="626" t="s">
        <v>1236</v>
      </c>
      <c r="WCP2148" s="626" t="s">
        <v>1236</v>
      </c>
      <c r="WCQ2148" s="626" t="s">
        <v>1236</v>
      </c>
      <c r="WCR2148" s="626" t="s">
        <v>1236</v>
      </c>
      <c r="WCS2148" s="626" t="s">
        <v>1236</v>
      </c>
      <c r="WCT2148" s="626" t="s">
        <v>1236</v>
      </c>
      <c r="WCU2148" s="626" t="s">
        <v>1236</v>
      </c>
      <c r="WCV2148" s="626" t="s">
        <v>1236</v>
      </c>
      <c r="WCW2148" s="626" t="s">
        <v>1236</v>
      </c>
      <c r="WCX2148" s="626" t="s">
        <v>1236</v>
      </c>
      <c r="WCY2148" s="626" t="s">
        <v>1236</v>
      </c>
      <c r="WCZ2148" s="626" t="s">
        <v>1236</v>
      </c>
      <c r="WDA2148" s="626" t="s">
        <v>1236</v>
      </c>
      <c r="WDB2148" s="626" t="s">
        <v>1236</v>
      </c>
      <c r="WDC2148" s="626" t="s">
        <v>1236</v>
      </c>
      <c r="WDD2148" s="626" t="s">
        <v>1236</v>
      </c>
      <c r="WDE2148" s="626" t="s">
        <v>1236</v>
      </c>
      <c r="WDF2148" s="626" t="s">
        <v>1236</v>
      </c>
      <c r="WDG2148" s="626" t="s">
        <v>1236</v>
      </c>
      <c r="WDH2148" s="626" t="s">
        <v>1236</v>
      </c>
      <c r="WDI2148" s="626" t="s">
        <v>1236</v>
      </c>
      <c r="WDJ2148" s="626" t="s">
        <v>1236</v>
      </c>
      <c r="WDK2148" s="626" t="s">
        <v>1236</v>
      </c>
      <c r="WDL2148" s="626" t="s">
        <v>1236</v>
      </c>
      <c r="WDM2148" s="626" t="s">
        <v>1236</v>
      </c>
      <c r="WDN2148" s="626" t="s">
        <v>1236</v>
      </c>
      <c r="WDO2148" s="626" t="s">
        <v>1236</v>
      </c>
      <c r="WDP2148" s="626" t="s">
        <v>1236</v>
      </c>
      <c r="WDQ2148" s="626" t="s">
        <v>1236</v>
      </c>
      <c r="WDR2148" s="626" t="s">
        <v>1236</v>
      </c>
      <c r="WDS2148" s="626" t="s">
        <v>1236</v>
      </c>
      <c r="WDT2148" s="626" t="s">
        <v>1236</v>
      </c>
      <c r="WDU2148" s="626" t="s">
        <v>1236</v>
      </c>
      <c r="WDV2148" s="626" t="s">
        <v>1236</v>
      </c>
      <c r="WDW2148" s="626" t="s">
        <v>1236</v>
      </c>
      <c r="WDX2148" s="626" t="s">
        <v>1236</v>
      </c>
      <c r="WDY2148" s="626" t="s">
        <v>1236</v>
      </c>
      <c r="WDZ2148" s="626" t="s">
        <v>1236</v>
      </c>
      <c r="WEA2148" s="626" t="s">
        <v>1236</v>
      </c>
      <c r="WEB2148" s="626" t="s">
        <v>1236</v>
      </c>
      <c r="WEC2148" s="626" t="s">
        <v>1236</v>
      </c>
      <c r="WED2148" s="626" t="s">
        <v>1236</v>
      </c>
      <c r="WEE2148" s="626" t="s">
        <v>1236</v>
      </c>
      <c r="WEF2148" s="626" t="s">
        <v>1236</v>
      </c>
      <c r="WEG2148" s="626" t="s">
        <v>1236</v>
      </c>
      <c r="WEH2148" s="626" t="s">
        <v>1236</v>
      </c>
      <c r="WEI2148" s="626" t="s">
        <v>1236</v>
      </c>
      <c r="WEJ2148" s="626" t="s">
        <v>1236</v>
      </c>
      <c r="WEK2148" s="626" t="s">
        <v>1236</v>
      </c>
      <c r="WEL2148" s="626" t="s">
        <v>1236</v>
      </c>
      <c r="WEM2148" s="626" t="s">
        <v>1236</v>
      </c>
      <c r="WEN2148" s="626" t="s">
        <v>1236</v>
      </c>
      <c r="WEO2148" s="626" t="s">
        <v>1236</v>
      </c>
      <c r="WEP2148" s="626" t="s">
        <v>1236</v>
      </c>
      <c r="WEQ2148" s="626" t="s">
        <v>1236</v>
      </c>
      <c r="WER2148" s="626" t="s">
        <v>1236</v>
      </c>
      <c r="WES2148" s="626" t="s">
        <v>1236</v>
      </c>
      <c r="WET2148" s="626" t="s">
        <v>1236</v>
      </c>
      <c r="WEU2148" s="626" t="s">
        <v>1236</v>
      </c>
      <c r="WEV2148" s="626" t="s">
        <v>1236</v>
      </c>
      <c r="WEW2148" s="626" t="s">
        <v>1236</v>
      </c>
      <c r="WEX2148" s="626" t="s">
        <v>1236</v>
      </c>
      <c r="WEY2148" s="626" t="s">
        <v>1236</v>
      </c>
      <c r="WEZ2148" s="626" t="s">
        <v>1236</v>
      </c>
      <c r="WFA2148" s="626" t="s">
        <v>1236</v>
      </c>
      <c r="WFB2148" s="626" t="s">
        <v>1236</v>
      </c>
      <c r="WFC2148" s="626" t="s">
        <v>1236</v>
      </c>
      <c r="WFD2148" s="626" t="s">
        <v>1236</v>
      </c>
      <c r="WFE2148" s="626" t="s">
        <v>1236</v>
      </c>
      <c r="WFF2148" s="626" t="s">
        <v>1236</v>
      </c>
      <c r="WFG2148" s="626" t="s">
        <v>1236</v>
      </c>
      <c r="WFH2148" s="626" t="s">
        <v>1236</v>
      </c>
      <c r="WFI2148" s="626" t="s">
        <v>1236</v>
      </c>
      <c r="WFJ2148" s="626" t="s">
        <v>1236</v>
      </c>
      <c r="WFK2148" s="626" t="s">
        <v>1236</v>
      </c>
      <c r="WFL2148" s="626" t="s">
        <v>1236</v>
      </c>
      <c r="WFM2148" s="626" t="s">
        <v>1236</v>
      </c>
      <c r="WFN2148" s="626" t="s">
        <v>1236</v>
      </c>
      <c r="WFO2148" s="626" t="s">
        <v>1236</v>
      </c>
      <c r="WFP2148" s="626" t="s">
        <v>1236</v>
      </c>
      <c r="WFQ2148" s="626" t="s">
        <v>1236</v>
      </c>
      <c r="WFR2148" s="626" t="s">
        <v>1236</v>
      </c>
      <c r="WFS2148" s="626" t="s">
        <v>1236</v>
      </c>
      <c r="WFT2148" s="626" t="s">
        <v>1236</v>
      </c>
      <c r="WFU2148" s="626" t="s">
        <v>1236</v>
      </c>
      <c r="WFV2148" s="626" t="s">
        <v>1236</v>
      </c>
      <c r="WFW2148" s="626" t="s">
        <v>1236</v>
      </c>
      <c r="WFX2148" s="626" t="s">
        <v>1236</v>
      </c>
      <c r="WFY2148" s="626" t="s">
        <v>1236</v>
      </c>
      <c r="WFZ2148" s="626" t="s">
        <v>1236</v>
      </c>
      <c r="WGA2148" s="626" t="s">
        <v>1236</v>
      </c>
      <c r="WGB2148" s="626" t="s">
        <v>1236</v>
      </c>
      <c r="WGC2148" s="626" t="s">
        <v>1236</v>
      </c>
      <c r="WGD2148" s="626" t="s">
        <v>1236</v>
      </c>
      <c r="WGE2148" s="626" t="s">
        <v>1236</v>
      </c>
      <c r="WGF2148" s="626" t="s">
        <v>1236</v>
      </c>
      <c r="WGG2148" s="626" t="s">
        <v>1236</v>
      </c>
      <c r="WGH2148" s="626" t="s">
        <v>1236</v>
      </c>
      <c r="WGI2148" s="626" t="s">
        <v>1236</v>
      </c>
      <c r="WGJ2148" s="626" t="s">
        <v>1236</v>
      </c>
      <c r="WGK2148" s="626" t="s">
        <v>1236</v>
      </c>
      <c r="WGL2148" s="626" t="s">
        <v>1236</v>
      </c>
      <c r="WGM2148" s="626" t="s">
        <v>1236</v>
      </c>
      <c r="WGN2148" s="626" t="s">
        <v>1236</v>
      </c>
      <c r="WGO2148" s="626" t="s">
        <v>1236</v>
      </c>
      <c r="WGP2148" s="626" t="s">
        <v>1236</v>
      </c>
      <c r="WGQ2148" s="626" t="s">
        <v>1236</v>
      </c>
      <c r="WGR2148" s="626" t="s">
        <v>1236</v>
      </c>
      <c r="WGS2148" s="626" t="s">
        <v>1236</v>
      </c>
      <c r="WGT2148" s="626" t="s">
        <v>1236</v>
      </c>
      <c r="WGU2148" s="626" t="s">
        <v>1236</v>
      </c>
      <c r="WGV2148" s="626" t="s">
        <v>1236</v>
      </c>
      <c r="WGW2148" s="626" t="s">
        <v>1236</v>
      </c>
      <c r="WGX2148" s="626" t="s">
        <v>1236</v>
      </c>
      <c r="WGY2148" s="626" t="s">
        <v>1236</v>
      </c>
      <c r="WGZ2148" s="626" t="s">
        <v>1236</v>
      </c>
      <c r="WHA2148" s="626" t="s">
        <v>1236</v>
      </c>
      <c r="WHB2148" s="626" t="s">
        <v>1236</v>
      </c>
      <c r="WHC2148" s="626" t="s">
        <v>1236</v>
      </c>
      <c r="WHD2148" s="626" t="s">
        <v>1236</v>
      </c>
      <c r="WHE2148" s="626" t="s">
        <v>1236</v>
      </c>
      <c r="WHF2148" s="626" t="s">
        <v>1236</v>
      </c>
      <c r="WHG2148" s="626" t="s">
        <v>1236</v>
      </c>
      <c r="WHH2148" s="626" t="s">
        <v>1236</v>
      </c>
      <c r="WHI2148" s="626" t="s">
        <v>1236</v>
      </c>
      <c r="WHJ2148" s="626" t="s">
        <v>1236</v>
      </c>
      <c r="WHK2148" s="626" t="s">
        <v>1236</v>
      </c>
      <c r="WHL2148" s="626" t="s">
        <v>1236</v>
      </c>
      <c r="WHM2148" s="626" t="s">
        <v>1236</v>
      </c>
      <c r="WHN2148" s="626" t="s">
        <v>1236</v>
      </c>
      <c r="WHO2148" s="626" t="s">
        <v>1236</v>
      </c>
      <c r="WHP2148" s="626" t="s">
        <v>1236</v>
      </c>
      <c r="WHQ2148" s="626" t="s">
        <v>1236</v>
      </c>
      <c r="WHR2148" s="626" t="s">
        <v>1236</v>
      </c>
      <c r="WHS2148" s="626" t="s">
        <v>1236</v>
      </c>
      <c r="WHT2148" s="626" t="s">
        <v>1236</v>
      </c>
      <c r="WHU2148" s="626" t="s">
        <v>1236</v>
      </c>
      <c r="WHV2148" s="626" t="s">
        <v>1236</v>
      </c>
      <c r="WHW2148" s="626" t="s">
        <v>1236</v>
      </c>
      <c r="WHX2148" s="626" t="s">
        <v>1236</v>
      </c>
      <c r="WHY2148" s="626" t="s">
        <v>1236</v>
      </c>
      <c r="WHZ2148" s="626" t="s">
        <v>1236</v>
      </c>
      <c r="WIA2148" s="626" t="s">
        <v>1236</v>
      </c>
      <c r="WIB2148" s="626" t="s">
        <v>1236</v>
      </c>
      <c r="WIC2148" s="626" t="s">
        <v>1236</v>
      </c>
      <c r="WID2148" s="626" t="s">
        <v>1236</v>
      </c>
      <c r="WIE2148" s="626" t="s">
        <v>1236</v>
      </c>
      <c r="WIF2148" s="626" t="s">
        <v>1236</v>
      </c>
      <c r="WIG2148" s="626" t="s">
        <v>1236</v>
      </c>
      <c r="WIH2148" s="626" t="s">
        <v>1236</v>
      </c>
      <c r="WII2148" s="626" t="s">
        <v>1236</v>
      </c>
      <c r="WIJ2148" s="626" t="s">
        <v>1236</v>
      </c>
      <c r="WIK2148" s="626" t="s">
        <v>1236</v>
      </c>
      <c r="WIL2148" s="626" t="s">
        <v>1236</v>
      </c>
      <c r="WIM2148" s="626" t="s">
        <v>1236</v>
      </c>
      <c r="WIN2148" s="626" t="s">
        <v>1236</v>
      </c>
      <c r="WIO2148" s="626" t="s">
        <v>1236</v>
      </c>
      <c r="WIP2148" s="626" t="s">
        <v>1236</v>
      </c>
      <c r="WIQ2148" s="626" t="s">
        <v>1236</v>
      </c>
      <c r="WIR2148" s="626" t="s">
        <v>1236</v>
      </c>
      <c r="WIS2148" s="626" t="s">
        <v>1236</v>
      </c>
      <c r="WIT2148" s="626" t="s">
        <v>1236</v>
      </c>
      <c r="WIU2148" s="626" t="s">
        <v>1236</v>
      </c>
      <c r="WIV2148" s="626" t="s">
        <v>1236</v>
      </c>
      <c r="WIW2148" s="626" t="s">
        <v>1236</v>
      </c>
      <c r="WIX2148" s="626" t="s">
        <v>1236</v>
      </c>
      <c r="WIY2148" s="626" t="s">
        <v>1236</v>
      </c>
      <c r="WIZ2148" s="626" t="s">
        <v>1236</v>
      </c>
      <c r="WJA2148" s="626" t="s">
        <v>1236</v>
      </c>
      <c r="WJB2148" s="626" t="s">
        <v>1236</v>
      </c>
      <c r="WJC2148" s="626" t="s">
        <v>1236</v>
      </c>
      <c r="WJD2148" s="626" t="s">
        <v>1236</v>
      </c>
      <c r="WJE2148" s="626" t="s">
        <v>1236</v>
      </c>
      <c r="WJF2148" s="626" t="s">
        <v>1236</v>
      </c>
      <c r="WJG2148" s="626" t="s">
        <v>1236</v>
      </c>
      <c r="WJH2148" s="626" t="s">
        <v>1236</v>
      </c>
      <c r="WJI2148" s="626" t="s">
        <v>1236</v>
      </c>
      <c r="WJJ2148" s="626" t="s">
        <v>1236</v>
      </c>
      <c r="WJK2148" s="626" t="s">
        <v>1236</v>
      </c>
      <c r="WJL2148" s="626" t="s">
        <v>1236</v>
      </c>
      <c r="WJM2148" s="626" t="s">
        <v>1236</v>
      </c>
      <c r="WJN2148" s="626" t="s">
        <v>1236</v>
      </c>
      <c r="WJO2148" s="626" t="s">
        <v>1236</v>
      </c>
      <c r="WJP2148" s="626" t="s">
        <v>1236</v>
      </c>
      <c r="WJQ2148" s="626" t="s">
        <v>1236</v>
      </c>
      <c r="WJR2148" s="626" t="s">
        <v>1236</v>
      </c>
      <c r="WJS2148" s="626" t="s">
        <v>1236</v>
      </c>
      <c r="WJT2148" s="626" t="s">
        <v>1236</v>
      </c>
      <c r="WJU2148" s="626" t="s">
        <v>1236</v>
      </c>
      <c r="WJV2148" s="626" t="s">
        <v>1236</v>
      </c>
      <c r="WJW2148" s="626" t="s">
        <v>1236</v>
      </c>
      <c r="WJX2148" s="626" t="s">
        <v>1236</v>
      </c>
      <c r="WJY2148" s="626" t="s">
        <v>1236</v>
      </c>
      <c r="WJZ2148" s="626" t="s">
        <v>1236</v>
      </c>
      <c r="WKA2148" s="626" t="s">
        <v>1236</v>
      </c>
      <c r="WKB2148" s="626" t="s">
        <v>1236</v>
      </c>
      <c r="WKC2148" s="626" t="s">
        <v>1236</v>
      </c>
      <c r="WKD2148" s="626" t="s">
        <v>1236</v>
      </c>
      <c r="WKE2148" s="626" t="s">
        <v>1236</v>
      </c>
      <c r="WKF2148" s="626" t="s">
        <v>1236</v>
      </c>
      <c r="WKG2148" s="626" t="s">
        <v>1236</v>
      </c>
      <c r="WKH2148" s="626" t="s">
        <v>1236</v>
      </c>
      <c r="WKI2148" s="626" t="s">
        <v>1236</v>
      </c>
      <c r="WKJ2148" s="626" t="s">
        <v>1236</v>
      </c>
      <c r="WKK2148" s="626" t="s">
        <v>1236</v>
      </c>
      <c r="WKL2148" s="626" t="s">
        <v>1236</v>
      </c>
      <c r="WKM2148" s="626" t="s">
        <v>1236</v>
      </c>
      <c r="WKN2148" s="626" t="s">
        <v>1236</v>
      </c>
      <c r="WKO2148" s="626" t="s">
        <v>1236</v>
      </c>
      <c r="WKP2148" s="626" t="s">
        <v>1236</v>
      </c>
      <c r="WKQ2148" s="626" t="s">
        <v>1236</v>
      </c>
      <c r="WKR2148" s="626" t="s">
        <v>1236</v>
      </c>
      <c r="WKS2148" s="626" t="s">
        <v>1236</v>
      </c>
      <c r="WKT2148" s="626" t="s">
        <v>1236</v>
      </c>
      <c r="WKU2148" s="626" t="s">
        <v>1236</v>
      </c>
      <c r="WKV2148" s="626" t="s">
        <v>1236</v>
      </c>
      <c r="WKW2148" s="626" t="s">
        <v>1236</v>
      </c>
      <c r="WKX2148" s="626" t="s">
        <v>1236</v>
      </c>
      <c r="WKY2148" s="626" t="s">
        <v>1236</v>
      </c>
      <c r="WKZ2148" s="626" t="s">
        <v>1236</v>
      </c>
      <c r="WLA2148" s="626" t="s">
        <v>1236</v>
      </c>
      <c r="WLB2148" s="626" t="s">
        <v>1236</v>
      </c>
      <c r="WLC2148" s="626" t="s">
        <v>1236</v>
      </c>
      <c r="WLD2148" s="626" t="s">
        <v>1236</v>
      </c>
      <c r="WLE2148" s="626" t="s">
        <v>1236</v>
      </c>
      <c r="WLF2148" s="626" t="s">
        <v>1236</v>
      </c>
      <c r="WLG2148" s="626" t="s">
        <v>1236</v>
      </c>
      <c r="WLH2148" s="626" t="s">
        <v>1236</v>
      </c>
      <c r="WLI2148" s="626" t="s">
        <v>1236</v>
      </c>
      <c r="WLJ2148" s="626" t="s">
        <v>1236</v>
      </c>
      <c r="WLK2148" s="626" t="s">
        <v>1236</v>
      </c>
      <c r="WLL2148" s="626" t="s">
        <v>1236</v>
      </c>
      <c r="WLM2148" s="626" t="s">
        <v>1236</v>
      </c>
      <c r="WLN2148" s="626" t="s">
        <v>1236</v>
      </c>
      <c r="WLO2148" s="626" t="s">
        <v>1236</v>
      </c>
      <c r="WLP2148" s="626" t="s">
        <v>1236</v>
      </c>
      <c r="WLQ2148" s="626" t="s">
        <v>1236</v>
      </c>
      <c r="WLR2148" s="626" t="s">
        <v>1236</v>
      </c>
      <c r="WLS2148" s="626" t="s">
        <v>1236</v>
      </c>
      <c r="WLT2148" s="626" t="s">
        <v>1236</v>
      </c>
      <c r="WLU2148" s="626" t="s">
        <v>1236</v>
      </c>
      <c r="WLV2148" s="626" t="s">
        <v>1236</v>
      </c>
      <c r="WLW2148" s="626" t="s">
        <v>1236</v>
      </c>
      <c r="WLX2148" s="626" t="s">
        <v>1236</v>
      </c>
      <c r="WLY2148" s="626" t="s">
        <v>1236</v>
      </c>
      <c r="WLZ2148" s="626" t="s">
        <v>1236</v>
      </c>
      <c r="WMA2148" s="626" t="s">
        <v>1236</v>
      </c>
      <c r="WMB2148" s="626" t="s">
        <v>1236</v>
      </c>
      <c r="WMC2148" s="626" t="s">
        <v>1236</v>
      </c>
      <c r="WMD2148" s="626" t="s">
        <v>1236</v>
      </c>
      <c r="WME2148" s="626" t="s">
        <v>1236</v>
      </c>
      <c r="WMF2148" s="626" t="s">
        <v>1236</v>
      </c>
      <c r="WMG2148" s="626" t="s">
        <v>1236</v>
      </c>
      <c r="WMH2148" s="626" t="s">
        <v>1236</v>
      </c>
      <c r="WMI2148" s="626" t="s">
        <v>1236</v>
      </c>
      <c r="WMJ2148" s="626" t="s">
        <v>1236</v>
      </c>
      <c r="WMK2148" s="626" t="s">
        <v>1236</v>
      </c>
      <c r="WML2148" s="626" t="s">
        <v>1236</v>
      </c>
      <c r="WMM2148" s="626" t="s">
        <v>1236</v>
      </c>
      <c r="WMN2148" s="626" t="s">
        <v>1236</v>
      </c>
      <c r="WMO2148" s="626" t="s">
        <v>1236</v>
      </c>
      <c r="WMP2148" s="626" t="s">
        <v>1236</v>
      </c>
      <c r="WMQ2148" s="626" t="s">
        <v>1236</v>
      </c>
      <c r="WMR2148" s="626" t="s">
        <v>1236</v>
      </c>
      <c r="WMS2148" s="626" t="s">
        <v>1236</v>
      </c>
      <c r="WMT2148" s="626" t="s">
        <v>1236</v>
      </c>
      <c r="WMU2148" s="626" t="s">
        <v>1236</v>
      </c>
      <c r="WMV2148" s="626" t="s">
        <v>1236</v>
      </c>
      <c r="WMW2148" s="626" t="s">
        <v>1236</v>
      </c>
      <c r="WMX2148" s="626" t="s">
        <v>1236</v>
      </c>
      <c r="WMY2148" s="626" t="s">
        <v>1236</v>
      </c>
      <c r="WMZ2148" s="626" t="s">
        <v>1236</v>
      </c>
      <c r="WNA2148" s="626" t="s">
        <v>1236</v>
      </c>
      <c r="WNB2148" s="626" t="s">
        <v>1236</v>
      </c>
      <c r="WNC2148" s="626" t="s">
        <v>1236</v>
      </c>
      <c r="WND2148" s="626" t="s">
        <v>1236</v>
      </c>
      <c r="WNE2148" s="626" t="s">
        <v>1236</v>
      </c>
      <c r="WNF2148" s="626" t="s">
        <v>1236</v>
      </c>
      <c r="WNG2148" s="626" t="s">
        <v>1236</v>
      </c>
      <c r="WNH2148" s="626" t="s">
        <v>1236</v>
      </c>
      <c r="WNI2148" s="626" t="s">
        <v>1236</v>
      </c>
      <c r="WNJ2148" s="626" t="s">
        <v>1236</v>
      </c>
      <c r="WNK2148" s="626" t="s">
        <v>1236</v>
      </c>
      <c r="WNL2148" s="626" t="s">
        <v>1236</v>
      </c>
      <c r="WNM2148" s="626" t="s">
        <v>1236</v>
      </c>
      <c r="WNN2148" s="626" t="s">
        <v>1236</v>
      </c>
      <c r="WNO2148" s="626" t="s">
        <v>1236</v>
      </c>
      <c r="WNP2148" s="626" t="s">
        <v>1236</v>
      </c>
      <c r="WNQ2148" s="626" t="s">
        <v>1236</v>
      </c>
      <c r="WNR2148" s="626" t="s">
        <v>1236</v>
      </c>
      <c r="WNS2148" s="626" t="s">
        <v>1236</v>
      </c>
      <c r="WNT2148" s="626" t="s">
        <v>1236</v>
      </c>
      <c r="WNU2148" s="626" t="s">
        <v>1236</v>
      </c>
      <c r="WNV2148" s="626" t="s">
        <v>1236</v>
      </c>
      <c r="WNW2148" s="626" t="s">
        <v>1236</v>
      </c>
      <c r="WNX2148" s="626" t="s">
        <v>1236</v>
      </c>
      <c r="WNY2148" s="626" t="s">
        <v>1236</v>
      </c>
      <c r="WNZ2148" s="626" t="s">
        <v>1236</v>
      </c>
      <c r="WOA2148" s="626" t="s">
        <v>1236</v>
      </c>
      <c r="WOB2148" s="626" t="s">
        <v>1236</v>
      </c>
      <c r="WOC2148" s="626" t="s">
        <v>1236</v>
      </c>
      <c r="WOD2148" s="626" t="s">
        <v>1236</v>
      </c>
      <c r="WOE2148" s="626" t="s">
        <v>1236</v>
      </c>
      <c r="WOF2148" s="626" t="s">
        <v>1236</v>
      </c>
      <c r="WOG2148" s="626" t="s">
        <v>1236</v>
      </c>
      <c r="WOH2148" s="626" t="s">
        <v>1236</v>
      </c>
      <c r="WOI2148" s="626" t="s">
        <v>1236</v>
      </c>
      <c r="WOJ2148" s="626" t="s">
        <v>1236</v>
      </c>
      <c r="WOK2148" s="626" t="s">
        <v>1236</v>
      </c>
      <c r="WOL2148" s="626" t="s">
        <v>1236</v>
      </c>
      <c r="WOM2148" s="626" t="s">
        <v>1236</v>
      </c>
      <c r="WON2148" s="626" t="s">
        <v>1236</v>
      </c>
      <c r="WOO2148" s="626" t="s">
        <v>1236</v>
      </c>
      <c r="WOP2148" s="626" t="s">
        <v>1236</v>
      </c>
      <c r="WOQ2148" s="626" t="s">
        <v>1236</v>
      </c>
      <c r="WOR2148" s="626" t="s">
        <v>1236</v>
      </c>
      <c r="WOS2148" s="626" t="s">
        <v>1236</v>
      </c>
      <c r="WOT2148" s="626" t="s">
        <v>1236</v>
      </c>
      <c r="WOU2148" s="626" t="s">
        <v>1236</v>
      </c>
      <c r="WOV2148" s="626" t="s">
        <v>1236</v>
      </c>
      <c r="WOW2148" s="626" t="s">
        <v>1236</v>
      </c>
      <c r="WOX2148" s="626" t="s">
        <v>1236</v>
      </c>
      <c r="WOY2148" s="626" t="s">
        <v>1236</v>
      </c>
      <c r="WOZ2148" s="626" t="s">
        <v>1236</v>
      </c>
      <c r="WPA2148" s="626" t="s">
        <v>1236</v>
      </c>
      <c r="WPB2148" s="626" t="s">
        <v>1236</v>
      </c>
      <c r="WPC2148" s="626" t="s">
        <v>1236</v>
      </c>
      <c r="WPD2148" s="626" t="s">
        <v>1236</v>
      </c>
      <c r="WPE2148" s="626" t="s">
        <v>1236</v>
      </c>
      <c r="WPF2148" s="626" t="s">
        <v>1236</v>
      </c>
      <c r="WPG2148" s="626" t="s">
        <v>1236</v>
      </c>
      <c r="WPH2148" s="626" t="s">
        <v>1236</v>
      </c>
      <c r="WPI2148" s="626" t="s">
        <v>1236</v>
      </c>
      <c r="WPJ2148" s="626" t="s">
        <v>1236</v>
      </c>
      <c r="WPK2148" s="626" t="s">
        <v>1236</v>
      </c>
      <c r="WPL2148" s="626" t="s">
        <v>1236</v>
      </c>
      <c r="WPM2148" s="626" t="s">
        <v>1236</v>
      </c>
      <c r="WPN2148" s="626" t="s">
        <v>1236</v>
      </c>
      <c r="WPO2148" s="626" t="s">
        <v>1236</v>
      </c>
      <c r="WPP2148" s="626" t="s">
        <v>1236</v>
      </c>
      <c r="WPQ2148" s="626" t="s">
        <v>1236</v>
      </c>
      <c r="WPR2148" s="626" t="s">
        <v>1236</v>
      </c>
      <c r="WPS2148" s="626" t="s">
        <v>1236</v>
      </c>
      <c r="WPT2148" s="626" t="s">
        <v>1236</v>
      </c>
      <c r="WPU2148" s="626" t="s">
        <v>1236</v>
      </c>
      <c r="WPV2148" s="626" t="s">
        <v>1236</v>
      </c>
      <c r="WPW2148" s="626" t="s">
        <v>1236</v>
      </c>
      <c r="WPX2148" s="626" t="s">
        <v>1236</v>
      </c>
      <c r="WPY2148" s="626" t="s">
        <v>1236</v>
      </c>
      <c r="WPZ2148" s="626" t="s">
        <v>1236</v>
      </c>
      <c r="WQA2148" s="626" t="s">
        <v>1236</v>
      </c>
      <c r="WQB2148" s="626" t="s">
        <v>1236</v>
      </c>
      <c r="WQC2148" s="626" t="s">
        <v>1236</v>
      </c>
      <c r="WQD2148" s="626" t="s">
        <v>1236</v>
      </c>
      <c r="WQE2148" s="626" t="s">
        <v>1236</v>
      </c>
      <c r="WQF2148" s="626" t="s">
        <v>1236</v>
      </c>
      <c r="WQG2148" s="626" t="s">
        <v>1236</v>
      </c>
      <c r="WQH2148" s="626" t="s">
        <v>1236</v>
      </c>
      <c r="WQI2148" s="626" t="s">
        <v>1236</v>
      </c>
      <c r="WQJ2148" s="626" t="s">
        <v>1236</v>
      </c>
      <c r="WQK2148" s="626" t="s">
        <v>1236</v>
      </c>
      <c r="WQL2148" s="626" t="s">
        <v>1236</v>
      </c>
      <c r="WQM2148" s="626" t="s">
        <v>1236</v>
      </c>
      <c r="WQN2148" s="626" t="s">
        <v>1236</v>
      </c>
      <c r="WQO2148" s="626" t="s">
        <v>1236</v>
      </c>
      <c r="WQP2148" s="626" t="s">
        <v>1236</v>
      </c>
      <c r="WQQ2148" s="626" t="s">
        <v>1236</v>
      </c>
      <c r="WQR2148" s="626" t="s">
        <v>1236</v>
      </c>
      <c r="WQS2148" s="626" t="s">
        <v>1236</v>
      </c>
      <c r="WQT2148" s="626" t="s">
        <v>1236</v>
      </c>
      <c r="WQU2148" s="626" t="s">
        <v>1236</v>
      </c>
      <c r="WQV2148" s="626" t="s">
        <v>1236</v>
      </c>
      <c r="WQW2148" s="626" t="s">
        <v>1236</v>
      </c>
      <c r="WQX2148" s="626" t="s">
        <v>1236</v>
      </c>
      <c r="WQY2148" s="626" t="s">
        <v>1236</v>
      </c>
      <c r="WQZ2148" s="626" t="s">
        <v>1236</v>
      </c>
      <c r="WRA2148" s="626" t="s">
        <v>1236</v>
      </c>
      <c r="WRB2148" s="626" t="s">
        <v>1236</v>
      </c>
      <c r="WRC2148" s="626" t="s">
        <v>1236</v>
      </c>
      <c r="WRD2148" s="626" t="s">
        <v>1236</v>
      </c>
      <c r="WRE2148" s="626" t="s">
        <v>1236</v>
      </c>
      <c r="WRF2148" s="626" t="s">
        <v>1236</v>
      </c>
      <c r="WRG2148" s="626" t="s">
        <v>1236</v>
      </c>
      <c r="WRH2148" s="626" t="s">
        <v>1236</v>
      </c>
      <c r="WRI2148" s="626" t="s">
        <v>1236</v>
      </c>
      <c r="WRJ2148" s="626" t="s">
        <v>1236</v>
      </c>
      <c r="WRK2148" s="626" t="s">
        <v>1236</v>
      </c>
      <c r="WRL2148" s="626" t="s">
        <v>1236</v>
      </c>
      <c r="WRM2148" s="626" t="s">
        <v>1236</v>
      </c>
      <c r="WRN2148" s="626" t="s">
        <v>1236</v>
      </c>
      <c r="WRO2148" s="626" t="s">
        <v>1236</v>
      </c>
      <c r="WRP2148" s="626" t="s">
        <v>1236</v>
      </c>
      <c r="WRQ2148" s="626" t="s">
        <v>1236</v>
      </c>
      <c r="WRR2148" s="626" t="s">
        <v>1236</v>
      </c>
      <c r="WRS2148" s="626" t="s">
        <v>1236</v>
      </c>
      <c r="WRT2148" s="626" t="s">
        <v>1236</v>
      </c>
      <c r="WRU2148" s="626" t="s">
        <v>1236</v>
      </c>
      <c r="WRV2148" s="626" t="s">
        <v>1236</v>
      </c>
      <c r="WRW2148" s="626" t="s">
        <v>1236</v>
      </c>
      <c r="WRX2148" s="626" t="s">
        <v>1236</v>
      </c>
      <c r="WRY2148" s="626" t="s">
        <v>1236</v>
      </c>
      <c r="WRZ2148" s="626" t="s">
        <v>1236</v>
      </c>
      <c r="WSA2148" s="626" t="s">
        <v>1236</v>
      </c>
      <c r="WSB2148" s="626" t="s">
        <v>1236</v>
      </c>
      <c r="WSC2148" s="626" t="s">
        <v>1236</v>
      </c>
      <c r="WSD2148" s="626" t="s">
        <v>1236</v>
      </c>
      <c r="WSE2148" s="626" t="s">
        <v>1236</v>
      </c>
      <c r="WSF2148" s="626" t="s">
        <v>1236</v>
      </c>
      <c r="WSG2148" s="626" t="s">
        <v>1236</v>
      </c>
      <c r="WSH2148" s="626" t="s">
        <v>1236</v>
      </c>
      <c r="WSI2148" s="626" t="s">
        <v>1236</v>
      </c>
      <c r="WSJ2148" s="626" t="s">
        <v>1236</v>
      </c>
      <c r="WSK2148" s="626" t="s">
        <v>1236</v>
      </c>
      <c r="WSL2148" s="626" t="s">
        <v>1236</v>
      </c>
      <c r="WSM2148" s="626" t="s">
        <v>1236</v>
      </c>
      <c r="WSN2148" s="626" t="s">
        <v>1236</v>
      </c>
      <c r="WSO2148" s="626" t="s">
        <v>1236</v>
      </c>
      <c r="WSP2148" s="626" t="s">
        <v>1236</v>
      </c>
      <c r="WSQ2148" s="626" t="s">
        <v>1236</v>
      </c>
      <c r="WSR2148" s="626" t="s">
        <v>1236</v>
      </c>
      <c r="WSS2148" s="626" t="s">
        <v>1236</v>
      </c>
      <c r="WST2148" s="626" t="s">
        <v>1236</v>
      </c>
      <c r="WSU2148" s="626" t="s">
        <v>1236</v>
      </c>
      <c r="WSV2148" s="626" t="s">
        <v>1236</v>
      </c>
      <c r="WSW2148" s="626" t="s">
        <v>1236</v>
      </c>
      <c r="WSX2148" s="626" t="s">
        <v>1236</v>
      </c>
      <c r="WSY2148" s="626" t="s">
        <v>1236</v>
      </c>
      <c r="WSZ2148" s="626" t="s">
        <v>1236</v>
      </c>
      <c r="WTA2148" s="626" t="s">
        <v>1236</v>
      </c>
      <c r="WTB2148" s="626" t="s">
        <v>1236</v>
      </c>
      <c r="WTC2148" s="626" t="s">
        <v>1236</v>
      </c>
      <c r="WTD2148" s="626" t="s">
        <v>1236</v>
      </c>
      <c r="WTE2148" s="626" t="s">
        <v>1236</v>
      </c>
      <c r="WTF2148" s="626" t="s">
        <v>1236</v>
      </c>
      <c r="WTG2148" s="626" t="s">
        <v>1236</v>
      </c>
      <c r="WTH2148" s="626" t="s">
        <v>1236</v>
      </c>
      <c r="WTI2148" s="626" t="s">
        <v>1236</v>
      </c>
      <c r="WTJ2148" s="626" t="s">
        <v>1236</v>
      </c>
      <c r="WTK2148" s="626" t="s">
        <v>1236</v>
      </c>
      <c r="WTL2148" s="626" t="s">
        <v>1236</v>
      </c>
      <c r="WTM2148" s="626" t="s">
        <v>1236</v>
      </c>
      <c r="WTN2148" s="626" t="s">
        <v>1236</v>
      </c>
      <c r="WTO2148" s="626" t="s">
        <v>1236</v>
      </c>
      <c r="WTP2148" s="626" t="s">
        <v>1236</v>
      </c>
      <c r="WTQ2148" s="626" t="s">
        <v>1236</v>
      </c>
      <c r="WTR2148" s="626" t="s">
        <v>1236</v>
      </c>
      <c r="WTS2148" s="626" t="s">
        <v>1236</v>
      </c>
      <c r="WTT2148" s="626" t="s">
        <v>1236</v>
      </c>
      <c r="WTU2148" s="626" t="s">
        <v>1236</v>
      </c>
      <c r="WTV2148" s="626" t="s">
        <v>1236</v>
      </c>
      <c r="WTW2148" s="626" t="s">
        <v>1236</v>
      </c>
      <c r="WTX2148" s="626" t="s">
        <v>1236</v>
      </c>
      <c r="WTY2148" s="626" t="s">
        <v>1236</v>
      </c>
      <c r="WTZ2148" s="626" t="s">
        <v>1236</v>
      </c>
      <c r="WUA2148" s="626" t="s">
        <v>1236</v>
      </c>
      <c r="WUB2148" s="626" t="s">
        <v>1236</v>
      </c>
      <c r="WUC2148" s="626" t="s">
        <v>1236</v>
      </c>
      <c r="WUD2148" s="626" t="s">
        <v>1236</v>
      </c>
      <c r="WUE2148" s="626" t="s">
        <v>1236</v>
      </c>
      <c r="WUF2148" s="626" t="s">
        <v>1236</v>
      </c>
      <c r="WUG2148" s="626" t="s">
        <v>1236</v>
      </c>
      <c r="WUH2148" s="626" t="s">
        <v>1236</v>
      </c>
      <c r="WUI2148" s="626" t="s">
        <v>1236</v>
      </c>
      <c r="WUJ2148" s="626" t="s">
        <v>1236</v>
      </c>
      <c r="WUK2148" s="626" t="s">
        <v>1236</v>
      </c>
      <c r="WUL2148" s="626" t="s">
        <v>1236</v>
      </c>
      <c r="WUM2148" s="626" t="s">
        <v>1236</v>
      </c>
      <c r="WUN2148" s="626" t="s">
        <v>1236</v>
      </c>
      <c r="WUO2148" s="626" t="s">
        <v>1236</v>
      </c>
      <c r="WUP2148" s="626" t="s">
        <v>1236</v>
      </c>
      <c r="WUQ2148" s="626" t="s">
        <v>1236</v>
      </c>
      <c r="WUR2148" s="626" t="s">
        <v>1236</v>
      </c>
      <c r="WUS2148" s="626" t="s">
        <v>1236</v>
      </c>
      <c r="WUT2148" s="626" t="s">
        <v>1236</v>
      </c>
      <c r="WUU2148" s="626" t="s">
        <v>1236</v>
      </c>
      <c r="WUV2148" s="626" t="s">
        <v>1236</v>
      </c>
      <c r="WUW2148" s="626" t="s">
        <v>1236</v>
      </c>
      <c r="WUX2148" s="626" t="s">
        <v>1236</v>
      </c>
      <c r="WUY2148" s="626" t="s">
        <v>1236</v>
      </c>
      <c r="WUZ2148" s="626" t="s">
        <v>1236</v>
      </c>
      <c r="WVA2148" s="626" t="s">
        <v>1236</v>
      </c>
      <c r="WVB2148" s="626" t="s">
        <v>1236</v>
      </c>
      <c r="WVC2148" s="626" t="s">
        <v>1236</v>
      </c>
      <c r="WVD2148" s="626" t="s">
        <v>1236</v>
      </c>
      <c r="WVE2148" s="626" t="s">
        <v>1236</v>
      </c>
      <c r="WVF2148" s="626" t="s">
        <v>1236</v>
      </c>
      <c r="WVG2148" s="626" t="s">
        <v>1236</v>
      </c>
      <c r="WVH2148" s="626" t="s">
        <v>1236</v>
      </c>
      <c r="WVI2148" s="626" t="s">
        <v>1236</v>
      </c>
      <c r="WVJ2148" s="626" t="s">
        <v>1236</v>
      </c>
      <c r="WVK2148" s="626" t="s">
        <v>1236</v>
      </c>
      <c r="WVL2148" s="626" t="s">
        <v>1236</v>
      </c>
      <c r="WVM2148" s="626" t="s">
        <v>1236</v>
      </c>
      <c r="WVN2148" s="626" t="s">
        <v>1236</v>
      </c>
      <c r="WVO2148" s="626" t="s">
        <v>1236</v>
      </c>
      <c r="WVP2148" s="626" t="s">
        <v>1236</v>
      </c>
      <c r="WVQ2148" s="626" t="s">
        <v>1236</v>
      </c>
      <c r="WVR2148" s="626" t="s">
        <v>1236</v>
      </c>
      <c r="WVS2148" s="626" t="s">
        <v>1236</v>
      </c>
      <c r="WVT2148" s="626" t="s">
        <v>1236</v>
      </c>
      <c r="WVU2148" s="626" t="s">
        <v>1236</v>
      </c>
      <c r="WVV2148" s="626" t="s">
        <v>1236</v>
      </c>
      <c r="WVW2148" s="626" t="s">
        <v>1236</v>
      </c>
      <c r="WVX2148" s="626" t="s">
        <v>1236</v>
      </c>
      <c r="WVY2148" s="626" t="s">
        <v>1236</v>
      </c>
      <c r="WVZ2148" s="626" t="s">
        <v>1236</v>
      </c>
      <c r="WWA2148" s="626" t="s">
        <v>1236</v>
      </c>
      <c r="WWB2148" s="626" t="s">
        <v>1236</v>
      </c>
      <c r="WWC2148" s="626" t="s">
        <v>1236</v>
      </c>
      <c r="WWD2148" s="626" t="s">
        <v>1236</v>
      </c>
      <c r="WWE2148" s="626" t="s">
        <v>1236</v>
      </c>
      <c r="WWF2148" s="626" t="s">
        <v>1236</v>
      </c>
      <c r="WWG2148" s="626" t="s">
        <v>1236</v>
      </c>
      <c r="WWH2148" s="626" t="s">
        <v>1236</v>
      </c>
      <c r="WWI2148" s="626" t="s">
        <v>1236</v>
      </c>
      <c r="WWJ2148" s="626" t="s">
        <v>1236</v>
      </c>
      <c r="WWK2148" s="626" t="s">
        <v>1236</v>
      </c>
      <c r="WWL2148" s="626" t="s">
        <v>1236</v>
      </c>
      <c r="WWM2148" s="626" t="s">
        <v>1236</v>
      </c>
      <c r="WWN2148" s="626" t="s">
        <v>1236</v>
      </c>
      <c r="WWO2148" s="626" t="s">
        <v>1236</v>
      </c>
      <c r="WWP2148" s="626" t="s">
        <v>1236</v>
      </c>
      <c r="WWQ2148" s="626" t="s">
        <v>1236</v>
      </c>
      <c r="WWR2148" s="626" t="s">
        <v>1236</v>
      </c>
      <c r="WWS2148" s="626" t="s">
        <v>1236</v>
      </c>
      <c r="WWT2148" s="626" t="s">
        <v>1236</v>
      </c>
      <c r="WWU2148" s="626" t="s">
        <v>1236</v>
      </c>
      <c r="WWV2148" s="626" t="s">
        <v>1236</v>
      </c>
      <c r="WWW2148" s="626" t="s">
        <v>1236</v>
      </c>
      <c r="WWX2148" s="626" t="s">
        <v>1236</v>
      </c>
      <c r="WWY2148" s="626" t="s">
        <v>1236</v>
      </c>
      <c r="WWZ2148" s="626" t="s">
        <v>1236</v>
      </c>
      <c r="WXA2148" s="626" t="s">
        <v>1236</v>
      </c>
      <c r="WXB2148" s="626" t="s">
        <v>1236</v>
      </c>
      <c r="WXC2148" s="626" t="s">
        <v>1236</v>
      </c>
      <c r="WXD2148" s="626" t="s">
        <v>1236</v>
      </c>
      <c r="WXE2148" s="626" t="s">
        <v>1236</v>
      </c>
      <c r="WXF2148" s="626" t="s">
        <v>1236</v>
      </c>
      <c r="WXG2148" s="626" t="s">
        <v>1236</v>
      </c>
      <c r="WXH2148" s="626" t="s">
        <v>1236</v>
      </c>
      <c r="WXI2148" s="626" t="s">
        <v>1236</v>
      </c>
      <c r="WXJ2148" s="626" t="s">
        <v>1236</v>
      </c>
      <c r="WXK2148" s="626" t="s">
        <v>1236</v>
      </c>
      <c r="WXL2148" s="626" t="s">
        <v>1236</v>
      </c>
      <c r="WXM2148" s="626" t="s">
        <v>1236</v>
      </c>
      <c r="WXN2148" s="626" t="s">
        <v>1236</v>
      </c>
      <c r="WXO2148" s="626" t="s">
        <v>1236</v>
      </c>
      <c r="WXP2148" s="626" t="s">
        <v>1236</v>
      </c>
      <c r="WXQ2148" s="626" t="s">
        <v>1236</v>
      </c>
      <c r="WXR2148" s="626" t="s">
        <v>1236</v>
      </c>
      <c r="WXS2148" s="626" t="s">
        <v>1236</v>
      </c>
      <c r="WXT2148" s="626" t="s">
        <v>1236</v>
      </c>
      <c r="WXU2148" s="626" t="s">
        <v>1236</v>
      </c>
      <c r="WXV2148" s="626" t="s">
        <v>1236</v>
      </c>
      <c r="WXW2148" s="626" t="s">
        <v>1236</v>
      </c>
      <c r="WXX2148" s="626" t="s">
        <v>1236</v>
      </c>
      <c r="WXY2148" s="626" t="s">
        <v>1236</v>
      </c>
      <c r="WXZ2148" s="626" t="s">
        <v>1236</v>
      </c>
      <c r="WYA2148" s="626" t="s">
        <v>1236</v>
      </c>
      <c r="WYB2148" s="626" t="s">
        <v>1236</v>
      </c>
      <c r="WYC2148" s="626" t="s">
        <v>1236</v>
      </c>
      <c r="WYD2148" s="626" t="s">
        <v>1236</v>
      </c>
      <c r="WYE2148" s="626" t="s">
        <v>1236</v>
      </c>
      <c r="WYF2148" s="626" t="s">
        <v>1236</v>
      </c>
      <c r="WYG2148" s="626" t="s">
        <v>1236</v>
      </c>
      <c r="WYH2148" s="626" t="s">
        <v>1236</v>
      </c>
      <c r="WYI2148" s="626" t="s">
        <v>1236</v>
      </c>
      <c r="WYJ2148" s="626" t="s">
        <v>1236</v>
      </c>
      <c r="WYK2148" s="626" t="s">
        <v>1236</v>
      </c>
      <c r="WYL2148" s="626" t="s">
        <v>1236</v>
      </c>
      <c r="WYM2148" s="626" t="s">
        <v>1236</v>
      </c>
      <c r="WYN2148" s="626" t="s">
        <v>1236</v>
      </c>
      <c r="WYO2148" s="626" t="s">
        <v>1236</v>
      </c>
      <c r="WYP2148" s="626" t="s">
        <v>1236</v>
      </c>
      <c r="WYQ2148" s="626" t="s">
        <v>1236</v>
      </c>
      <c r="WYR2148" s="626" t="s">
        <v>1236</v>
      </c>
      <c r="WYS2148" s="626" t="s">
        <v>1236</v>
      </c>
      <c r="WYT2148" s="626" t="s">
        <v>1236</v>
      </c>
      <c r="WYU2148" s="626" t="s">
        <v>1236</v>
      </c>
      <c r="WYV2148" s="626" t="s">
        <v>1236</v>
      </c>
      <c r="WYW2148" s="626" t="s">
        <v>1236</v>
      </c>
      <c r="WYX2148" s="626" t="s">
        <v>1236</v>
      </c>
      <c r="WYY2148" s="626" t="s">
        <v>1236</v>
      </c>
      <c r="WYZ2148" s="626" t="s">
        <v>1236</v>
      </c>
      <c r="WZA2148" s="626" t="s">
        <v>1236</v>
      </c>
      <c r="WZB2148" s="626" t="s">
        <v>1236</v>
      </c>
      <c r="WZC2148" s="626" t="s">
        <v>1236</v>
      </c>
      <c r="WZD2148" s="626" t="s">
        <v>1236</v>
      </c>
      <c r="WZE2148" s="626" t="s">
        <v>1236</v>
      </c>
      <c r="WZF2148" s="626" t="s">
        <v>1236</v>
      </c>
      <c r="WZG2148" s="626" t="s">
        <v>1236</v>
      </c>
      <c r="WZH2148" s="626" t="s">
        <v>1236</v>
      </c>
      <c r="WZI2148" s="626" t="s">
        <v>1236</v>
      </c>
      <c r="WZJ2148" s="626" t="s">
        <v>1236</v>
      </c>
      <c r="WZK2148" s="626" t="s">
        <v>1236</v>
      </c>
      <c r="WZL2148" s="626" t="s">
        <v>1236</v>
      </c>
      <c r="WZM2148" s="626" t="s">
        <v>1236</v>
      </c>
      <c r="WZN2148" s="626" t="s">
        <v>1236</v>
      </c>
      <c r="WZO2148" s="626" t="s">
        <v>1236</v>
      </c>
      <c r="WZP2148" s="626" t="s">
        <v>1236</v>
      </c>
      <c r="WZQ2148" s="626" t="s">
        <v>1236</v>
      </c>
      <c r="WZR2148" s="626" t="s">
        <v>1236</v>
      </c>
      <c r="WZS2148" s="626" t="s">
        <v>1236</v>
      </c>
      <c r="WZT2148" s="626" t="s">
        <v>1236</v>
      </c>
      <c r="WZU2148" s="626" t="s">
        <v>1236</v>
      </c>
      <c r="WZV2148" s="626" t="s">
        <v>1236</v>
      </c>
      <c r="WZW2148" s="626" t="s">
        <v>1236</v>
      </c>
      <c r="WZX2148" s="626" t="s">
        <v>1236</v>
      </c>
      <c r="WZY2148" s="626" t="s">
        <v>1236</v>
      </c>
      <c r="WZZ2148" s="626" t="s">
        <v>1236</v>
      </c>
      <c r="XAA2148" s="626" t="s">
        <v>1236</v>
      </c>
      <c r="XAB2148" s="626" t="s">
        <v>1236</v>
      </c>
      <c r="XAC2148" s="626" t="s">
        <v>1236</v>
      </c>
      <c r="XAD2148" s="626" t="s">
        <v>1236</v>
      </c>
      <c r="XAE2148" s="626" t="s">
        <v>1236</v>
      </c>
      <c r="XAF2148" s="626" t="s">
        <v>1236</v>
      </c>
      <c r="XAG2148" s="626" t="s">
        <v>1236</v>
      </c>
      <c r="XAH2148" s="626" t="s">
        <v>1236</v>
      </c>
      <c r="XAI2148" s="626" t="s">
        <v>1236</v>
      </c>
      <c r="XAJ2148" s="626" t="s">
        <v>1236</v>
      </c>
      <c r="XAK2148" s="626" t="s">
        <v>1236</v>
      </c>
      <c r="XAL2148" s="626" t="s">
        <v>1236</v>
      </c>
      <c r="XAM2148" s="626" t="s">
        <v>1236</v>
      </c>
      <c r="XAN2148" s="626" t="s">
        <v>1236</v>
      </c>
      <c r="XAO2148" s="626" t="s">
        <v>1236</v>
      </c>
      <c r="XAP2148" s="626" t="s">
        <v>1236</v>
      </c>
      <c r="XAQ2148" s="626" t="s">
        <v>1236</v>
      </c>
      <c r="XAR2148" s="626" t="s">
        <v>1236</v>
      </c>
      <c r="XAS2148" s="626" t="s">
        <v>1236</v>
      </c>
      <c r="XAT2148" s="626" t="s">
        <v>1236</v>
      </c>
      <c r="XAU2148" s="626" t="s">
        <v>1236</v>
      </c>
      <c r="XAV2148" s="626" t="s">
        <v>1236</v>
      </c>
      <c r="XAW2148" s="626" t="s">
        <v>1236</v>
      </c>
      <c r="XAX2148" s="626" t="s">
        <v>1236</v>
      </c>
      <c r="XAY2148" s="626" t="s">
        <v>1236</v>
      </c>
      <c r="XAZ2148" s="626" t="s">
        <v>1236</v>
      </c>
      <c r="XBA2148" s="626" t="s">
        <v>1236</v>
      </c>
      <c r="XBB2148" s="626" t="s">
        <v>1236</v>
      </c>
      <c r="XBC2148" s="626" t="s">
        <v>1236</v>
      </c>
      <c r="XBD2148" s="626" t="s">
        <v>1236</v>
      </c>
      <c r="XBE2148" s="626" t="s">
        <v>1236</v>
      </c>
      <c r="XBF2148" s="626" t="s">
        <v>1236</v>
      </c>
      <c r="XBG2148" s="626" t="s">
        <v>1236</v>
      </c>
      <c r="XBH2148" s="626" t="s">
        <v>1236</v>
      </c>
      <c r="XBI2148" s="626" t="s">
        <v>1236</v>
      </c>
      <c r="XBJ2148" s="626" t="s">
        <v>1236</v>
      </c>
      <c r="XBK2148" s="626" t="s">
        <v>1236</v>
      </c>
      <c r="XBL2148" s="626" t="s">
        <v>1236</v>
      </c>
      <c r="XBM2148" s="626" t="s">
        <v>1236</v>
      </c>
      <c r="XBN2148" s="626" t="s">
        <v>1236</v>
      </c>
      <c r="XBO2148" s="626" t="s">
        <v>1236</v>
      </c>
      <c r="XBP2148" s="626" t="s">
        <v>1236</v>
      </c>
      <c r="XBQ2148" s="626" t="s">
        <v>1236</v>
      </c>
      <c r="XBR2148" s="626" t="s">
        <v>1236</v>
      </c>
      <c r="XBS2148" s="626" t="s">
        <v>1236</v>
      </c>
      <c r="XBT2148" s="626" t="s">
        <v>1236</v>
      </c>
      <c r="XBU2148" s="626" t="s">
        <v>1236</v>
      </c>
      <c r="XBV2148" s="626" t="s">
        <v>1236</v>
      </c>
      <c r="XBW2148" s="626" t="s">
        <v>1236</v>
      </c>
      <c r="XBX2148" s="626" t="s">
        <v>1236</v>
      </c>
      <c r="XBY2148" s="626" t="s">
        <v>1236</v>
      </c>
      <c r="XBZ2148" s="626" t="s">
        <v>1236</v>
      </c>
      <c r="XCA2148" s="626" t="s">
        <v>1236</v>
      </c>
      <c r="XCB2148" s="626" t="s">
        <v>1236</v>
      </c>
      <c r="XCC2148" s="626" t="s">
        <v>1236</v>
      </c>
      <c r="XCD2148" s="626" t="s">
        <v>1236</v>
      </c>
      <c r="XCE2148" s="626" t="s">
        <v>1236</v>
      </c>
      <c r="XCF2148" s="626" t="s">
        <v>1236</v>
      </c>
      <c r="XCG2148" s="626" t="s">
        <v>1236</v>
      </c>
      <c r="XCH2148" s="626" t="s">
        <v>1236</v>
      </c>
      <c r="XCI2148" s="626" t="s">
        <v>1236</v>
      </c>
      <c r="XCJ2148" s="626" t="s">
        <v>1236</v>
      </c>
      <c r="XCK2148" s="626" t="s">
        <v>1236</v>
      </c>
      <c r="XCL2148" s="626" t="s">
        <v>1236</v>
      </c>
      <c r="XCM2148" s="626" t="s">
        <v>1236</v>
      </c>
      <c r="XCN2148" s="626" t="s">
        <v>1236</v>
      </c>
      <c r="XCO2148" s="626" t="s">
        <v>1236</v>
      </c>
      <c r="XCP2148" s="626" t="s">
        <v>1236</v>
      </c>
      <c r="XCQ2148" s="626" t="s">
        <v>1236</v>
      </c>
      <c r="XCR2148" s="626" t="s">
        <v>1236</v>
      </c>
      <c r="XCS2148" s="626" t="s">
        <v>1236</v>
      </c>
      <c r="XCT2148" s="626" t="s">
        <v>1236</v>
      </c>
      <c r="XCU2148" s="626" t="s">
        <v>1236</v>
      </c>
      <c r="XCV2148" s="626" t="s">
        <v>1236</v>
      </c>
      <c r="XCW2148" s="626" t="s">
        <v>1236</v>
      </c>
      <c r="XCX2148" s="626" t="s">
        <v>1236</v>
      </c>
      <c r="XCY2148" s="626" t="s">
        <v>1236</v>
      </c>
      <c r="XCZ2148" s="626" t="s">
        <v>1236</v>
      </c>
      <c r="XDA2148" s="626" t="s">
        <v>1236</v>
      </c>
      <c r="XDB2148" s="626" t="s">
        <v>1236</v>
      </c>
      <c r="XDC2148" s="626" t="s">
        <v>1236</v>
      </c>
      <c r="XDD2148" s="626" t="s">
        <v>1236</v>
      </c>
      <c r="XDE2148" s="626" t="s">
        <v>1236</v>
      </c>
      <c r="XDF2148" s="626" t="s">
        <v>1236</v>
      </c>
      <c r="XDG2148" s="626" t="s">
        <v>1236</v>
      </c>
      <c r="XDH2148" s="626" t="s">
        <v>1236</v>
      </c>
      <c r="XDI2148" s="626" t="s">
        <v>1236</v>
      </c>
      <c r="XDJ2148" s="626" t="s">
        <v>1236</v>
      </c>
      <c r="XDK2148" s="626" t="s">
        <v>1236</v>
      </c>
      <c r="XDL2148" s="626" t="s">
        <v>1236</v>
      </c>
      <c r="XDM2148" s="626" t="s">
        <v>1236</v>
      </c>
      <c r="XDN2148" s="626" t="s">
        <v>1236</v>
      </c>
      <c r="XDO2148" s="626" t="s">
        <v>1236</v>
      </c>
      <c r="XDP2148" s="626" t="s">
        <v>1236</v>
      </c>
      <c r="XDQ2148" s="626" t="s">
        <v>1236</v>
      </c>
      <c r="XDR2148" s="626" t="s">
        <v>1236</v>
      </c>
      <c r="XDS2148" s="626" t="s">
        <v>1236</v>
      </c>
      <c r="XDT2148" s="626" t="s">
        <v>1236</v>
      </c>
      <c r="XDU2148" s="626" t="s">
        <v>1236</v>
      </c>
      <c r="XDV2148" s="626" t="s">
        <v>1236</v>
      </c>
      <c r="XDW2148" s="626" t="s">
        <v>1236</v>
      </c>
      <c r="XDX2148" s="626" t="s">
        <v>1236</v>
      </c>
      <c r="XDY2148" s="626" t="s">
        <v>1236</v>
      </c>
      <c r="XDZ2148" s="626" t="s">
        <v>1236</v>
      </c>
      <c r="XEA2148" s="626" t="s">
        <v>1236</v>
      </c>
      <c r="XEB2148" s="626" t="s">
        <v>1236</v>
      </c>
      <c r="XEC2148" s="626" t="s">
        <v>1236</v>
      </c>
      <c r="XED2148" s="626" t="s">
        <v>1236</v>
      </c>
      <c r="XEE2148" s="626" t="s">
        <v>1236</v>
      </c>
      <c r="XEF2148" s="626" t="s">
        <v>1236</v>
      </c>
      <c r="XEG2148" s="626" t="s">
        <v>1236</v>
      </c>
      <c r="XEH2148" s="626" t="s">
        <v>1236</v>
      </c>
      <c r="XEI2148" s="626" t="s">
        <v>1236</v>
      </c>
      <c r="XEJ2148" s="626" t="s">
        <v>1236</v>
      </c>
      <c r="XEK2148" s="626" t="s">
        <v>1236</v>
      </c>
      <c r="XEL2148" s="626" t="s">
        <v>1236</v>
      </c>
      <c r="XEM2148" s="626" t="s">
        <v>1236</v>
      </c>
      <c r="XEN2148" s="626" t="s">
        <v>1236</v>
      </c>
      <c r="XEO2148" s="626" t="s">
        <v>1236</v>
      </c>
      <c r="XEP2148" s="626" t="s">
        <v>1236</v>
      </c>
      <c r="XEQ2148" s="626" t="s">
        <v>1236</v>
      </c>
      <c r="XER2148" s="626" t="s">
        <v>1236</v>
      </c>
      <c r="XES2148" s="626" t="s">
        <v>1236</v>
      </c>
      <c r="XET2148" s="626" t="s">
        <v>1236</v>
      </c>
      <c r="XEU2148" s="626" t="s">
        <v>1236</v>
      </c>
      <c r="XEV2148" s="626" t="s">
        <v>1236</v>
      </c>
      <c r="XEW2148" s="626" t="s">
        <v>1236</v>
      </c>
      <c r="XEX2148" s="626" t="s">
        <v>1236</v>
      </c>
      <c r="XEY2148" s="626" t="s">
        <v>1236</v>
      </c>
      <c r="XEZ2148" s="626" t="s">
        <v>1236</v>
      </c>
      <c r="XFA2148" s="626" t="s">
        <v>1236</v>
      </c>
      <c r="XFB2148" s="626" t="s">
        <v>1236</v>
      </c>
      <c r="XFC2148" s="626" t="s">
        <v>1236</v>
      </c>
      <c r="XFD2148" s="626" t="s">
        <v>1236</v>
      </c>
    </row>
    <row r="2149" spans="1:16384" s="3" customFormat="1" x14ac:dyDescent="0.2">
      <c r="A2149" s="39" t="s">
        <v>539</v>
      </c>
      <c r="L2149" s="64"/>
    </row>
    <row r="2150" spans="1:16384" s="3" customFormat="1" x14ac:dyDescent="0.2">
      <c r="A2150" s="39" t="s">
        <v>670</v>
      </c>
      <c r="L2150" s="64"/>
    </row>
    <row r="2151" spans="1:16384" s="50" customFormat="1" ht="12.75" customHeight="1" x14ac:dyDescent="0.25">
      <c r="A2151" s="39" t="s">
        <v>1028</v>
      </c>
      <c r="B2151" s="3"/>
      <c r="C2151" s="3"/>
      <c r="D2151" s="3"/>
      <c r="E2151" s="3"/>
      <c r="F2151" s="3"/>
      <c r="G2151" s="3"/>
      <c r="H2151" s="3"/>
      <c r="I2151" s="3"/>
      <c r="J2151" s="3"/>
      <c r="K2151" s="3"/>
      <c r="L2151" s="64"/>
      <c r="M2151" s="3"/>
      <c r="N2151" s="3"/>
      <c r="O2151" s="3"/>
      <c r="P2151" s="3"/>
      <c r="Q2151" s="3"/>
      <c r="R2151" s="3"/>
      <c r="S2151" s="3"/>
      <c r="T2151" s="3"/>
      <c r="U2151" s="3"/>
      <c r="V2151" s="3"/>
      <c r="W2151" s="3"/>
      <c r="X2151" s="3"/>
      <c r="Y2151" s="3"/>
      <c r="Z2151" s="3"/>
    </row>
    <row r="2152" spans="1:16384" s="3" customFormat="1" x14ac:dyDescent="0.2">
      <c r="A2152" s="41" t="s">
        <v>872</v>
      </c>
      <c r="B2152" s="34"/>
      <c r="C2152" s="34"/>
      <c r="D2152" s="34"/>
      <c r="E2152" s="34"/>
      <c r="F2152" s="34"/>
      <c r="G2152" s="34"/>
      <c r="H2152" s="34"/>
      <c r="I2152" s="34"/>
      <c r="J2152" s="34"/>
      <c r="K2152" s="34"/>
      <c r="L2152" s="48"/>
    </row>
    <row r="2153" spans="1:16384" s="3" customFormat="1" x14ac:dyDescent="0.2"/>
    <row r="2154" spans="1:16384" s="3" customFormat="1" x14ac:dyDescent="0.2"/>
    <row r="2155" spans="1:16384" s="3" customFormat="1" x14ac:dyDescent="0.2">
      <c r="A2155" s="6" t="s">
        <v>24</v>
      </c>
      <c r="B2155" s="7" t="s">
        <v>540</v>
      </c>
    </row>
    <row r="2156" spans="1:16384" s="3" customFormat="1" x14ac:dyDescent="0.2">
      <c r="A2156" s="152" t="s">
        <v>14</v>
      </c>
      <c r="B2156" s="24" t="s">
        <v>624</v>
      </c>
      <c r="C2156" s="498" t="s">
        <v>26</v>
      </c>
    </row>
    <row r="2157" spans="1:16384" s="3" customFormat="1" x14ac:dyDescent="0.2">
      <c r="A2157" s="171" t="s">
        <v>27</v>
      </c>
      <c r="B2157" s="277">
        <v>2016</v>
      </c>
      <c r="C2157" s="155">
        <v>2017</v>
      </c>
      <c r="D2157" s="499">
        <v>2018</v>
      </c>
      <c r="E2157" s="155">
        <v>2019</v>
      </c>
      <c r="F2157" s="155">
        <v>2020</v>
      </c>
      <c r="G2157" s="155">
        <v>2021</v>
      </c>
      <c r="H2157" s="155">
        <v>2022</v>
      </c>
      <c r="I2157" s="155">
        <v>2023</v>
      </c>
      <c r="J2157" s="155">
        <v>2024</v>
      </c>
      <c r="K2157" s="155">
        <v>2025</v>
      </c>
    </row>
    <row r="2158" spans="1:16384" s="3" customFormat="1" x14ac:dyDescent="0.2">
      <c r="A2158" s="11" t="s">
        <v>28</v>
      </c>
      <c r="B2158" s="72">
        <v>250</v>
      </c>
      <c r="C2158" s="72">
        <v>250</v>
      </c>
      <c r="D2158" s="72">
        <v>300</v>
      </c>
      <c r="E2158" s="72">
        <v>300</v>
      </c>
      <c r="F2158" s="12">
        <v>300</v>
      </c>
      <c r="G2158" s="12">
        <v>337.5</v>
      </c>
      <c r="H2158" s="12">
        <v>337.5</v>
      </c>
      <c r="I2158" s="12">
        <v>337.5</v>
      </c>
      <c r="J2158" s="12">
        <v>421.9</v>
      </c>
      <c r="K2158" s="12">
        <v>421.9</v>
      </c>
    </row>
    <row r="2159" spans="1:16384" s="3" customFormat="1" x14ac:dyDescent="0.2">
      <c r="A2159" s="11" t="s">
        <v>29</v>
      </c>
      <c r="B2159" s="72">
        <v>-415.21000000000004</v>
      </c>
      <c r="C2159" s="72">
        <f>B2162+C2158+60+150+114</f>
        <v>-128.19000000000005</v>
      </c>
      <c r="D2159" s="72">
        <f>C2162+D2158</f>
        <v>-129.54000000000008</v>
      </c>
      <c r="E2159" s="72">
        <f>E2158+D2162</f>
        <v>5.0099999999999341</v>
      </c>
      <c r="F2159" s="72">
        <f>E2162+F2158</f>
        <v>84.089999999999947</v>
      </c>
      <c r="G2159" s="72">
        <f>G2158+F2162</f>
        <v>175.66999999999996</v>
      </c>
      <c r="H2159" s="72">
        <f>H2158+G2162</f>
        <v>214.65699999999998</v>
      </c>
      <c r="I2159" s="72">
        <f>I2158+H2162</f>
        <v>234.81599999999997</v>
      </c>
      <c r="J2159" s="72">
        <f>J2158+I2162</f>
        <v>443.82599999999996</v>
      </c>
      <c r="K2159" s="72">
        <f>K2158+0.25*J2158</f>
        <v>527.375</v>
      </c>
    </row>
    <row r="2160" spans="1:16384" s="3" customFormat="1" x14ac:dyDescent="0.2">
      <c r="A2160" s="11" t="s">
        <v>30</v>
      </c>
      <c r="B2160" s="513"/>
      <c r="C2160" s="627" t="s">
        <v>543</v>
      </c>
      <c r="D2160" s="513" t="s">
        <v>544</v>
      </c>
      <c r="E2160" s="513" t="s">
        <v>545</v>
      </c>
      <c r="F2160" s="513" t="s">
        <v>548</v>
      </c>
      <c r="G2160" s="513" t="s">
        <v>550</v>
      </c>
      <c r="H2160" s="513" t="s">
        <v>693</v>
      </c>
      <c r="I2160" s="513" t="s">
        <v>852</v>
      </c>
      <c r="J2160" s="513" t="s">
        <v>1020</v>
      </c>
      <c r="K2160" s="513" t="s">
        <v>1129</v>
      </c>
    </row>
    <row r="2161" spans="1:11" x14ac:dyDescent="0.2">
      <c r="A2161" s="11" t="s">
        <v>31</v>
      </c>
      <c r="B2161" s="72">
        <v>286.98</v>
      </c>
      <c r="C2161" s="72">
        <v>301.35000000000002</v>
      </c>
      <c r="D2161" s="72">
        <v>165.45</v>
      </c>
      <c r="E2161" s="72">
        <v>220.92</v>
      </c>
      <c r="F2161" s="12">
        <v>245.92</v>
      </c>
      <c r="G2161" s="12">
        <v>298.51299999999998</v>
      </c>
      <c r="H2161" s="12">
        <v>317.34100000000001</v>
      </c>
      <c r="I2161" s="12">
        <v>212.89</v>
      </c>
      <c r="J2161" s="11">
        <v>179.49600000000001</v>
      </c>
      <c r="K2161" s="11"/>
    </row>
    <row r="2162" spans="1:11" x14ac:dyDescent="0.2">
      <c r="A2162" s="11" t="s">
        <v>32</v>
      </c>
      <c r="B2162" s="72">
        <f t="shared" ref="B2162:J2162" si="83">B2159-B2161</f>
        <v>-702.19</v>
      </c>
      <c r="C2162" s="72">
        <f t="shared" si="83"/>
        <v>-429.54000000000008</v>
      </c>
      <c r="D2162" s="72">
        <f t="shared" si="83"/>
        <v>-294.99000000000007</v>
      </c>
      <c r="E2162" s="72">
        <f t="shared" si="83"/>
        <v>-215.91000000000005</v>
      </c>
      <c r="F2162" s="72">
        <f t="shared" si="83"/>
        <v>-161.83000000000004</v>
      </c>
      <c r="G2162" s="12">
        <f t="shared" si="83"/>
        <v>-122.84300000000002</v>
      </c>
      <c r="H2162" s="12">
        <f t="shared" si="83"/>
        <v>-102.68400000000003</v>
      </c>
      <c r="I2162" s="12">
        <f t="shared" si="83"/>
        <v>21.925999999999988</v>
      </c>
      <c r="J2162" s="12">
        <f t="shared" si="83"/>
        <v>264.32999999999993</v>
      </c>
      <c r="K2162" s="11"/>
    </row>
    <row r="2163" spans="1:11" x14ac:dyDescent="0.2">
      <c r="A2163" s="16" t="s">
        <v>33</v>
      </c>
      <c r="B2163" s="160">
        <v>2018</v>
      </c>
      <c r="C2163" s="160">
        <v>2018</v>
      </c>
      <c r="D2163" s="160">
        <v>2019</v>
      </c>
      <c r="E2163" s="160">
        <v>2020</v>
      </c>
      <c r="F2163" s="160">
        <v>2021</v>
      </c>
      <c r="G2163" s="160">
        <v>2022</v>
      </c>
      <c r="H2163" s="160">
        <v>2023</v>
      </c>
      <c r="I2163" s="160">
        <v>2024</v>
      </c>
      <c r="J2163" s="160">
        <v>2025</v>
      </c>
      <c r="K2163" s="198">
        <v>2026</v>
      </c>
    </row>
    <row r="2164" spans="1:11" x14ac:dyDescent="0.2">
      <c r="A2164" s="18" t="s">
        <v>542</v>
      </c>
      <c r="B2164" s="464"/>
      <c r="C2164" s="464"/>
      <c r="D2164" s="464"/>
      <c r="E2164" s="464"/>
      <c r="F2164" s="464"/>
      <c r="G2164" s="19"/>
      <c r="H2164" s="19"/>
      <c r="I2164" s="19"/>
      <c r="J2164" s="19"/>
      <c r="K2164" s="63"/>
    </row>
    <row r="2165" spans="1:11" x14ac:dyDescent="0.2">
      <c r="A2165" s="39" t="s">
        <v>546</v>
      </c>
      <c r="B2165" s="471"/>
      <c r="C2165" s="471"/>
      <c r="D2165" s="471"/>
      <c r="E2165" s="471"/>
      <c r="F2165" s="471"/>
      <c r="K2165" s="64"/>
    </row>
    <row r="2166" spans="1:11" x14ac:dyDescent="0.2">
      <c r="A2166" s="39" t="s">
        <v>547</v>
      </c>
      <c r="B2166" s="471"/>
      <c r="C2166" s="471"/>
      <c r="D2166" s="471"/>
      <c r="E2166" s="471"/>
      <c r="F2166" s="471"/>
      <c r="K2166" s="64"/>
    </row>
    <row r="2167" spans="1:11" x14ac:dyDescent="0.2">
      <c r="A2167" s="39" t="s">
        <v>549</v>
      </c>
      <c r="B2167" s="471"/>
      <c r="C2167" s="471"/>
      <c r="D2167" s="471"/>
      <c r="E2167" s="471"/>
      <c r="F2167" s="471"/>
      <c r="K2167" s="64"/>
    </row>
    <row r="2168" spans="1:11" x14ac:dyDescent="0.2">
      <c r="A2168" s="39" t="s">
        <v>551</v>
      </c>
      <c r="B2168" s="471"/>
      <c r="C2168" s="471"/>
      <c r="D2168" s="471"/>
      <c r="E2168" s="471"/>
      <c r="F2168" s="471"/>
      <c r="K2168" s="64"/>
    </row>
    <row r="2169" spans="1:11" x14ac:dyDescent="0.2">
      <c r="A2169" s="39" t="s">
        <v>694</v>
      </c>
      <c r="B2169" s="471"/>
      <c r="C2169" s="471"/>
      <c r="D2169" s="471"/>
      <c r="E2169" s="471"/>
      <c r="F2169" s="471"/>
      <c r="K2169" s="64"/>
    </row>
    <row r="2170" spans="1:11" x14ac:dyDescent="0.2">
      <c r="A2170" s="39" t="s">
        <v>853</v>
      </c>
      <c r="B2170" s="471"/>
      <c r="C2170" s="471"/>
      <c r="D2170" s="471"/>
      <c r="E2170" s="471"/>
      <c r="F2170" s="471"/>
      <c r="K2170" s="64"/>
    </row>
    <row r="2171" spans="1:11" x14ac:dyDescent="0.2">
      <c r="A2171" s="39" t="s">
        <v>1021</v>
      </c>
      <c r="B2171" s="471"/>
      <c r="C2171" s="471"/>
      <c r="D2171" s="471"/>
      <c r="E2171" s="471"/>
      <c r="F2171" s="471"/>
      <c r="K2171" s="64"/>
    </row>
    <row r="2172" spans="1:11" x14ac:dyDescent="0.2">
      <c r="A2172" s="39" t="s">
        <v>1132</v>
      </c>
      <c r="B2172" s="471"/>
      <c r="C2172" s="471"/>
      <c r="D2172" s="471"/>
      <c r="E2172" s="471"/>
      <c r="F2172" s="471"/>
      <c r="K2172" s="64"/>
    </row>
    <row r="2173" spans="1:11" x14ac:dyDescent="0.2">
      <c r="A2173" s="41" t="s">
        <v>541</v>
      </c>
      <c r="B2173" s="514"/>
      <c r="C2173" s="514"/>
      <c r="D2173" s="514"/>
      <c r="E2173" s="514"/>
      <c r="F2173" s="514"/>
      <c r="G2173" s="34"/>
      <c r="H2173" s="34"/>
      <c r="I2173" s="34"/>
      <c r="J2173" s="34"/>
      <c r="K2173" s="48"/>
    </row>
    <row r="2174" spans="1:11" x14ac:dyDescent="0.2">
      <c r="A2174" s="2"/>
      <c r="B2174" s="2"/>
    </row>
    <row r="2175" spans="1:11" x14ac:dyDescent="0.2">
      <c r="A2175" s="6" t="s">
        <v>14</v>
      </c>
      <c r="B2175" s="7" t="s">
        <v>623</v>
      </c>
      <c r="C2175" s="498" t="s">
        <v>26</v>
      </c>
    </row>
    <row r="2176" spans="1:11" x14ac:dyDescent="0.2">
      <c r="A2176" s="171" t="s">
        <v>27</v>
      </c>
      <c r="B2176" s="155">
        <v>2016</v>
      </c>
      <c r="C2176" s="155">
        <v>2017</v>
      </c>
      <c r="D2176" s="499">
        <v>2018</v>
      </c>
      <c r="E2176" s="155">
        <v>2019</v>
      </c>
      <c r="F2176" s="155">
        <v>2020</v>
      </c>
      <c r="G2176" s="155">
        <v>2021</v>
      </c>
      <c r="H2176" s="155">
        <v>2022</v>
      </c>
      <c r="I2176" s="155">
        <v>2023</v>
      </c>
      <c r="J2176" s="155">
        <v>2024</v>
      </c>
      <c r="K2176" s="155">
        <v>2025</v>
      </c>
    </row>
    <row r="2177" spans="1:11" x14ac:dyDescent="0.2">
      <c r="A2177" s="11" t="s">
        <v>28</v>
      </c>
      <c r="B2177" s="72">
        <v>85</v>
      </c>
      <c r="C2177" s="72">
        <v>85</v>
      </c>
      <c r="D2177" s="72">
        <v>85</v>
      </c>
      <c r="E2177" s="72">
        <v>85</v>
      </c>
      <c r="F2177" s="12">
        <v>85</v>
      </c>
      <c r="G2177" s="12">
        <v>85</v>
      </c>
      <c r="H2177" s="12">
        <v>85</v>
      </c>
      <c r="I2177" s="12">
        <v>85</v>
      </c>
      <c r="J2177" s="12">
        <v>85</v>
      </c>
      <c r="K2177" s="12">
        <v>85</v>
      </c>
    </row>
    <row r="2178" spans="1:11" x14ac:dyDescent="0.2">
      <c r="A2178" s="11" t="s">
        <v>29</v>
      </c>
      <c r="B2178" s="72">
        <f>B2177*1.5</f>
        <v>127.5</v>
      </c>
      <c r="C2178" s="72">
        <f>C2177+0.5*B2177-12.75</f>
        <v>114.75</v>
      </c>
      <c r="D2178" s="72">
        <f>D2177+0.4*B2177-12.75</f>
        <v>106.25</v>
      </c>
      <c r="E2178" s="72">
        <f t="shared" ref="E2178:K2178" si="84">E2177+0.4*C2177</f>
        <v>119</v>
      </c>
      <c r="F2178" s="72">
        <f t="shared" si="84"/>
        <v>119</v>
      </c>
      <c r="G2178" s="72">
        <f t="shared" si="84"/>
        <v>119</v>
      </c>
      <c r="H2178" s="72">
        <f t="shared" si="84"/>
        <v>119</v>
      </c>
      <c r="I2178" s="72">
        <f t="shared" si="84"/>
        <v>119</v>
      </c>
      <c r="J2178" s="72">
        <f t="shared" si="84"/>
        <v>119</v>
      </c>
      <c r="K2178" s="72">
        <f t="shared" si="84"/>
        <v>119</v>
      </c>
    </row>
    <row r="2179" spans="1:11" x14ac:dyDescent="0.2">
      <c r="A2179" s="11" t="s">
        <v>30</v>
      </c>
      <c r="B2179" s="253" t="s">
        <v>552</v>
      </c>
      <c r="C2179" s="253" t="s">
        <v>555</v>
      </c>
      <c r="D2179" s="253" t="s">
        <v>556</v>
      </c>
      <c r="E2179" s="253" t="s">
        <v>557</v>
      </c>
      <c r="F2179" s="253" t="s">
        <v>557</v>
      </c>
      <c r="G2179" s="253" t="s">
        <v>557</v>
      </c>
      <c r="H2179" s="253" t="s">
        <v>557</v>
      </c>
      <c r="I2179" s="253" t="s">
        <v>557</v>
      </c>
      <c r="J2179" s="253" t="s">
        <v>557</v>
      </c>
      <c r="K2179" s="253" t="s">
        <v>557</v>
      </c>
    </row>
    <row r="2180" spans="1:11" x14ac:dyDescent="0.2">
      <c r="A2180" s="11" t="s">
        <v>31</v>
      </c>
      <c r="B2180" s="72">
        <v>52.75</v>
      </c>
      <c r="C2180" s="72">
        <v>52.26</v>
      </c>
      <c r="D2180" s="72">
        <v>30.79</v>
      </c>
      <c r="E2180" s="72">
        <v>31.39</v>
      </c>
      <c r="F2180" s="12">
        <v>14.36</v>
      </c>
      <c r="G2180" s="12">
        <v>13.391</v>
      </c>
      <c r="H2180" s="12">
        <v>16.809999999999999</v>
      </c>
      <c r="I2180" s="12">
        <v>31.181000000000001</v>
      </c>
      <c r="J2180" s="12">
        <v>38.901000000000003</v>
      </c>
      <c r="K2180" s="112"/>
    </row>
    <row r="2181" spans="1:11" x14ac:dyDescent="0.2">
      <c r="A2181" s="11" t="s">
        <v>32</v>
      </c>
      <c r="B2181" s="72">
        <f t="shared" ref="B2181:J2181" si="85">B2178-B2180</f>
        <v>74.75</v>
      </c>
      <c r="C2181" s="72">
        <f t="shared" si="85"/>
        <v>62.49</v>
      </c>
      <c r="D2181" s="72">
        <f t="shared" si="85"/>
        <v>75.460000000000008</v>
      </c>
      <c r="E2181" s="72">
        <f t="shared" si="85"/>
        <v>87.61</v>
      </c>
      <c r="F2181" s="72">
        <f t="shared" si="85"/>
        <v>104.64</v>
      </c>
      <c r="G2181" s="12">
        <f t="shared" si="85"/>
        <v>105.60899999999999</v>
      </c>
      <c r="H2181" s="12">
        <f t="shared" si="85"/>
        <v>102.19</v>
      </c>
      <c r="I2181" s="12">
        <f t="shared" si="85"/>
        <v>87.819000000000003</v>
      </c>
      <c r="J2181" s="12">
        <f t="shared" si="85"/>
        <v>80.09899999999999</v>
      </c>
      <c r="K2181" s="113"/>
    </row>
    <row r="2182" spans="1:11" x14ac:dyDescent="0.2">
      <c r="A2182" s="16" t="s">
        <v>33</v>
      </c>
      <c r="B2182" s="160">
        <v>2018</v>
      </c>
      <c r="C2182" s="160">
        <v>2019</v>
      </c>
      <c r="D2182" s="500">
        <v>2020</v>
      </c>
      <c r="E2182" s="160">
        <v>2021</v>
      </c>
      <c r="F2182" s="160">
        <v>2022</v>
      </c>
      <c r="G2182" s="160">
        <v>2023</v>
      </c>
      <c r="H2182" s="160">
        <v>2024</v>
      </c>
      <c r="I2182" s="160">
        <v>2025</v>
      </c>
      <c r="J2182" s="160">
        <v>2025</v>
      </c>
      <c r="K2182" s="628">
        <v>2027</v>
      </c>
    </row>
    <row r="2183" spans="1:11" ht="13.15" customHeight="1" x14ac:dyDescent="0.2">
      <c r="A2183" s="18" t="s">
        <v>502</v>
      </c>
      <c r="B2183" s="629"/>
      <c r="C2183" s="629"/>
      <c r="D2183" s="629"/>
      <c r="E2183" s="629"/>
      <c r="F2183" s="629"/>
      <c r="G2183" s="629"/>
      <c r="H2183" s="629"/>
      <c r="I2183" s="629"/>
      <c r="J2183" s="629"/>
      <c r="K2183" s="63"/>
    </row>
    <row r="2184" spans="1:11" x14ac:dyDescent="0.2">
      <c r="A2184" s="162" t="s">
        <v>503</v>
      </c>
      <c r="B2184" s="32"/>
      <c r="C2184" s="32"/>
      <c r="D2184" s="32"/>
      <c r="E2184" s="32"/>
      <c r="F2184" s="32"/>
      <c r="G2184" s="32"/>
      <c r="H2184" s="32"/>
      <c r="I2184" s="32"/>
      <c r="J2184" s="32"/>
      <c r="K2184" s="64"/>
    </row>
    <row r="2185" spans="1:11" x14ac:dyDescent="0.2">
      <c r="A2185" s="39" t="s">
        <v>553</v>
      </c>
      <c r="K2185" s="64"/>
    </row>
    <row r="2186" spans="1:11" x14ac:dyDescent="0.2">
      <c r="A2186" s="41" t="s">
        <v>554</v>
      </c>
      <c r="B2186" s="34"/>
      <c r="C2186" s="34"/>
      <c r="D2186" s="34"/>
      <c r="E2186" s="34"/>
      <c r="F2186" s="34"/>
      <c r="G2186" s="34"/>
      <c r="H2186" s="34"/>
      <c r="I2186" s="34"/>
      <c r="J2186" s="34"/>
      <c r="K2186" s="48"/>
    </row>
    <row r="2188" spans="1:11" x14ac:dyDescent="0.2">
      <c r="A2188" s="6" t="s">
        <v>14</v>
      </c>
      <c r="B2188" s="7" t="s">
        <v>74</v>
      </c>
      <c r="C2188" s="498" t="s">
        <v>26</v>
      </c>
    </row>
    <row r="2189" spans="1:11" x14ac:dyDescent="0.2">
      <c r="A2189" s="171" t="s">
        <v>27</v>
      </c>
      <c r="B2189" s="155">
        <v>2016</v>
      </c>
      <c r="C2189" s="155">
        <v>2017</v>
      </c>
      <c r="D2189" s="499">
        <v>2018</v>
      </c>
      <c r="E2189" s="155">
        <v>2019</v>
      </c>
      <c r="F2189" s="155">
        <v>2020</v>
      </c>
      <c r="G2189" s="155">
        <v>2021</v>
      </c>
      <c r="H2189" s="155">
        <v>2022</v>
      </c>
      <c r="I2189" s="155">
        <v>2023</v>
      </c>
      <c r="J2189" s="155">
        <v>2024</v>
      </c>
      <c r="K2189" s="155">
        <v>2025</v>
      </c>
    </row>
    <row r="2190" spans="1:11" x14ac:dyDescent="0.2">
      <c r="A2190" s="11" t="s">
        <v>28</v>
      </c>
      <c r="B2190" s="72">
        <v>100</v>
      </c>
      <c r="C2190" s="72">
        <v>100</v>
      </c>
      <c r="D2190" s="72">
        <v>100</v>
      </c>
      <c r="E2190" s="72">
        <v>100</v>
      </c>
      <c r="F2190" s="12">
        <v>84.1</v>
      </c>
      <c r="G2190" s="12">
        <v>84.1</v>
      </c>
      <c r="H2190" s="12">
        <v>84.1</v>
      </c>
      <c r="I2190" s="12">
        <v>84.1</v>
      </c>
      <c r="J2190" s="12">
        <v>84.1</v>
      </c>
      <c r="K2190" s="12">
        <v>84.1</v>
      </c>
    </row>
    <row r="2191" spans="1:11" x14ac:dyDescent="0.2">
      <c r="A2191" s="11" t="s">
        <v>29</v>
      </c>
      <c r="B2191" s="72">
        <f>B2190*1.1</f>
        <v>110.00000000000001</v>
      </c>
      <c r="C2191" s="72">
        <f>C2190*1.1-30</f>
        <v>80.000000000000014</v>
      </c>
      <c r="D2191" s="72">
        <f>D2190+C2194+0.1*B2190</f>
        <v>92.590000000000018</v>
      </c>
      <c r="E2191" s="72">
        <v>100</v>
      </c>
      <c r="F2191" s="72">
        <f>F2190+0.1*D2190</f>
        <v>94.1</v>
      </c>
      <c r="G2191" s="72">
        <f>G2190+0.1*E2190</f>
        <v>94.1</v>
      </c>
      <c r="H2191" s="72"/>
      <c r="I2191" s="72"/>
      <c r="J2191" s="72">
        <f>J2190+I2194</f>
        <v>82.440999999999988</v>
      </c>
      <c r="K2191" s="72">
        <f>K2190+1.25*J2194</f>
        <v>60.978749999999977</v>
      </c>
    </row>
    <row r="2192" spans="1:11" x14ac:dyDescent="0.2">
      <c r="A2192" s="11" t="s">
        <v>30</v>
      </c>
      <c r="B2192" s="253" t="s">
        <v>559</v>
      </c>
      <c r="C2192" s="253" t="s">
        <v>560</v>
      </c>
      <c r="D2192" s="630" t="s">
        <v>543</v>
      </c>
      <c r="E2192" s="253"/>
      <c r="F2192" s="253" t="s">
        <v>562</v>
      </c>
      <c r="G2192" s="253" t="s">
        <v>562</v>
      </c>
      <c r="H2192" s="253"/>
      <c r="I2192" s="253"/>
      <c r="J2192" s="253"/>
      <c r="K2192" s="253" t="s">
        <v>400</v>
      </c>
    </row>
    <row r="2193" spans="1:11" x14ac:dyDescent="0.2">
      <c r="A2193" s="11" t="s">
        <v>31</v>
      </c>
      <c r="B2193" s="72">
        <v>82.51</v>
      </c>
      <c r="C2193" s="72">
        <v>97.41</v>
      </c>
      <c r="D2193" s="72">
        <v>61.54</v>
      </c>
      <c r="E2193" s="72">
        <v>60.49</v>
      </c>
      <c r="F2193" s="12">
        <v>42.46</v>
      </c>
      <c r="G2193" s="12">
        <v>42.97</v>
      </c>
      <c r="H2193" s="12">
        <v>71.760000000000005</v>
      </c>
      <c r="I2193" s="12">
        <v>85.759</v>
      </c>
      <c r="J2193" s="12">
        <v>100.938</v>
      </c>
      <c r="K2193" s="12"/>
    </row>
    <row r="2194" spans="1:11" x14ac:dyDescent="0.2">
      <c r="A2194" s="11" t="s">
        <v>32</v>
      </c>
      <c r="B2194" s="72">
        <f t="shared" ref="B2194:G2194" si="86">B2191-B2193</f>
        <v>27.490000000000009</v>
      </c>
      <c r="C2194" s="72">
        <f t="shared" si="86"/>
        <v>-17.409999999999982</v>
      </c>
      <c r="D2194" s="72">
        <f t="shared" si="86"/>
        <v>31.050000000000018</v>
      </c>
      <c r="E2194" s="72">
        <f t="shared" si="86"/>
        <v>39.51</v>
      </c>
      <c r="F2194" s="72">
        <f t="shared" si="86"/>
        <v>51.639999999999993</v>
      </c>
      <c r="G2194" s="12">
        <f t="shared" si="86"/>
        <v>51.129999999999995</v>
      </c>
      <c r="H2194" s="12">
        <f>H2190-H2193</f>
        <v>12.339999999999989</v>
      </c>
      <c r="I2194" s="12">
        <f>I2190-I2193</f>
        <v>-1.659000000000006</v>
      </c>
      <c r="J2194" s="12">
        <f>J2191-J2193</f>
        <v>-18.497000000000014</v>
      </c>
      <c r="K2194" s="12"/>
    </row>
    <row r="2195" spans="1:11" x14ac:dyDescent="0.2">
      <c r="A2195" s="16" t="s">
        <v>33</v>
      </c>
      <c r="B2195" s="160">
        <v>2018</v>
      </c>
      <c r="C2195" s="160">
        <v>2018</v>
      </c>
      <c r="D2195" s="500">
        <v>2020</v>
      </c>
      <c r="E2195" s="160">
        <v>2021</v>
      </c>
      <c r="F2195" s="160"/>
      <c r="G2195" s="160"/>
      <c r="H2195" s="160"/>
      <c r="I2195" s="160">
        <v>2024</v>
      </c>
      <c r="J2195" s="160">
        <v>2025</v>
      </c>
      <c r="K2195" s="160">
        <v>2026</v>
      </c>
    </row>
    <row r="2196" spans="1:11" x14ac:dyDescent="0.2">
      <c r="A2196" s="18" t="s">
        <v>558</v>
      </c>
      <c r="B2196" s="629"/>
      <c r="C2196" s="629"/>
      <c r="D2196" s="629"/>
      <c r="E2196" s="629"/>
      <c r="F2196" s="629"/>
      <c r="G2196" s="629"/>
      <c r="H2196" s="629"/>
      <c r="I2196" s="629"/>
      <c r="J2196" s="629"/>
      <c r="K2196" s="63"/>
    </row>
    <row r="2197" spans="1:11" x14ac:dyDescent="0.2">
      <c r="A2197" s="39" t="s">
        <v>563</v>
      </c>
      <c r="B2197" s="4"/>
      <c r="C2197" s="4"/>
      <c r="D2197" s="4"/>
      <c r="E2197" s="4"/>
      <c r="F2197" s="4"/>
      <c r="G2197" s="4"/>
      <c r="H2197" s="4"/>
      <c r="I2197" s="4"/>
      <c r="J2197" s="4"/>
      <c r="K2197" s="64"/>
    </row>
    <row r="2198" spans="1:11" x14ac:dyDescent="0.2">
      <c r="A2198" s="39" t="s">
        <v>561</v>
      </c>
      <c r="B2198" s="4"/>
      <c r="C2198" s="4"/>
      <c r="D2198" s="4"/>
      <c r="E2198" s="4"/>
      <c r="F2198" s="4"/>
      <c r="G2198" s="4"/>
      <c r="H2198" s="4"/>
      <c r="I2198" s="4"/>
      <c r="J2198" s="4"/>
      <c r="K2198" s="64"/>
    </row>
    <row r="2199" spans="1:11" x14ac:dyDescent="0.2">
      <c r="A2199" s="41" t="s">
        <v>1241</v>
      </c>
      <c r="B2199" s="34"/>
      <c r="C2199" s="34"/>
      <c r="D2199" s="34"/>
      <c r="E2199" s="34"/>
      <c r="F2199" s="34"/>
      <c r="G2199" s="34"/>
      <c r="H2199" s="34"/>
      <c r="I2199" s="34"/>
      <c r="J2199" s="34"/>
      <c r="K2199" s="48"/>
    </row>
    <row r="2201" spans="1:11" x14ac:dyDescent="0.2">
      <c r="A2201" s="6" t="s">
        <v>14</v>
      </c>
      <c r="B2201" s="7" t="s">
        <v>79</v>
      </c>
      <c r="C2201" s="498" t="s">
        <v>26</v>
      </c>
    </row>
    <row r="2202" spans="1:11" x14ac:dyDescent="0.2">
      <c r="A2202" s="171" t="s">
        <v>27</v>
      </c>
      <c r="B2202" s="155">
        <v>2016</v>
      </c>
      <c r="C2202" s="155">
        <v>2017</v>
      </c>
      <c r="D2202" s="499">
        <v>2018</v>
      </c>
      <c r="E2202" s="155">
        <v>2019</v>
      </c>
      <c r="F2202" s="155">
        <v>2020</v>
      </c>
      <c r="G2202" s="155">
        <v>2021</v>
      </c>
      <c r="H2202" s="155">
        <v>2022</v>
      </c>
      <c r="I2202" s="155">
        <v>2023</v>
      </c>
      <c r="J2202" s="155">
        <v>2024</v>
      </c>
      <c r="K2202" s="155">
        <v>2025</v>
      </c>
    </row>
    <row r="2203" spans="1:11" x14ac:dyDescent="0.2">
      <c r="A2203" s="11" t="s">
        <v>28</v>
      </c>
      <c r="B2203" s="72">
        <v>50</v>
      </c>
      <c r="C2203" s="72">
        <v>50</v>
      </c>
      <c r="D2203" s="72">
        <v>50</v>
      </c>
      <c r="E2203" s="72">
        <v>50</v>
      </c>
      <c r="F2203" s="72">
        <v>50</v>
      </c>
      <c r="G2203" s="72">
        <v>50</v>
      </c>
      <c r="H2203" s="72">
        <v>50</v>
      </c>
      <c r="I2203" s="72">
        <v>50</v>
      </c>
      <c r="J2203" s="72">
        <v>50</v>
      </c>
      <c r="K2203" s="12">
        <v>50</v>
      </c>
    </row>
    <row r="2204" spans="1:11" x14ac:dyDescent="0.2">
      <c r="A2204" s="11" t="s">
        <v>29</v>
      </c>
      <c r="B2204" s="72"/>
      <c r="C2204" s="72">
        <f>C2203+B2207</f>
        <v>-57.97999999999999</v>
      </c>
      <c r="D2204" s="72">
        <f>D2203+C2207</f>
        <v>-158.07</v>
      </c>
      <c r="E2204" s="72">
        <f>D2207+E2203</f>
        <v>-175.964</v>
      </c>
      <c r="F2204" s="72">
        <f>E2207+F2203</f>
        <v>-177.393</v>
      </c>
      <c r="G2204" s="72">
        <f>F2207+G2203</f>
        <v>-162.78800000000001</v>
      </c>
      <c r="H2204" s="72">
        <f>G2207*1.25+H2203</f>
        <v>-193.19875000000002</v>
      </c>
      <c r="I2204" s="72">
        <f>H2207*1.25+I2203</f>
        <v>-245.52468750000003</v>
      </c>
      <c r="J2204" s="72">
        <f>I2207*1.25+J2203</f>
        <v>-318.318359375</v>
      </c>
      <c r="K2204" s="72">
        <f>K2203+1.25*J2207</f>
        <v>-400.58919921875003</v>
      </c>
    </row>
    <row r="2205" spans="1:11" x14ac:dyDescent="0.2">
      <c r="A2205" s="11" t="s">
        <v>30</v>
      </c>
      <c r="B2205" s="253"/>
      <c r="C2205" s="513" t="s">
        <v>543</v>
      </c>
      <c r="D2205" s="513" t="s">
        <v>544</v>
      </c>
      <c r="E2205" s="513" t="s">
        <v>545</v>
      </c>
      <c r="F2205" s="513" t="s">
        <v>548</v>
      </c>
      <c r="G2205" s="513" t="s">
        <v>550</v>
      </c>
      <c r="H2205" s="513" t="s">
        <v>693</v>
      </c>
      <c r="I2205" s="513" t="s">
        <v>852</v>
      </c>
      <c r="J2205" s="513" t="s">
        <v>1020</v>
      </c>
      <c r="K2205" s="513" t="s">
        <v>1129</v>
      </c>
    </row>
    <row r="2206" spans="1:11" x14ac:dyDescent="0.2">
      <c r="A2206" s="11" t="s">
        <v>31</v>
      </c>
      <c r="B2206" s="72">
        <v>157.97999999999999</v>
      </c>
      <c r="C2206" s="72">
        <v>150.09</v>
      </c>
      <c r="D2206" s="72">
        <v>67.894000000000005</v>
      </c>
      <c r="E2206" s="72">
        <v>51.429000000000002</v>
      </c>
      <c r="F2206" s="12">
        <v>35.395000000000003</v>
      </c>
      <c r="G2206" s="12">
        <v>31.771000000000001</v>
      </c>
      <c r="H2206" s="12">
        <v>43.220999999999997</v>
      </c>
      <c r="I2206" s="12">
        <v>49.13</v>
      </c>
      <c r="J2206" s="12">
        <v>42.152999999999999</v>
      </c>
      <c r="K2206" s="12"/>
    </row>
    <row r="2207" spans="1:11" x14ac:dyDescent="0.2">
      <c r="A2207" s="11" t="s">
        <v>32</v>
      </c>
      <c r="B2207" s="72">
        <f>B2203-B2206</f>
        <v>-107.97999999999999</v>
      </c>
      <c r="C2207" s="72">
        <f t="shared" ref="C2207:J2207" si="87">C2204-C2206</f>
        <v>-208.07</v>
      </c>
      <c r="D2207" s="72">
        <f t="shared" si="87"/>
        <v>-225.964</v>
      </c>
      <c r="E2207" s="72">
        <f t="shared" si="87"/>
        <v>-227.393</v>
      </c>
      <c r="F2207" s="72">
        <f t="shared" si="87"/>
        <v>-212.78800000000001</v>
      </c>
      <c r="G2207" s="72">
        <f t="shared" si="87"/>
        <v>-194.55900000000003</v>
      </c>
      <c r="H2207" s="72">
        <f t="shared" si="87"/>
        <v>-236.41975000000002</v>
      </c>
      <c r="I2207" s="72">
        <f t="shared" si="87"/>
        <v>-294.65468750000002</v>
      </c>
      <c r="J2207" s="72">
        <f t="shared" si="87"/>
        <v>-360.47135937500002</v>
      </c>
      <c r="K2207" s="12"/>
    </row>
    <row r="2208" spans="1:11" x14ac:dyDescent="0.2">
      <c r="A2208" s="16" t="s">
        <v>33</v>
      </c>
      <c r="B2208" s="160">
        <v>2017</v>
      </c>
      <c r="C2208" s="160">
        <v>2018</v>
      </c>
      <c r="D2208" s="160">
        <v>2019</v>
      </c>
      <c r="E2208" s="160">
        <v>2020</v>
      </c>
      <c r="F2208" s="160">
        <v>2021</v>
      </c>
      <c r="G2208" s="160">
        <v>2022</v>
      </c>
      <c r="H2208" s="160">
        <v>2023</v>
      </c>
      <c r="I2208" s="160">
        <v>2024</v>
      </c>
      <c r="J2208" s="160">
        <v>2025</v>
      </c>
      <c r="K2208" s="160">
        <v>2026</v>
      </c>
    </row>
    <row r="2209" spans="1:11" x14ac:dyDescent="0.2">
      <c r="A2209" s="18" t="s">
        <v>695</v>
      </c>
      <c r="B2209" s="629"/>
      <c r="C2209" s="629"/>
      <c r="D2209" s="629"/>
      <c r="E2209" s="629"/>
      <c r="F2209" s="629"/>
      <c r="G2209" s="629"/>
      <c r="H2209" s="629"/>
      <c r="I2209" s="629"/>
      <c r="J2209" s="629"/>
      <c r="K2209" s="63"/>
    </row>
    <row r="2210" spans="1:11" x14ac:dyDescent="0.2">
      <c r="A2210" s="39" t="s">
        <v>546</v>
      </c>
      <c r="B2210" s="4"/>
      <c r="C2210" s="4"/>
      <c r="D2210" s="4"/>
      <c r="E2210" s="4"/>
      <c r="F2210" s="4"/>
      <c r="G2210" s="4"/>
      <c r="H2210" s="4"/>
      <c r="I2210" s="4"/>
      <c r="J2210" s="4"/>
      <c r="K2210" s="64"/>
    </row>
    <row r="2211" spans="1:11" x14ac:dyDescent="0.2">
      <c r="A2211" s="39" t="s">
        <v>547</v>
      </c>
      <c r="K2211" s="64"/>
    </row>
    <row r="2212" spans="1:11" x14ac:dyDescent="0.2">
      <c r="A2212" s="39" t="s">
        <v>549</v>
      </c>
      <c r="K2212" s="64"/>
    </row>
    <row r="2213" spans="1:11" x14ac:dyDescent="0.2">
      <c r="A2213" s="39" t="s">
        <v>551</v>
      </c>
      <c r="K2213" s="64"/>
    </row>
    <row r="2214" spans="1:11" x14ac:dyDescent="0.2">
      <c r="A2214" s="39" t="s">
        <v>906</v>
      </c>
      <c r="K2214" s="64"/>
    </row>
    <row r="2215" spans="1:11" x14ac:dyDescent="0.2">
      <c r="A2215" s="39" t="s">
        <v>907</v>
      </c>
      <c r="K2215" s="64"/>
    </row>
    <row r="2216" spans="1:11" x14ac:dyDescent="0.2">
      <c r="A2216" s="39" t="s">
        <v>1022</v>
      </c>
      <c r="K2216" s="64"/>
    </row>
    <row r="2217" spans="1:11" s="34" customFormat="1" x14ac:dyDescent="0.2">
      <c r="A2217" s="41" t="s">
        <v>1141</v>
      </c>
      <c r="K2217" s="48"/>
    </row>
  </sheetData>
  <mergeCells count="54">
    <mergeCell ref="A268:L268"/>
    <mergeCell ref="B476:M476"/>
    <mergeCell ref="A1634:H1634"/>
    <mergeCell ref="A331:O331"/>
    <mergeCell ref="A739:E739"/>
    <mergeCell ref="A896:F896"/>
    <mergeCell ref="A804:J804"/>
    <mergeCell ref="A700:H700"/>
    <mergeCell ref="A369:M369"/>
    <mergeCell ref="A458:G458"/>
    <mergeCell ref="A584:F584"/>
    <mergeCell ref="A515:F515"/>
    <mergeCell ref="A569:F569"/>
    <mergeCell ref="A1569:E1569"/>
    <mergeCell ref="A1580:E1580"/>
    <mergeCell ref="A15:E15"/>
    <mergeCell ref="A267:F267"/>
    <mergeCell ref="A200:G200"/>
    <mergeCell ref="A28:D28"/>
    <mergeCell ref="E110:K110"/>
    <mergeCell ref="C131:K131"/>
    <mergeCell ref="C147:K147"/>
    <mergeCell ref="A114:F114"/>
    <mergeCell ref="A115:F115"/>
    <mergeCell ref="A217:G217"/>
    <mergeCell ref="A231:G231"/>
    <mergeCell ref="A219:G219"/>
    <mergeCell ref="A29:D29"/>
    <mergeCell ref="A257:L257"/>
    <mergeCell ref="A1937:G1937"/>
    <mergeCell ref="A899:G899"/>
    <mergeCell ref="A1687:G1687"/>
    <mergeCell ref="A1415:G1415"/>
    <mergeCell ref="A1416:G1416"/>
    <mergeCell ref="A1658:D1658"/>
    <mergeCell ref="A1633:H1633"/>
    <mergeCell ref="A1631:H1631"/>
    <mergeCell ref="A1632:H1632"/>
    <mergeCell ref="A900:G900"/>
    <mergeCell ref="A1050:N1050"/>
    <mergeCell ref="C1376:J1376"/>
    <mergeCell ref="A1635:H1635"/>
    <mergeCell ref="A1417:G1417"/>
    <mergeCell ref="A904:G904"/>
    <mergeCell ref="A901:G901"/>
    <mergeCell ref="A1414:G1414"/>
    <mergeCell ref="A464:G464"/>
    <mergeCell ref="A477:F477"/>
    <mergeCell ref="A494:F494"/>
    <mergeCell ref="A898:G898"/>
    <mergeCell ref="A893:F893"/>
    <mergeCell ref="A789:L789"/>
    <mergeCell ref="A895:F895"/>
    <mergeCell ref="A897:G897"/>
  </mergeCells>
  <phoneticPr fontId="10" type="noConversion"/>
  <pageMargins left="0.7" right="0.7" top="0.75" bottom="0.75" header="0.3" footer="0.3"/>
  <pageSetup paperSize="9" scale="10" orientation="landscape" r:id="rId1"/>
  <ignoredErrors>
    <ignoredError sqref="F1545 K1061 E2159:F2159 H163 I471 I1575 J1827" formula="1"/>
    <ignoredError sqref="H1911 I762:K762 I796:J796 H827 H777 H1893 C810 I777:J777 E810" unlockedFormula="1"/>
    <ignoredError sqref="C1652 H2205 E70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Adjustement data</vt:lpstr>
      <vt:lpstr>'Adjustement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 Ochoa</dc:creator>
  <cp:lastModifiedBy>Alberto Parrilla</cp:lastModifiedBy>
  <cp:lastPrinted>2021-10-08T09:47:24Z</cp:lastPrinted>
  <dcterms:created xsi:type="dcterms:W3CDTF">2018-06-01T11:58:01Z</dcterms:created>
  <dcterms:modified xsi:type="dcterms:W3CDTF">2025-10-13T14:01:13Z</dcterms:modified>
</cp:coreProperties>
</file>