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V:\2023_SharedDocs\ComplianceTables\COC-304-2023\"/>
    </mc:Choice>
  </mc:AlternateContent>
  <xr:revisionPtr revIDLastSave="0" documentId="13_ncr:1_{BD899976-A709-45EA-AB6C-09FA96399099}" xr6:coauthVersionLast="47" xr6:coauthVersionMax="47"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data'!$A$1:$R$1609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76" i="1" l="1"/>
  <c r="K671" i="1"/>
  <c r="N904" i="1"/>
  <c r="I590" i="1" l="1"/>
  <c r="J590" i="1"/>
  <c r="I579" i="1"/>
  <c r="J579" i="1"/>
  <c r="J746" i="1"/>
  <c r="J734" i="1"/>
  <c r="K689" i="1"/>
  <c r="K717" i="1" l="1"/>
  <c r="B705" i="1"/>
  <c r="C702" i="1" s="1"/>
  <c r="J406" i="1" l="1"/>
  <c r="I1784" i="1" l="1"/>
  <c r="I1787" i="1" s="1"/>
  <c r="J1784" i="1" s="1"/>
  <c r="H1770" i="1"/>
  <c r="I1767" i="1" s="1"/>
  <c r="H1753" i="1"/>
  <c r="J1730" i="1"/>
  <c r="D1623" i="1"/>
  <c r="C1625" i="1"/>
  <c r="D1622" i="1" s="1"/>
  <c r="E1703" i="1"/>
  <c r="E1692" i="1"/>
  <c r="D1684" i="1"/>
  <c r="F1668" i="1"/>
  <c r="E1668" i="1"/>
  <c r="D1671" i="1"/>
  <c r="D1660" i="1"/>
  <c r="F1657" i="1"/>
  <c r="F1644" i="1"/>
  <c r="H1840" i="1" l="1"/>
  <c r="I1824" i="1"/>
  <c r="H1608" i="1" l="1"/>
  <c r="K1570" i="1" l="1"/>
  <c r="J1558" i="1"/>
  <c r="G1498" i="1" l="1"/>
  <c r="H1498" i="1"/>
  <c r="I1498" i="1"/>
  <c r="J1498" i="1"/>
  <c r="K1498" i="1"/>
  <c r="L1498" i="1"/>
  <c r="M1498" i="1"/>
  <c r="N1498" i="1"/>
  <c r="O1498" i="1"/>
  <c r="F1498" i="1"/>
  <c r="E1501" i="1"/>
  <c r="H1483" i="1"/>
  <c r="G1485" i="1"/>
  <c r="H1466" i="1"/>
  <c r="H1465" i="1" s="1"/>
  <c r="D1425" i="1" l="1"/>
  <c r="L1395" i="1" l="1"/>
  <c r="J1395" i="1"/>
  <c r="F1395" i="1"/>
  <c r="F1398" i="1" s="1"/>
  <c r="G1395" i="1"/>
  <c r="G1398" i="1" s="1"/>
  <c r="H1395" i="1"/>
  <c r="H1398" i="1" s="1"/>
  <c r="I1395" i="1"/>
  <c r="I1398" i="1" s="1"/>
  <c r="K1395" i="1" s="1"/>
  <c r="E1395" i="1"/>
  <c r="E1398" i="1" s="1"/>
  <c r="C1395" i="1"/>
  <c r="C1398" i="1" s="1"/>
  <c r="D1398" i="1"/>
  <c r="J1379" i="1"/>
  <c r="I1379" i="1"/>
  <c r="I1382" i="1" s="1"/>
  <c r="J1195" i="1"/>
  <c r="K1173" i="1"/>
  <c r="J1135" i="1"/>
  <c r="K1112" i="1"/>
  <c r="K168" i="1" l="1"/>
  <c r="E1716" i="1"/>
  <c r="J168" i="1"/>
  <c r="D1716" i="1"/>
  <c r="D1719" i="1" s="1"/>
  <c r="J1527" i="1"/>
  <c r="D1098" i="1" l="1"/>
  <c r="P1077" i="1"/>
  <c r="P1056" i="1"/>
  <c r="R1053" i="1" s="1"/>
  <c r="P1026" i="1"/>
  <c r="P959" i="1"/>
  <c r="O907" i="1" l="1"/>
  <c r="Q904" i="1" s="1"/>
  <c r="O886" i="1"/>
  <c r="K1363" i="1" l="1"/>
  <c r="K1347" i="1"/>
  <c r="K1312" i="1"/>
  <c r="I1299" i="1"/>
  <c r="G756" i="1" l="1"/>
  <c r="H756" i="1"/>
  <c r="H759" i="1" s="1"/>
  <c r="I756" i="1"/>
  <c r="I759" i="1" s="1"/>
  <c r="J756" i="1"/>
  <c r="F756" i="1"/>
  <c r="K193" i="1"/>
  <c r="K182" i="1"/>
  <c r="J171" i="1"/>
  <c r="K158" i="1"/>
  <c r="J1451" i="1" l="1"/>
  <c r="F633" i="1" l="1"/>
  <c r="E616" i="1" l="1"/>
  <c r="I520" i="1" l="1"/>
  <c r="I506" i="1"/>
  <c r="I491" i="1"/>
  <c r="J472" i="1"/>
  <c r="J439" i="1"/>
  <c r="J388" i="1"/>
  <c r="N375" i="1" l="1"/>
  <c r="N359" i="1"/>
  <c r="O340" i="1"/>
  <c r="O324" i="1"/>
  <c r="O307" i="1"/>
  <c r="J238" i="1" l="1"/>
  <c r="J138" i="1" l="1"/>
  <c r="J122" i="1"/>
  <c r="J107" i="1"/>
  <c r="D71" i="1" l="1"/>
  <c r="E71" i="1"/>
  <c r="F71" i="1"/>
  <c r="G71" i="1"/>
  <c r="H71" i="1"/>
  <c r="I71" i="1"/>
  <c r="C68" i="1"/>
  <c r="C71" i="1" s="1"/>
  <c r="I52" i="1"/>
  <c r="J49" i="1" s="1"/>
  <c r="G22" i="1"/>
  <c r="F22" i="1"/>
  <c r="F25" i="1" s="1"/>
  <c r="F41" i="1"/>
  <c r="D9" i="1" l="1"/>
  <c r="D12" i="1" s="1"/>
  <c r="C12" i="1"/>
  <c r="H1408" i="1"/>
  <c r="G1408" i="1"/>
  <c r="G1411" i="1" s="1"/>
  <c r="I1236" i="1"/>
  <c r="I817" i="1" l="1"/>
  <c r="E1657" i="1" l="1"/>
  <c r="O290" i="1"/>
  <c r="C258" i="1"/>
  <c r="D255" i="1" s="1"/>
  <c r="D258" i="1" s="1"/>
  <c r="F255" i="1"/>
  <c r="F258" i="1" s="1"/>
  <c r="G255" i="1" s="1"/>
  <c r="G258" i="1" s="1"/>
  <c r="H255" i="1" s="1"/>
  <c r="H258" i="1" s="1"/>
  <c r="I255" i="1" s="1"/>
  <c r="I258" i="1" s="1"/>
  <c r="J255" i="1" s="1"/>
  <c r="E255" i="1"/>
  <c r="E258" i="1" s="1"/>
  <c r="F1321" i="1"/>
  <c r="F1320" i="1" s="1"/>
  <c r="F1323" i="1" s="1"/>
  <c r="G1321" i="1" s="1"/>
  <c r="G1320" i="1" s="1"/>
  <c r="G1323" i="1" s="1"/>
  <c r="H1321" i="1" s="1"/>
  <c r="H1320" i="1" s="1"/>
  <c r="H1323" i="1" s="1"/>
  <c r="I1321" i="1" s="1"/>
  <c r="I1320" i="1" s="1"/>
  <c r="I1323" i="1" s="1"/>
  <c r="J1321" i="1" s="1"/>
  <c r="J1320" i="1" s="1"/>
  <c r="J1323" i="1" s="1"/>
  <c r="K1321" i="1" s="1"/>
  <c r="K1320" i="1" s="1"/>
  <c r="K1323" i="1" s="1"/>
  <c r="L1321" i="1" s="1"/>
  <c r="L1320" i="1" s="1"/>
  <c r="L1323" i="1" s="1"/>
  <c r="M1321" i="1" s="1"/>
  <c r="M1320" i="1" s="1"/>
  <c r="M1323" i="1" s="1"/>
  <c r="N1321" i="1" s="1"/>
  <c r="N1320" i="1" s="1"/>
  <c r="N1323" i="1" s="1"/>
  <c r="D1321" i="1"/>
  <c r="D1320" i="1" s="1"/>
  <c r="D1323" i="1" s="1"/>
  <c r="E1321" i="1" s="1"/>
  <c r="E1320" i="1" s="1"/>
  <c r="E1323" i="1" s="1"/>
  <c r="B1321" i="1"/>
  <c r="B1320" i="1" s="1"/>
  <c r="B1323" i="1" s="1"/>
  <c r="C1321" i="1" s="1"/>
  <c r="C1320" i="1" s="1"/>
  <c r="C1323" i="1" s="1"/>
  <c r="D207" i="1"/>
  <c r="F204" i="1" s="1"/>
  <c r="J602" i="1"/>
  <c r="K602" i="1"/>
  <c r="L602" i="1"/>
  <c r="M602" i="1"/>
  <c r="N602" i="1"/>
  <c r="O602" i="1"/>
  <c r="P602" i="1"/>
  <c r="I602" i="1"/>
  <c r="H602" i="1"/>
  <c r="H605" i="1" s="1"/>
  <c r="I107" i="1"/>
  <c r="K658" i="1"/>
  <c r="D1501" i="1"/>
  <c r="C1501" i="1"/>
  <c r="C1671" i="1"/>
  <c r="F1485" i="1"/>
  <c r="G1466" i="1"/>
  <c r="G1465" i="1" s="1"/>
  <c r="G1468" i="1" s="1"/>
  <c r="H1451" i="1"/>
  <c r="H1454" i="1" s="1"/>
  <c r="G1454" i="1"/>
  <c r="I1451" i="1" s="1"/>
  <c r="I1454" i="1" s="1"/>
  <c r="C1425" i="1"/>
  <c r="B1852" i="1"/>
  <c r="C1849" i="1" s="1"/>
  <c r="C1852" i="1" s="1"/>
  <c r="D1849" i="1" s="1"/>
  <c r="D1852" i="1" s="1"/>
  <c r="E1849" i="1" s="1"/>
  <c r="E1852" i="1" s="1"/>
  <c r="F1849" i="1" s="1"/>
  <c r="F1852" i="1" s="1"/>
  <c r="G1849" i="1" s="1"/>
  <c r="G1852" i="1" s="1"/>
  <c r="H1849" i="1" s="1"/>
  <c r="H1852" i="1" s="1"/>
  <c r="I1849" i="1" s="1"/>
  <c r="H1824" i="1"/>
  <c r="J1347" i="1"/>
  <c r="J1312" i="1"/>
  <c r="H1299" i="1"/>
  <c r="H1302" i="1" s="1"/>
  <c r="H182" i="1"/>
  <c r="H185" i="1" s="1"/>
  <c r="I182" i="1"/>
  <c r="I185" i="1" s="1"/>
  <c r="J182" i="1"/>
  <c r="J185" i="1" s="1"/>
  <c r="D1703" i="1"/>
  <c r="D1706" i="1" s="1"/>
  <c r="C1706" i="1"/>
  <c r="D1692" i="1"/>
  <c r="D1695" i="1" s="1"/>
  <c r="C1695" i="1"/>
  <c r="C1660" i="1"/>
  <c r="D1644" i="1"/>
  <c r="D1647" i="1" s="1"/>
  <c r="C1643" i="1"/>
  <c r="E1644" i="1" s="1"/>
  <c r="H647" i="1"/>
  <c r="J644" i="1" s="1"/>
  <c r="J647" i="1" s="1"/>
  <c r="I1195" i="1"/>
  <c r="I1173" i="1"/>
  <c r="I1176" i="1" s="1"/>
  <c r="J1173" i="1"/>
  <c r="J1176" i="1" s="1"/>
  <c r="J1156" i="1"/>
  <c r="J1159" i="1" s="1"/>
  <c r="K1156" i="1" s="1"/>
  <c r="H1159" i="1"/>
  <c r="I1156" i="1" s="1"/>
  <c r="I1159" i="1" s="1"/>
  <c r="I1144" i="1"/>
  <c r="I1147" i="1" s="1"/>
  <c r="J1144" i="1"/>
  <c r="J1147" i="1" s="1"/>
  <c r="I1135" i="1"/>
  <c r="I1125" i="1"/>
  <c r="K1122" i="1" s="1"/>
  <c r="I1112" i="1"/>
  <c r="I1115" i="1" s="1"/>
  <c r="G138" i="1"/>
  <c r="G141" i="1" s="1"/>
  <c r="H138" i="1"/>
  <c r="H141" i="1" s="1"/>
  <c r="I138" i="1"/>
  <c r="G122" i="1"/>
  <c r="G125" i="1" s="1"/>
  <c r="I122" i="1"/>
  <c r="G107" i="1"/>
  <c r="G110" i="1" s="1"/>
  <c r="G89" i="1"/>
  <c r="G92" i="1" s="1"/>
  <c r="F92" i="1"/>
  <c r="I89" i="1"/>
  <c r="H1787" i="1"/>
  <c r="H1379" i="1"/>
  <c r="H1382" i="1" s="1"/>
  <c r="H1767" i="1"/>
  <c r="G1753" i="1"/>
  <c r="I1730" i="1"/>
  <c r="I1733" i="1" s="1"/>
  <c r="H1730" i="1"/>
  <c r="H1733" i="1" s="1"/>
  <c r="G1590" i="1"/>
  <c r="H1587" i="1" s="1"/>
  <c r="H1590" i="1" s="1"/>
  <c r="I1587" i="1" s="1"/>
  <c r="I1590" i="1" s="1"/>
  <c r="J1587" i="1" s="1"/>
  <c r="J1570" i="1"/>
  <c r="J1573" i="1" s="1"/>
  <c r="G1573" i="1"/>
  <c r="H1570" i="1" s="1"/>
  <c r="H1573" i="1" s="1"/>
  <c r="I1570" i="1" s="1"/>
  <c r="I1573" i="1" s="1"/>
  <c r="I1558" i="1"/>
  <c r="I1527" i="1"/>
  <c r="I1530" i="1" s="1"/>
  <c r="H1527" i="1"/>
  <c r="H1530" i="1" s="1"/>
  <c r="E1511" i="1"/>
  <c r="E1514" i="1" s="1"/>
  <c r="G1511" i="1" s="1"/>
  <c r="G1514" i="1" s="1"/>
  <c r="I1511" i="1" s="1"/>
  <c r="C871" i="1"/>
  <c r="C874" i="1" s="1"/>
  <c r="D871" i="1" s="1"/>
  <c r="D874" i="1" s="1"/>
  <c r="E871" i="1" s="1"/>
  <c r="E874" i="1" s="1"/>
  <c r="F871" i="1" s="1"/>
  <c r="F874" i="1" s="1"/>
  <c r="G871" i="1" s="1"/>
  <c r="G874" i="1" s="1"/>
  <c r="H871" i="1" s="1"/>
  <c r="H874" i="1" s="1"/>
  <c r="I871" i="1" s="1"/>
  <c r="B864" i="1"/>
  <c r="C861" i="1" s="1"/>
  <c r="C864" i="1" s="1"/>
  <c r="D861" i="1" s="1"/>
  <c r="D864" i="1" s="1"/>
  <c r="E861" i="1" s="1"/>
  <c r="E864" i="1" s="1"/>
  <c r="F861" i="1" s="1"/>
  <c r="C850" i="1"/>
  <c r="C853" i="1" s="1"/>
  <c r="D850" i="1" s="1"/>
  <c r="D853" i="1" s="1"/>
  <c r="E850" i="1" s="1"/>
  <c r="E853" i="1" s="1"/>
  <c r="F850" i="1" s="1"/>
  <c r="F853" i="1" s="1"/>
  <c r="G850" i="1" s="1"/>
  <c r="G853" i="1" s="1"/>
  <c r="H850" i="1" s="1"/>
  <c r="H853" i="1" s="1"/>
  <c r="I850" i="1" s="1"/>
  <c r="B850" i="1"/>
  <c r="D616" i="1"/>
  <c r="D619" i="1" s="1"/>
  <c r="C619" i="1"/>
  <c r="D506" i="1"/>
  <c r="E506" i="1"/>
  <c r="F506" i="1"/>
  <c r="C506" i="1"/>
  <c r="I472" i="1"/>
  <c r="I475" i="1" s="1"/>
  <c r="I457" i="1"/>
  <c r="I440" i="1"/>
  <c r="H442" i="1"/>
  <c r="I439" i="1" s="1"/>
  <c r="I442" i="1" s="1"/>
  <c r="I421" i="1"/>
  <c r="I424" i="1" s="1"/>
  <c r="J193" i="1"/>
  <c r="J196" i="1" s="1"/>
  <c r="I193" i="1"/>
  <c r="I196" i="1" s="1"/>
  <c r="I168" i="1"/>
  <c r="I171" i="1" s="1"/>
  <c r="J158" i="1"/>
  <c r="J161" i="1" s="1"/>
  <c r="I158" i="1"/>
  <c r="I161" i="1" s="1"/>
  <c r="E41" i="1"/>
  <c r="C1098" i="1"/>
  <c r="O1077" i="1"/>
  <c r="O1056" i="1"/>
  <c r="O1026" i="1"/>
  <c r="O1029" i="1" s="1"/>
  <c r="N1009" i="1"/>
  <c r="O1006" i="1" s="1"/>
  <c r="O1009" i="1" s="1"/>
  <c r="P1006" i="1" s="1"/>
  <c r="O959" i="1"/>
  <c r="O962" i="1" s="1"/>
  <c r="N962" i="1"/>
  <c r="N907" i="1"/>
  <c r="P904" i="1" s="1"/>
  <c r="N886" i="1"/>
  <c r="I746" i="1"/>
  <c r="J671" i="1"/>
  <c r="J674" i="1" s="1"/>
  <c r="I671" i="1"/>
  <c r="I674" i="1" s="1"/>
  <c r="B560" i="1"/>
  <c r="C557" i="1" s="1"/>
  <c r="C560" i="1" s="1"/>
  <c r="D557" i="1" s="1"/>
  <c r="D560" i="1" s="1"/>
  <c r="E557" i="1" s="1"/>
  <c r="E560" i="1" s="1"/>
  <c r="F557" i="1" s="1"/>
  <c r="F560" i="1" s="1"/>
  <c r="G557" i="1" s="1"/>
  <c r="G560" i="1" s="1"/>
  <c r="H557" i="1" s="1"/>
  <c r="H560" i="1" s="1"/>
  <c r="I557" i="1" s="1"/>
  <c r="B542" i="1"/>
  <c r="C539" i="1" s="1"/>
  <c r="C542" i="1" s="1"/>
  <c r="D539" i="1" s="1"/>
  <c r="D542" i="1" s="1"/>
  <c r="E539" i="1" s="1"/>
  <c r="E542" i="1" s="1"/>
  <c r="F539" i="1" s="1"/>
  <c r="F542" i="1" s="1"/>
  <c r="G539" i="1" s="1"/>
  <c r="G542" i="1" s="1"/>
  <c r="H539" i="1" s="1"/>
  <c r="H542" i="1" s="1"/>
  <c r="I539" i="1" s="1"/>
  <c r="H520" i="1"/>
  <c r="H523" i="1" s="1"/>
  <c r="G520" i="1"/>
  <c r="G523" i="1" s="1"/>
  <c r="F520" i="1"/>
  <c r="F523" i="1" s="1"/>
  <c r="E520" i="1"/>
  <c r="E523" i="1" s="1"/>
  <c r="D520" i="1"/>
  <c r="D523" i="1" s="1"/>
  <c r="C520" i="1"/>
  <c r="C523" i="1" s="1"/>
  <c r="B520" i="1"/>
  <c r="B523" i="1" s="1"/>
  <c r="N340" i="1"/>
  <c r="N343" i="1" s="1"/>
  <c r="N324" i="1"/>
  <c r="N327" i="1" s="1"/>
  <c r="N274" i="1"/>
  <c r="N277" i="1" s="1"/>
  <c r="I238" i="1"/>
  <c r="I241" i="1" s="1"/>
  <c r="C605" i="1"/>
  <c r="D602" i="1" s="1"/>
  <c r="D605" i="1" s="1"/>
  <c r="E602" i="1" s="1"/>
  <c r="E605" i="1" s="1"/>
  <c r="F602" i="1" s="1"/>
  <c r="F605" i="1" s="1"/>
  <c r="G602" i="1" s="1"/>
  <c r="G605" i="1" s="1"/>
  <c r="B605" i="1"/>
  <c r="C817" i="1"/>
  <c r="C820" i="1" s="1"/>
  <c r="B820" i="1"/>
  <c r="H817" i="1"/>
  <c r="H820" i="1" s="1"/>
  <c r="E817" i="1"/>
  <c r="E820" i="1" s="1"/>
  <c r="G817" i="1" s="1"/>
  <c r="G820" i="1" s="1"/>
  <c r="E633" i="1"/>
  <c r="D633" i="1"/>
  <c r="I776" i="1"/>
  <c r="I779" i="1" s="1"/>
  <c r="F1271" i="1"/>
  <c r="G1268" i="1" s="1"/>
  <c r="G1271" i="1" s="1"/>
  <c r="H1268" i="1" s="1"/>
  <c r="H1251" i="1"/>
  <c r="F1254" i="1"/>
  <c r="H1236" i="1"/>
  <c r="G1605" i="1"/>
  <c r="G1608" i="1" s="1"/>
  <c r="F1608" i="1"/>
  <c r="E1608" i="1"/>
  <c r="N1026" i="1"/>
  <c r="N1029" i="1" s="1"/>
  <c r="I388" i="1"/>
  <c r="I391" i="1" s="1"/>
  <c r="J717" i="1"/>
  <c r="J720" i="1" s="1"/>
  <c r="N290" i="1"/>
  <c r="N293" i="1" s="1"/>
  <c r="J1112" i="1"/>
  <c r="J1115" i="1" s="1"/>
  <c r="H122" i="1"/>
  <c r="H125" i="1" s="1"/>
  <c r="H107" i="1"/>
  <c r="H110" i="1" s="1"/>
  <c r="H89" i="1"/>
  <c r="H92" i="1" s="1"/>
  <c r="G1299" i="1"/>
  <c r="G1302" i="1" s="1"/>
  <c r="F1299" i="1"/>
  <c r="F1302" i="1" s="1"/>
  <c r="E1299" i="1"/>
  <c r="E1302" i="1" s="1"/>
  <c r="D1299" i="1"/>
  <c r="D1302" i="1" s="1"/>
  <c r="C1299" i="1"/>
  <c r="C1302" i="1" s="1"/>
  <c r="B1299" i="1"/>
  <c r="B1302" i="1" s="1"/>
  <c r="E1254" i="1"/>
  <c r="G1251" i="1" s="1"/>
  <c r="G1254" i="1" s="1"/>
  <c r="D1254" i="1"/>
  <c r="C1254" i="1"/>
  <c r="B1254" i="1"/>
  <c r="G1115" i="1"/>
  <c r="H1115" i="1"/>
  <c r="N1077" i="1"/>
  <c r="N1056" i="1"/>
  <c r="M1029" i="1"/>
  <c r="M962" i="1"/>
  <c r="D424" i="1"/>
  <c r="C424" i="1"/>
  <c r="C207" i="1"/>
  <c r="E204" i="1" s="1"/>
  <c r="E207" i="1" s="1"/>
  <c r="C1837" i="1"/>
  <c r="C1840" i="1" s="1"/>
  <c r="D1837" i="1" s="1"/>
  <c r="D1840" i="1" s="1"/>
  <c r="E1840" i="1"/>
  <c r="F1837" i="1"/>
  <c r="F1840" i="1" s="1"/>
  <c r="G1837" i="1"/>
  <c r="G1840" i="1" s="1"/>
  <c r="B1837" i="1"/>
  <c r="B1840" i="1" s="1"/>
  <c r="G1824" i="1"/>
  <c r="G1827" i="1" s="1"/>
  <c r="F1824" i="1"/>
  <c r="F1827" i="1" s="1"/>
  <c r="E1824" i="1"/>
  <c r="E1827" i="1" s="1"/>
  <c r="D1824" i="1"/>
  <c r="D1827" i="1" s="1"/>
  <c r="C1824" i="1"/>
  <c r="C1827" i="1" s="1"/>
  <c r="B1824" i="1"/>
  <c r="B1827" i="1" s="1"/>
  <c r="B1810" i="1"/>
  <c r="C1807" i="1" s="1"/>
  <c r="C1810" i="1" s="1"/>
  <c r="D1807" i="1" s="1"/>
  <c r="D1810" i="1" s="1"/>
  <c r="E1807" i="1" s="1"/>
  <c r="E1810" i="1" s="1"/>
  <c r="F1807" i="1" s="1"/>
  <c r="F1810" i="1" s="1"/>
  <c r="G1807" i="1" s="1"/>
  <c r="G1810" i="1" s="1"/>
  <c r="H1807" i="1" s="1"/>
  <c r="H1810" i="1" s="1"/>
  <c r="I1807" i="1" s="1"/>
  <c r="G1787" i="1"/>
  <c r="E1753" i="1"/>
  <c r="F1753" i="1"/>
  <c r="G1733" i="1"/>
  <c r="H1555" i="1"/>
  <c r="H671" i="1"/>
  <c r="H674" i="1" s="1"/>
  <c r="F1466" i="1"/>
  <c r="F1465" i="1" s="1"/>
  <c r="F1468" i="1" s="1"/>
  <c r="G238" i="1"/>
  <c r="G241" i="1" s="1"/>
  <c r="F1408" i="1"/>
  <c r="F1411" i="1" s="1"/>
  <c r="G1236" i="1"/>
  <c r="G1239" i="1" s="1"/>
  <c r="F1236" i="1"/>
  <c r="F1239" i="1" s="1"/>
  <c r="H1207" i="1"/>
  <c r="G1207" i="1"/>
  <c r="H1195" i="1"/>
  <c r="H1173" i="1"/>
  <c r="H1176" i="1" s="1"/>
  <c r="H1135" i="1"/>
  <c r="H1125" i="1"/>
  <c r="J1122" i="1" s="1"/>
  <c r="J1125" i="1" s="1"/>
  <c r="G759" i="1"/>
  <c r="G779" i="1"/>
  <c r="C705" i="1"/>
  <c r="H746" i="1"/>
  <c r="I731" i="1"/>
  <c r="I734" i="1" s="1"/>
  <c r="H734" i="1"/>
  <c r="D702" i="1"/>
  <c r="D705" i="1" s="1"/>
  <c r="E702" i="1" s="1"/>
  <c r="J689" i="1"/>
  <c r="J692" i="1" s="1"/>
  <c r="I689" i="1"/>
  <c r="I692" i="1" s="1"/>
  <c r="H661" i="1"/>
  <c r="J658" i="1"/>
  <c r="J661" i="1" s="1"/>
  <c r="F1527" i="1"/>
  <c r="F1530" i="1" s="1"/>
  <c r="G1527" i="1"/>
  <c r="G1530" i="1" s="1"/>
  <c r="E1527" i="1"/>
  <c r="E1530" i="1" s="1"/>
  <c r="D1527" i="1"/>
  <c r="D1530" i="1" s="1"/>
  <c r="C1527" i="1"/>
  <c r="C1530" i="1" s="1"/>
  <c r="N983" i="1"/>
  <c r="N986" i="1" s="1"/>
  <c r="O983" i="1" s="1"/>
  <c r="O986" i="1" s="1"/>
  <c r="P983" i="1" s="1"/>
  <c r="F1379" i="1"/>
  <c r="F1382" i="1" s="1"/>
  <c r="G1379" i="1"/>
  <c r="G1382" i="1" s="1"/>
  <c r="E1379" i="1"/>
  <c r="E1382" i="1" s="1"/>
  <c r="D1379" i="1"/>
  <c r="D1382" i="1" s="1"/>
  <c r="C1379" i="1"/>
  <c r="C1382" i="1" s="1"/>
  <c r="D1375" i="1"/>
  <c r="C1375" i="1"/>
  <c r="H472" i="1"/>
  <c r="H475" i="1" s="1"/>
  <c r="G442" i="1"/>
  <c r="G391" i="1"/>
  <c r="H388" i="1"/>
  <c r="H391" i="1" s="1"/>
  <c r="H503" i="1"/>
  <c r="H506" i="1" s="1"/>
  <c r="H488" i="1"/>
  <c r="H491" i="1" s="1"/>
  <c r="H457" i="1"/>
  <c r="H460" i="1" s="1"/>
  <c r="H421" i="1"/>
  <c r="H424" i="1" s="1"/>
  <c r="L372" i="1"/>
  <c r="L375" i="1" s="1"/>
  <c r="L356" i="1"/>
  <c r="L359" i="1" s="1"/>
  <c r="L340" i="1"/>
  <c r="L343" i="1" s="1"/>
  <c r="M340" i="1"/>
  <c r="M343" i="1" s="1"/>
  <c r="M324" i="1"/>
  <c r="M327" i="1" s="1"/>
  <c r="L327" i="1"/>
  <c r="L310" i="1"/>
  <c r="N307" i="1" s="1"/>
  <c r="N310" i="1" s="1"/>
  <c r="L293" i="1"/>
  <c r="M274" i="1"/>
  <c r="M277" i="1" s="1"/>
  <c r="O274" i="1" s="1"/>
  <c r="L277" i="1"/>
  <c r="H238" i="1"/>
  <c r="H241" i="1" s="1"/>
  <c r="D25" i="1"/>
  <c r="C25" i="1"/>
  <c r="B871" i="1"/>
  <c r="H193" i="1"/>
  <c r="H196" i="1" s="1"/>
  <c r="H168" i="1"/>
  <c r="H171" i="1" s="1"/>
  <c r="H158" i="1"/>
  <c r="H161" i="1" s="1"/>
  <c r="D41" i="1"/>
  <c r="E22" i="1"/>
  <c r="E25" i="1" s="1"/>
  <c r="G1545" i="1"/>
  <c r="J1361" i="1"/>
  <c r="J1360" i="1" s="1"/>
  <c r="J1363" i="1" s="1"/>
  <c r="I1361" i="1"/>
  <c r="I1360" i="1" s="1"/>
  <c r="I1363" i="1" s="1"/>
  <c r="I1345" i="1"/>
  <c r="I1347" i="1"/>
  <c r="I1312" i="1"/>
  <c r="B1220" i="1"/>
  <c r="C1217" i="1" s="1"/>
  <c r="C1220" i="1" s="1"/>
  <c r="D1217" i="1" s="1"/>
  <c r="D1220" i="1" s="1"/>
  <c r="E1217" i="1" s="1"/>
  <c r="E1220" i="1" s="1"/>
  <c r="F1217" i="1" s="1"/>
  <c r="F1220" i="1" s="1"/>
  <c r="G1217" i="1" s="1"/>
  <c r="G1220" i="1" s="1"/>
  <c r="H1217" i="1" s="1"/>
  <c r="H1220" i="1" s="1"/>
  <c r="I1217" i="1" s="1"/>
  <c r="K931" i="1"/>
  <c r="K934" i="1" s="1"/>
  <c r="L931" i="1" s="1"/>
  <c r="L934" i="1" s="1"/>
  <c r="M931" i="1" s="1"/>
  <c r="M934" i="1" s="1"/>
  <c r="N931" i="1" s="1"/>
  <c r="N934" i="1" s="1"/>
  <c r="O931" i="1" s="1"/>
  <c r="O934" i="1" s="1"/>
  <c r="H931" i="1"/>
  <c r="H934" i="1" s="1"/>
  <c r="I931" i="1" s="1"/>
  <c r="I934" i="1" s="1"/>
  <c r="J931" i="1" s="1"/>
  <c r="J934" i="1" s="1"/>
  <c r="D1451" i="1"/>
  <c r="D1454" i="1" s="1"/>
  <c r="C1451" i="1"/>
  <c r="C1454" i="1" s="1"/>
  <c r="E1451" i="1" s="1"/>
  <c r="E1454" i="1" s="1"/>
  <c r="G158" i="1"/>
  <c r="G161" i="1" s="1"/>
  <c r="F796" i="1"/>
  <c r="F799" i="1" s="1"/>
  <c r="G796" i="1" s="1"/>
  <c r="G799" i="1" s="1"/>
  <c r="H796" i="1" s="1"/>
  <c r="H799" i="1" s="1"/>
  <c r="I796" i="1" s="1"/>
  <c r="I799" i="1" s="1"/>
  <c r="J796" i="1" s="1"/>
  <c r="F779" i="1"/>
  <c r="E779" i="1"/>
  <c r="D779" i="1"/>
  <c r="C776" i="1"/>
  <c r="C779" i="1" s="1"/>
  <c r="B776" i="1"/>
  <c r="B779" i="1" s="1"/>
  <c r="F759" i="1"/>
  <c r="E756" i="1"/>
  <c r="D756" i="1"/>
  <c r="D759" i="1" s="1"/>
  <c r="C756" i="1"/>
  <c r="C759" i="1" s="1"/>
  <c r="B756" i="1"/>
  <c r="B759" i="1" s="1"/>
  <c r="B1361" i="1"/>
  <c r="B1360" i="1" s="1"/>
  <c r="B1345" i="1"/>
  <c r="B1344" i="1" s="1"/>
  <c r="B293" i="1"/>
  <c r="B171" i="1"/>
  <c r="B41" i="1"/>
  <c r="H1144" i="1"/>
  <c r="H1147" i="1" s="1"/>
  <c r="G503" i="1"/>
  <c r="G506" i="1" s="1"/>
  <c r="G488" i="1"/>
  <c r="G491" i="1" s="1"/>
  <c r="F491" i="1"/>
  <c r="F475" i="1"/>
  <c r="G472" i="1"/>
  <c r="G475" i="1" s="1"/>
  <c r="F460" i="1"/>
  <c r="G457" i="1"/>
  <c r="G460" i="1" s="1"/>
  <c r="F424" i="1"/>
  <c r="G421" i="1"/>
  <c r="G424" i="1" s="1"/>
  <c r="G406" i="1"/>
  <c r="G409" i="1" s="1"/>
  <c r="I406" i="1" s="1"/>
  <c r="I409" i="1" s="1"/>
  <c r="F406" i="1"/>
  <c r="F409" i="1" s="1"/>
  <c r="H406" i="1" s="1"/>
  <c r="K375" i="1"/>
  <c r="M372" i="1"/>
  <c r="M375" i="1" s="1"/>
  <c r="K359" i="1"/>
  <c r="M356" i="1" s="1"/>
  <c r="M359" i="1" s="1"/>
  <c r="K343" i="1"/>
  <c r="K327" i="1"/>
  <c r="K307" i="1"/>
  <c r="K310" i="1" s="1"/>
  <c r="M307" i="1" s="1"/>
  <c r="M310" i="1" s="1"/>
  <c r="M290" i="1"/>
  <c r="M293" i="1" s="1"/>
  <c r="J293" i="1"/>
  <c r="C293" i="1"/>
  <c r="D293" i="1"/>
  <c r="E293" i="1"/>
  <c r="F293" i="1"/>
  <c r="G293" i="1"/>
  <c r="I290" i="1" s="1"/>
  <c r="I293" i="1" s="1"/>
  <c r="K290" i="1" s="1"/>
  <c r="K293" i="1" s="1"/>
  <c r="H293" i="1"/>
  <c r="G587" i="1"/>
  <c r="G590" i="1" s="1"/>
  <c r="H587" i="1"/>
  <c r="H590" i="1" s="1"/>
  <c r="F587" i="1"/>
  <c r="F590" i="1" s="1"/>
  <c r="E587" i="1"/>
  <c r="E590" i="1" s="1"/>
  <c r="D587" i="1"/>
  <c r="D590" i="1" s="1"/>
  <c r="C587" i="1"/>
  <c r="C590" i="1" s="1"/>
  <c r="G579" i="1"/>
  <c r="F1511" i="1"/>
  <c r="F1514" i="1" s="1"/>
  <c r="H1511" i="1" s="1"/>
  <c r="H1514" i="1" s="1"/>
  <c r="D1514" i="1"/>
  <c r="G193" i="1"/>
  <c r="G196" i="1" s="1"/>
  <c r="C193" i="1"/>
  <c r="C196" i="1" s="1"/>
  <c r="D193" i="1"/>
  <c r="D196" i="1" s="1"/>
  <c r="E193" i="1"/>
  <c r="E196" i="1" s="1"/>
  <c r="B193" i="1"/>
  <c r="B196" i="1" s="1"/>
  <c r="F193" i="1"/>
  <c r="F196" i="1" s="1"/>
  <c r="C185" i="1"/>
  <c r="D185" i="1"/>
  <c r="B185" i="1"/>
  <c r="G182" i="1"/>
  <c r="G185" i="1" s="1"/>
  <c r="F182" i="1"/>
  <c r="F185" i="1" s="1"/>
  <c r="E182" i="1"/>
  <c r="E185" i="1" s="1"/>
  <c r="G171" i="1"/>
  <c r="F171" i="1"/>
  <c r="E171" i="1"/>
  <c r="D171" i="1"/>
  <c r="C171" i="1"/>
  <c r="D1485" i="1"/>
  <c r="E1483" i="1"/>
  <c r="E1482" i="1" s="1"/>
  <c r="E1485" i="1" s="1"/>
  <c r="E1466" i="1"/>
  <c r="E1465" i="1" s="1"/>
  <c r="E1468" i="1" s="1"/>
  <c r="H1361" i="1"/>
  <c r="H1312" i="1"/>
  <c r="F1787" i="1"/>
  <c r="E1787" i="1"/>
  <c r="D1787" i="1"/>
  <c r="C1787" i="1"/>
  <c r="D1753" i="1"/>
  <c r="F1733" i="1"/>
  <c r="E1733" i="1"/>
  <c r="C41" i="1"/>
  <c r="G1195" i="1"/>
  <c r="G1176" i="1"/>
  <c r="G1147" i="1"/>
  <c r="F1147" i="1"/>
  <c r="G1135" i="1"/>
  <c r="G1125" i="1"/>
  <c r="G746" i="1"/>
  <c r="F746" i="1"/>
  <c r="E746" i="1"/>
  <c r="D734" i="1"/>
  <c r="G734" i="1"/>
  <c r="E734" i="1"/>
  <c r="H717" i="1"/>
  <c r="H720" i="1" s="1"/>
  <c r="G720" i="1"/>
  <c r="I717" i="1" s="1"/>
  <c r="I720" i="1" s="1"/>
  <c r="G661" i="1"/>
  <c r="I658" i="1"/>
  <c r="I661" i="1" s="1"/>
  <c r="G647" i="1"/>
  <c r="I644" i="1" s="1"/>
  <c r="I647" i="1" s="1"/>
  <c r="K644" i="1" s="1"/>
  <c r="D1411" i="1"/>
  <c r="E1408" i="1"/>
  <c r="E1411" i="1" s="1"/>
  <c r="G1558" i="1"/>
  <c r="G1556" i="1"/>
  <c r="F1558" i="1"/>
  <c r="F1556" i="1"/>
  <c r="F1545" i="1"/>
  <c r="F138" i="1"/>
  <c r="F141" i="1" s="1"/>
  <c r="E138" i="1"/>
  <c r="E141" i="1" s="1"/>
  <c r="D141" i="1"/>
  <c r="C141" i="1"/>
  <c r="F122" i="1"/>
  <c r="F125" i="1" s="1"/>
  <c r="E122" i="1"/>
  <c r="E125" i="1" s="1"/>
  <c r="D125" i="1"/>
  <c r="C125" i="1"/>
  <c r="D110" i="1"/>
  <c r="F107" i="1" s="1"/>
  <c r="F110" i="1" s="1"/>
  <c r="E110" i="1"/>
  <c r="C110" i="1"/>
  <c r="D92" i="1"/>
  <c r="C92" i="1"/>
  <c r="E89" i="1" s="1"/>
  <c r="E92" i="1" s="1"/>
  <c r="G1312" i="1"/>
  <c r="F1312" i="1"/>
  <c r="E1312" i="1"/>
  <c r="D1312" i="1"/>
  <c r="F579" i="1"/>
  <c r="H576" i="1" s="1"/>
  <c r="H579" i="1" s="1"/>
  <c r="E579" i="1"/>
  <c r="D579" i="1"/>
  <c r="D1361" i="1"/>
  <c r="D1360" i="1" s="1"/>
  <c r="D1363" i="1" s="1"/>
  <c r="E1361" i="1" s="1"/>
  <c r="E1360" i="1" s="1"/>
  <c r="E1363" i="1" s="1"/>
  <c r="H1360" i="1"/>
  <c r="H1363" i="1" s="1"/>
  <c r="F1360" i="1"/>
  <c r="F1363" i="1" s="1"/>
  <c r="D1347" i="1"/>
  <c r="C1345" i="1"/>
  <c r="C1344" i="1" s="1"/>
  <c r="D472" i="1"/>
  <c r="C1310" i="1"/>
  <c r="C1309" i="1" s="1"/>
  <c r="C1312" i="1" s="1"/>
  <c r="B1310" i="1"/>
  <c r="B1309" i="1" s="1"/>
  <c r="B1312" i="1" s="1"/>
  <c r="C1545" i="1"/>
  <c r="D1545" i="1"/>
  <c r="E1545" i="1"/>
  <c r="O1321" i="1" l="1"/>
  <c r="O1320" i="1" s="1"/>
  <c r="C1644" i="1"/>
  <c r="C1647" i="1" s="1"/>
  <c r="C1347" i="1"/>
  <c r="E1345" i="1" s="1"/>
  <c r="E1344" i="1" s="1"/>
  <c r="E1347" i="1" s="1"/>
  <c r="F1345" i="1" s="1"/>
  <c r="F1344" i="1" s="1"/>
  <c r="F1347" i="1" s="1"/>
  <c r="G1345" i="1" s="1"/>
  <c r="G1344" i="1" s="1"/>
  <c r="G1347" i="1" s="1"/>
  <c r="H1345" i="1" s="1"/>
  <c r="H1344" i="1" s="1"/>
  <c r="H1347" i="1" s="1"/>
  <c r="B1347" i="1"/>
  <c r="D1345" i="1" s="1"/>
  <c r="D817" i="1"/>
  <c r="D820" i="1" s="1"/>
  <c r="F817" i="1" s="1"/>
  <c r="F820" i="1" s="1"/>
</calcChain>
</file>

<file path=xl/sharedStrings.xml><?xml version="1.0" encoding="utf-8"?>
<sst xmlns="http://schemas.openxmlformats.org/spreadsheetml/2006/main" count="2469" uniqueCount="972">
  <si>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</si>
  <si>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</si>
  <si>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</si>
  <si>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</si>
  <si>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</si>
  <si>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</si>
  <si>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</si>
  <si>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</si>
  <si>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</si>
  <si>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</si>
  <si>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</si>
  <si>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</si>
  <si>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</si>
  <si>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</si>
  <si>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</si>
  <si>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</si>
  <si>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</si>
  <si>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</si>
  <si>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</si>
  <si>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</si>
  <si>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</si>
  <si>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</si>
  <si>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</si>
  <si>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</si>
  <si>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</si>
  <si>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</si>
  <si>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</si>
  <si>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</si>
  <si>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</si>
  <si>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</si>
  <si>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</si>
  <si>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</si>
  <si>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</si>
  <si>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</si>
  <si>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</si>
  <si>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2010=95t+47.5t-(86.5t to Canada for 2011) por Rec. 08-04</t>
  </si>
  <si>
    <t xml:space="preserve">Desembarque </t>
  </si>
  <si>
    <t>Saldo</t>
  </si>
  <si>
    <t>TUNISIE</t>
  </si>
  <si>
    <t>EUROPEAN UNION</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</si>
  <si>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</si>
  <si>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</si>
  <si>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</si>
  <si>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</si>
  <si>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</si>
  <si>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</si>
  <si>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</si>
  <si>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</si>
  <si>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</si>
  <si>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</si>
  <si>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</si>
  <si>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</si>
  <si>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</si>
  <si>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</si>
  <si>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</si>
  <si>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</si>
  <si>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</si>
  <si>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</si>
  <si>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</si>
  <si>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</si>
  <si>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</si>
  <si>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</si>
  <si>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</si>
  <si>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</si>
  <si>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</si>
  <si>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</si>
  <si>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</si>
  <si>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</si>
  <si>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</si>
  <si>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</si>
  <si>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</si>
  <si>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</si>
  <si>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</si>
  <si>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</si>
  <si>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</si>
  <si>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</si>
  <si>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</si>
  <si>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</si>
  <si>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</si>
  <si>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</si>
  <si>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</si>
  <si>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</si>
  <si>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</si>
  <si>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</si>
  <si>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</si>
  <si>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</si>
  <si>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</si>
  <si>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</si>
  <si>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</si>
  <si>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</si>
  <si>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</si>
  <si>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</si>
  <si>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</si>
  <si>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</si>
  <si>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</si>
  <si>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</si>
  <si>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</si>
  <si>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</si>
  <si>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</si>
  <si>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</si>
  <si>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</si>
  <si>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</si>
  <si>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</si>
  <si>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</si>
  <si>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</si>
  <si>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</si>
  <si>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</si>
  <si>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</si>
  <si>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</si>
  <si>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</si>
  <si>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</si>
  <si>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</si>
  <si>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</si>
  <si>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</si>
  <si>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</si>
  <si>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</si>
  <si>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</si>
  <si>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</si>
  <si>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</si>
  <si>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</si>
  <si>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</si>
  <si>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</si>
  <si>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</si>
  <si>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</si>
  <si>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</si>
  <si>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</si>
  <si>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</si>
  <si>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</si>
  <si>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</si>
  <si>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</si>
  <si>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</si>
  <si>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</si>
  <si>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</si>
  <si>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</si>
  <si>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</si>
  <si>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</si>
  <si>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</si>
  <si>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</si>
  <si>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</si>
  <si>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</si>
  <si>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</si>
  <si>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</si>
  <si>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</si>
  <si>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</si>
  <si>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</si>
  <si>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</si>
  <si>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</si>
  <si>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</si>
  <si>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</si>
  <si>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</si>
  <si>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</si>
  <si>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</si>
  <si>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</si>
  <si>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</si>
  <si>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</si>
  <si>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</si>
  <si>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</si>
  <si>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</si>
  <si>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</si>
  <si>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</si>
  <si>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</si>
  <si>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</si>
  <si>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</si>
  <si>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</si>
  <si>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</si>
  <si>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</si>
  <si>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</si>
  <si>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</si>
  <si>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</si>
  <si>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</si>
  <si>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</si>
  <si>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</si>
  <si>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</si>
  <si>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</si>
  <si>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</si>
  <si>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</si>
  <si>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</si>
  <si>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</si>
  <si>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</si>
  <si>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</si>
  <si>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</si>
  <si>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</si>
  <si>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</si>
  <si>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</si>
  <si>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</si>
  <si>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</si>
  <si>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</si>
  <si>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</si>
  <si>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</si>
  <si>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</si>
  <si>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</si>
  <si>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</si>
  <si>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</si>
  <si>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</si>
  <si>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</si>
  <si>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</si>
  <si>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</si>
  <si>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</si>
  <si>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</si>
  <si>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</si>
  <si>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</si>
  <si>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</si>
  <si>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</si>
  <si>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 xml:space="preserve">Stock: </t>
  </si>
  <si>
    <t xml:space="preserve">Flag: </t>
  </si>
  <si>
    <t>SOUTH AFRICA</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</si>
  <si>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</si>
  <si>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</si>
  <si>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</si>
  <si>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</si>
  <si>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</si>
  <si>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</si>
  <si>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</si>
  <si>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</si>
  <si>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</si>
  <si>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</si>
  <si>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</si>
  <si>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</si>
  <si>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</si>
  <si>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</si>
  <si>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1"/>
  </si>
  <si>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</si>
  <si>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1"/>
  </si>
  <si>
    <t>JAPAN-S-ALB: Japan's overage in 2017 was deducted from the 2019 initial limit [Rec.16-07]</t>
    <phoneticPr fontId="11"/>
  </si>
  <si>
    <t>JAPAN-S-ALB: Japan's underage in 2018 was carried over to the 2020 initial limit [Rec.16-07]</t>
    <phoneticPr fontId="11"/>
  </si>
  <si>
    <t>Japan's 2019 adjusted limit = 1355t(Limit)-418.7t(2017 overage(Para5 of Rec16-07))+100t(transfer from Brasil (Para3 of Rec.16-07))+100t(transfer from S.Africa(Para3 of Rec.16-07))+800t(transfer from S.Africa(circular#888/2019))</t>
    <phoneticPr fontId="11"/>
  </si>
  <si>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</si>
  <si>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</si>
  <si>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2019 adjusted limit = 901t(Limit)+340.2t(2017 carry over(Para1(3) of Rec17-03)-50t(transfer to Namibia(Para5 of Rec.17-03))</t>
    <phoneticPr fontId="11"/>
  </si>
  <si>
    <t>Japan's 2020 adjusted limit  = 901t(Limit)+600t(2018 carry over(Para1(3) of Rec17-03))-50t(transfer to Namibia(Para5 of Rec.17-03))</t>
    <phoneticPr fontId="11"/>
  </si>
  <si>
    <t>JAPAN-E-BFT: current catch for 2018 includes 7.42 t of dead discard.</t>
    <phoneticPr fontId="5" type="noConversion"/>
  </si>
  <si>
    <t>Japan's 2019 adjusted limit = 2544.00t(Limit)(Para5 of Rec18-02)</t>
    <phoneticPr fontId="11"/>
  </si>
  <si>
    <t>JAPAN-W-BFT: current catch for 2018 includes 1.10 t of dead discard.</t>
    <phoneticPr fontId="5" type="noConversion"/>
  </si>
  <si>
    <t>Japan's 2018 adjusted limit =15415.88(It was deducted by the "pay back" provision  in para 2(a) of Rec 16-01.)</t>
    <phoneticPr fontId="11"/>
  </si>
  <si>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</si>
  <si>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</si>
  <si>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</si>
  <si>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</si>
  <si>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</si>
  <si>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1"/>
  </si>
  <si>
    <t>Japan's 2018 adjusted limit = 390t(Limt)+16.6t(2016 carry over(Para3 of Rec15-05))</t>
    <phoneticPr fontId="11"/>
  </si>
  <si>
    <t>Japan's 2018 adjusted limit =35t(Limt)+7t(2016 carry over(35*20%)(Para3 of Rec15-05))</t>
    <phoneticPr fontId="11"/>
  </si>
  <si>
    <t>2017*</t>
  </si>
  <si>
    <t>2018**</t>
  </si>
  <si>
    <t>2019**</t>
  </si>
  <si>
    <t>50+(50*0.4)</t>
  </si>
  <si>
    <t>CÔTE D'IVOIRE</t>
  </si>
  <si>
    <t>200+(200*0.5)</t>
  </si>
  <si>
    <t>200+(200*0.4)</t>
  </si>
  <si>
    <t>GHANA</t>
  </si>
  <si>
    <t>*transfer of 200t from Chinese Taipei to Belize in 2019 and 2020.</t>
  </si>
  <si>
    <t>Les prises accessoires n'ont pas encore été arretées ,</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</si>
  <si>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</si>
  <si>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</si>
  <si>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</si>
  <si>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</si>
  <si>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</si>
  <si>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</si>
  <si>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</si>
  <si>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</si>
  <si>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</si>
  <si>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</si>
  <si>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</si>
  <si>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</si>
  <si>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</si>
  <si>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</si>
  <si>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</si>
  <si>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</si>
  <si>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</si>
  <si>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</si>
  <si>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</si>
  <si>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</si>
  <si>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</si>
  <si>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</si>
  <si>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</si>
  <si>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</si>
  <si>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</si>
  <si>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</si>
  <si>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</si>
  <si>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</si>
  <si>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</si>
  <si>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</si>
  <si>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</si>
  <si>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</si>
  <si>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</si>
  <si>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</si>
  <si>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</si>
  <si>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</si>
  <si>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</si>
  <si>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</si>
  <si>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</si>
  <si>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</si>
  <si>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</si>
  <si>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</si>
  <si>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</si>
  <si>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</si>
  <si>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</si>
  <si>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</si>
  <si>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</si>
  <si>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</si>
  <si>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</si>
  <si>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</si>
  <si>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Adjusted limit for 2020 = 632.4 +158.1 = 790.5</t>
  </si>
  <si>
    <t>Adjusted limit for 2020 = 3907.0 + (0.15)(3907) = 4493.05 t</t>
  </si>
  <si>
    <t>Adjusted limit for 2020 = 100.0 - (100 t (Namibia (50 t), Cote d'Ivoire (25 t), Belize (25 t)) + 99.94</t>
  </si>
  <si>
    <t>Adjusted limit for 2020 = 1272.86 + (.1)(1272.86) = 1400.15 t</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</si>
  <si>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</si>
  <si>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</si>
  <si>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</si>
  <si>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</si>
  <si>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</si>
  <si>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</si>
  <si>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</si>
  <si>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</si>
  <si>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</si>
  <si>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</si>
  <si>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</si>
  <si>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</si>
  <si>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</si>
  <si>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</si>
  <si>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</si>
  <si>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50+(0.5*50)</t>
  </si>
  <si>
    <t>50+(0.5*50)-25</t>
  </si>
  <si>
    <t>50+(0.4*50)-25</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</si>
  <si>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</si>
  <si>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</si>
  <si>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</si>
  <si>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</si>
  <si>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</si>
  <si>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</si>
  <si>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</si>
  <si>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</si>
  <si>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</si>
  <si>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</si>
  <si>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</si>
  <si>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</si>
  <si>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</si>
  <si>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</si>
  <si>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</si>
  <si>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</si>
  <si>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</si>
  <si>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</si>
  <si>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</si>
  <si>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</si>
  <si>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</si>
  <si>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</si>
  <si>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</si>
  <si>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</si>
  <si>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</si>
  <si>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</si>
  <si>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</si>
  <si>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</si>
  <si>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</si>
  <si>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</si>
  <si>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</si>
  <si>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</si>
  <si>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</si>
  <si>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</si>
  <si>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</si>
  <si>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</si>
  <si>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</si>
  <si>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</si>
  <si>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</si>
  <si>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</si>
  <si>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</si>
  <si>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</si>
  <si>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</si>
  <si>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</si>
  <si>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</si>
  <si>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</si>
  <si>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</si>
  <si>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</si>
  <si>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</si>
  <si>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</si>
  <si>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</si>
  <si>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</si>
  <si>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</si>
  <si>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</si>
  <si>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</si>
  <si>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</si>
  <si>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</si>
  <si>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</si>
  <si>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</si>
  <si>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</si>
  <si>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</si>
  <si>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</si>
  <si>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</si>
  <si>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</si>
  <si>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</si>
  <si>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</si>
  <si>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</si>
  <si>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</si>
  <si>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</si>
  <si>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</si>
  <si>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</si>
  <si>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</si>
  <si>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</si>
  <si>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</si>
  <si>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</si>
  <si>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</si>
  <si>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</si>
  <si>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</si>
  <si>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</si>
  <si>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</si>
  <si>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</si>
  <si>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</si>
  <si>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</si>
  <si>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</si>
  <si>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</si>
  <si>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</si>
  <si>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</si>
  <si>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2020=58.9 + (Saldo Máx. 2019 = 10% Q2019) = 58.9 + 7</t>
  </si>
  <si>
    <t>2020= (25) + (5), 20% Cuota (25t)</t>
  </si>
  <si>
    <t>2021= (25) + (5), 20% Cuota (25t)</t>
  </si>
  <si>
    <t>200+(200*0.25)</t>
  </si>
  <si>
    <t>215+(200*0.25)</t>
  </si>
  <si>
    <t>REC: 15-05, 18-04, 19-05</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</si>
  <si>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</si>
  <si>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</si>
  <si>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</si>
  <si>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</si>
  <si>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</si>
  <si>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</si>
  <si>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</si>
  <si>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</si>
  <si>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</si>
  <si>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</si>
  <si>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</si>
  <si>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</si>
  <si>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</si>
  <si>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</si>
  <si>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215+(0.25*215)</t>
  </si>
  <si>
    <t>2020: 100 t (transfer to JPN according to Rec.16-07 Para 3) and  100t (transfer to JPN according to circular#4498/2020, Rec.16-07 Para 6)</t>
  </si>
  <si>
    <t>2160+(0.25*2160)-200</t>
  </si>
  <si>
    <t>GUATEMALA</t>
  </si>
  <si>
    <t>GUYANA</t>
  </si>
  <si>
    <t>* As the balance is negative, Adjusted limit (A) = Year Limit + Balance from the previous limit</t>
  </si>
  <si>
    <t>242+(215*0.25)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</si>
  <si>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</si>
  <si>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</si>
  <si>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</si>
  <si>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</si>
  <si>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</si>
  <si>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</si>
  <si>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</si>
  <si>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</si>
  <si>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</si>
  <si>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</si>
  <si>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</si>
  <si>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</si>
  <si>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</si>
  <si>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</si>
  <si>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</si>
  <si>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</si>
  <si>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</si>
  <si>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</si>
  <si>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</si>
  <si>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=9226.41+(11679*15%)+223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</si>
  <si>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</si>
  <si>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</si>
  <si>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</si>
  <si>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</si>
  <si>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</si>
  <si>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</si>
  <si>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</si>
  <si>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</si>
  <si>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</si>
  <si>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</si>
  <si>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</si>
  <si>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</si>
  <si>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</si>
  <si>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</si>
  <si>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JAPAN-BUM:Japan's 2022 adjusted limit = 328.1t(Limit)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</si>
  <si>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</si>
  <si>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</si>
  <si>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</si>
  <si>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</si>
  <si>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</si>
  <si>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</si>
  <si>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</si>
  <si>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</si>
  <si>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</si>
  <si>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</si>
  <si>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</si>
  <si>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</si>
  <si>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</si>
  <si>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</si>
  <si>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</si>
  <si>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</si>
  <si>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</si>
  <si>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</si>
  <si>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</si>
  <si>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</si>
  <si>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</si>
  <si>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</si>
  <si>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</si>
  <si>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</si>
  <si>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</si>
  <si>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</si>
  <si>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</si>
  <si>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</si>
  <si>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</si>
  <si>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</si>
  <si>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</si>
  <si>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</si>
  <si>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</si>
  <si>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</si>
  <si>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</si>
  <si>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</si>
  <si>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</si>
  <si>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</si>
  <si>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</si>
  <si>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</si>
  <si>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</si>
  <si>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</si>
  <si>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</si>
  <si>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</si>
  <si>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</si>
  <si>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Rec. 19-02 Para 3c): Starting with 2020 catches, any underharvest by a CPC of its annual landings limit may not be carried forward to a subsequent year</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</si>
  <si>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</si>
  <si>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</si>
  <si>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</si>
  <si>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</si>
  <si>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</si>
  <si>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</si>
  <si>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</si>
  <si>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</si>
  <si>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</si>
  <si>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</si>
  <si>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</si>
  <si>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</si>
  <si>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</si>
  <si>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</si>
  <si>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</si>
  <si>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</si>
  <si>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</si>
  <si>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5 (A)=IQ2020+Balance2019</t>
  </si>
  <si>
    <t>6 (A)=IQ2021+Balance2020</t>
  </si>
  <si>
    <t>Pour l'année 2020 les prises realisées par les senneurs sont de 2648,138</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</si>
  <si>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</si>
  <si>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</si>
  <si>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</si>
  <si>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</si>
  <si>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</si>
  <si>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</si>
  <si>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</si>
  <si>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</si>
  <si>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</si>
  <si>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</si>
  <si>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</si>
  <si>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</si>
  <si>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</si>
  <si>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</si>
  <si>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</si>
  <si>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</si>
  <si>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</si>
  <si>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</si>
  <si>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</si>
  <si>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</si>
  <si>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</si>
  <si>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</si>
  <si>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</si>
  <si>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</si>
  <si>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</si>
  <si>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</si>
  <si>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</si>
  <si>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</si>
  <si>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</si>
  <si>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</si>
  <si>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</si>
  <si>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</si>
  <si>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</si>
  <si>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</si>
  <si>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</si>
  <si>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</si>
  <si>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</si>
  <si>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</si>
  <si>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</si>
  <si>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</si>
  <si>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</si>
  <si>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</si>
  <si>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</si>
  <si>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</si>
  <si>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</si>
  <si>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</si>
  <si>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</si>
  <si>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</si>
  <si>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Adjusted limit for 2022=initial quota(200)+200*25%(not exceeding the balance of 2020)=250</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</si>
  <si>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</si>
  <si>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</si>
  <si>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</si>
  <si>
    <r>
      <t>JAPAN-N-SWO: adjusted limit in 2018 excluded 100 t transfered to Morocco, and 35 transferred to Canada</t>
    </r>
    <r>
      <rPr>
        <strike/>
        <sz val="10"/>
        <color theme="1"/>
        <rFont val="Cambria"/>
        <family val="1"/>
      </rPr>
      <t>, and 25 transferred to Mauritania.</t>
    </r>
    <r>
      <rPr>
        <sz val="10"/>
        <color theme="1"/>
        <rFont val="Cambria"/>
        <family val="1"/>
      </rPr>
      <t xml:space="preserve"> [Rec. 17-02].</t>
    </r>
  </si>
  <si>
    <t>Limit 2022+limit 2020*0,10</t>
  </si>
  <si>
    <t>In 2020 the underharvest for the EU was of 4557,17 t, which is more than the maximum allowed 10% provided in Rec 21-01. Therefore, the EU is entitled to carry over  1342,13 t to 2022</t>
  </si>
  <si>
    <t>UK</t>
  </si>
  <si>
    <t>2022 adjusted quota is 5198.4 t (=4416.9+3926*0.25-200)  due to the inclusion of 2020 underage and 2022 initial catch quota and the deduction of the transfer of 200 t to Belize.</t>
  </si>
  <si>
    <t>50 + Balance 2019</t>
  </si>
  <si>
    <t>125+(125*0.2)</t>
  </si>
  <si>
    <t>7:  limite 2021+ 100% allocation de quota initiale (MAX Solde 2020=1.53) - CAN transfer (4.78t) = 5.31 + 1.53 - 4.78= 2.06</t>
  </si>
  <si>
    <t>6:  limite 2020+ 100% allocation de quota initiale (MAX Solde 2019=1) - CAN transfer (4.78t) = 5.31 + 1 - 4.78= 1.53</t>
  </si>
  <si>
    <t>Adjusted limite for 2021=initial quota(4390.69)+5376*10%+600 ton transfer from Japan=5528.29</t>
  </si>
  <si>
    <t>2021 adjusted quota is 10469.69 t = 9078.79 (initial quota) + 11679*10% (carry over of 10% of 2019 initial quota pursuant to Rec.19-02) +223 (transfer from Korea)</t>
  </si>
  <si>
    <t>JAPAN-BIGEYE:Japan's 2021 adjusted limit = 13756.16+1769.6(2019 carry over(17696*10%)(Para12 of Rec19-02)-600(transfer to China (Footnote2 of Para.8  of Rec.19-02))-300(transfer to Europian Union (Footnote 2 of Para.8 of Rec.19-02))</t>
  </si>
  <si>
    <t>PANAMÁ</t>
  </si>
  <si>
    <t>(1)  Cuota ajustada de 2021= Cuota de 2021 + balance negativo de 2020 (25-6.34)= 18.66t</t>
  </si>
  <si>
    <t>2021(**) (*)</t>
  </si>
  <si>
    <t>Pour l'année 2021 le quota ajusté est de 2755,75  ( le quota initial 2655T+transfert quota syrie (79,2)+quota non consommé  des prises accessoires 2020 (21,55T)</t>
  </si>
  <si>
    <t>Pour l'année 2022 , les prises réalisées par les senneurs  en 2022 est de 2652,762 t , les prises accessoires ( 26,55T) n'ont pas encore été arrétées</t>
  </si>
  <si>
    <t>7 : limite 2020 + 40% limite de capture initiale (Rec.16-03) + 40 tonnes transférées de l'Union Européenne (REC 17-02)+ 12,75 tonnes transférées du Vénézuela (REC 17-02)=40+(40*0.4)+40+12.75=108.75</t>
  </si>
  <si>
    <t>8 : limite 2022 + 40% limite de capture initiale (Rec.16-03) + 40 tonnes transférées de l'Union Européenne (REC 17-02)=40+(40*0.4)+40=96</t>
  </si>
  <si>
    <t>5:  limite 2019+ 100% allocation de quota initiale - CAN transfer (9.62) = 2*5.31-9.62=1</t>
  </si>
  <si>
    <t>8:  limite 2022+ 100% allocation de quota initiale (MAX Solde 2021=2.06) - CAN transfer (4.78t) = 6.18+2.06-4.78= 3.46</t>
  </si>
  <si>
    <t>1 (A) = Limit 2016 -337 (payback Rec.15-01 9b) + 70 (Transfer Japan Rec.15-01 7b) + Carry over from Balance 2014 MAX. 15%4722=708.3 (583)</t>
  </si>
  <si>
    <t>2 (A) = Limit 2017 -337 (payback Rec.16-01 9b) + 70 (Transfer Japan Rec.16-01 7b) - 246.60 (Balance 2016) + Carry over from Balance 2015 MAX. 15%4722= 708.3 (696.92)</t>
  </si>
  <si>
    <t>3 (A) = Limit 2018 -337 (payback Rec.16-01 9b) + 70 (Transfer Japan Rec.16-01 7b)</t>
  </si>
  <si>
    <t>4 (A) = Limit 2019 + 70 (Transfer Japan Rec.16-01 7b)  + Carry over from Balance 2017 MAX. 15%4250= 637.50 (347.32). No more payback since 18-01 Para 2</t>
  </si>
  <si>
    <t>5 (A) = Limit 2020 + Carry over from Balance 2018 MAX. 15%4250=637.50(412)</t>
  </si>
  <si>
    <t>CURACAO</t>
  </si>
  <si>
    <t>[6]</t>
  </si>
  <si>
    <t>[6] = 2022 limit + 2021 Balance</t>
  </si>
  <si>
    <t>2022 = Initial allocation + transfers (from Senegal 150t, Japan 35t, Chinese Taipe 35t, and the EU 250t) + underage from 2020 (202.2t - max. carry forward)</t>
  </si>
  <si>
    <t>Initial quota/catch limit includes 15 t allocation for by-catch, as per Rec. 17-06 para 6a &amp; Rec. 20-06 Para 1 (4) &amp;  Rec. 21-07 Para 1 (D)</t>
  </si>
  <si>
    <t>Adjusted limited for 2022=242(initial quota)+215*25%(carryover 2020)=295.75</t>
  </si>
  <si>
    <t>Adjusted limit for 2022=initial quota(100)+available balance of 2020 (7.78t)=107.78</t>
  </si>
  <si>
    <t>Adjusted limit for 2022=initial quota(313)+313*20%(carryover 2020)= 313+62.6</t>
  </si>
  <si>
    <t>Adjusted limite for 2022=initial quota(4426.38)+4462.08*10%+600 ton transfer from Japan=5472.59</t>
  </si>
  <si>
    <t>Adjusted Limit=initial limit +available balance(not to exceed 20% of initial quota), valid up to 2020 (Rec. 19-05 Para 3b))</t>
  </si>
  <si>
    <t>Adjusted Limit=initial limit +available balance(not to exceed 10% of initial quota), valid up to 2020 (Rec. 19-05 Para 3b))</t>
  </si>
  <si>
    <t>COSTA RICA</t>
  </si>
  <si>
    <t>* Límite ajustado = límite inicial + balance disponible (no exceder 25% de cuota inicial)</t>
  </si>
  <si>
    <t>Límite ajustado para 2016 = 200 + 50 = 250 t</t>
  </si>
  <si>
    <t>Límite ajustado para 2017= 200 + 50 = 250 t</t>
  </si>
  <si>
    <t>Límite ajustado para 2018 = 200 + 50 = 250 t</t>
  </si>
  <si>
    <t>Límite ajustado para 2019 = 215 + 50 = 265 t</t>
  </si>
  <si>
    <t>Límite ajustado para 2020 = 215 + 53,75 = 268,75 t</t>
  </si>
  <si>
    <t>Límite ajustado para 2021 = 242 + 53,75 = 295,75 t</t>
  </si>
  <si>
    <t>Límite ajustado para 2022 = 242 + 60,5 = 302,50 t</t>
  </si>
  <si>
    <t>SWON</t>
  </si>
  <si>
    <t>ALBN</t>
  </si>
  <si>
    <t>[7]</t>
  </si>
  <si>
    <t>[1]= Límite de 2016 + balance de 2015</t>
  </si>
  <si>
    <t>[2]= Límite de 2017 + balance de 2016</t>
  </si>
  <si>
    <t>[3]= Límite de 2018 + balance de 2017</t>
  </si>
  <si>
    <t>[4]= Límite de 2019 + balance de 2018</t>
  </si>
  <si>
    <t>[5]= Límite de 2020 + balance de 2019</t>
  </si>
  <si>
    <t>[6]= Límite de 2021 + balance de 2020</t>
  </si>
  <si>
    <t>[7]= Límite de 2022 + balance de 2021</t>
  </si>
  <si>
    <t>[1]= Límite de 2017 + balance de 2016</t>
  </si>
  <si>
    <t>[2]= Límite de 2018 + balance de 2017</t>
  </si>
  <si>
    <t>[3]= Límite de 2019 + balance de 2018</t>
  </si>
  <si>
    <t>[4]= Límite de 2020 + balance de 2019</t>
  </si>
  <si>
    <t>[5]= Límite de 2021 + balance de 2020</t>
  </si>
  <si>
    <t>[6]= Límite de 2022 + balance de 2021</t>
  </si>
  <si>
    <t>Limit 2023 +   2021 balance - 1,52% of the EU limit 2023 to be transferred to UK</t>
  </si>
  <si>
    <t xml:space="preserve">The underharvest of the EU in 2021 is of 2025,93 t, which is less than than the maximum allowed of 25% provided in Rec. 16-06. The EU is entitled to carry over 2025,93 t to 2023. Additionally, the EU will transfer to United Kingdom 1,52% of its initial catch limit in 2022.
</t>
  </si>
  <si>
    <t xml:space="preserve">The underharvest of the EU in 2021 is of 1862,1 t, which corresponds to more than 15% of its 2021 initial catch limit. In line with Rec. 17-02 the EU can carry over 1007.7 t to 2023 if current management arrangments are maintained. The adjusted limit for 2021 takes also into account the transfers to Canada (200 t in 2021 &amp;nd 250 t in 2022; from EU-Spain), and S. Pierre et Miquelon (40 t) as provided for in Rec 17-02. Additionally, the EU will transfer to United Kingdom 0,01% of the EU initial catch limit in 2022.
</t>
  </si>
  <si>
    <t>2022 limit + 0,15*2020 limit-40-250-0,01% 2022 limit</t>
  </si>
  <si>
    <t>ALBS</t>
  </si>
  <si>
    <t>JAPAN-S-ALB: 2022 adjusted limit = 1,355 t(Limit)+338.75t(2020 carry over(1355*25%) (para 4 of Rec. 16-07))</t>
  </si>
  <si>
    <t>JAPAN-S-SWO:Japan's 2022 adjusted limit  = 901t(Limit)+600.00t(2020 carry over(Para1(3) of Rec21-03))-50t(transfer to Namibia(Para5 of Rec.17-03))</t>
  </si>
  <si>
    <t>SWOS</t>
  </si>
  <si>
    <t>BFTE</t>
  </si>
  <si>
    <t>JAPAN-E-BFT: current catch for 2021 includes  0.68t of dead discard.</t>
  </si>
  <si>
    <t>JAPAN-E-BFT:Japan's 2022 adjusted limit = 2819.00t(Limit)(Para5 of Rec21-08)+96.65t(2021 carry over (Para7 of Rec 21-08))</t>
  </si>
  <si>
    <t>BFTW</t>
  </si>
  <si>
    <t>JAPAN-W-BFT: current catch for 2021 includes 0.00 t of dead discard.</t>
  </si>
  <si>
    <t>JAPAN-BIGEYE: current catch for 2021 includes  5.3t of dead discard.</t>
  </si>
  <si>
    <t>JAPAN-BUM:Japan's 2022 adjusted limit = 328.1t(Limit)(Para3 of Rec19-05)</t>
  </si>
  <si>
    <t>JAPAN-WHM・SPF:Japan's 2022 adjusted limit =35t(Limit)(Para3 of Rec19-05)</t>
  </si>
  <si>
    <t>JAPAN-N-BSH:Japan's 2020 adjusted limit = 4,010t(Para3 of Rec19-07)</t>
  </si>
  <si>
    <t>JAPAN-N-BSH:Japan's 2021 adjusted limit = 4,010t(Para3 of Rec19-07)</t>
  </si>
  <si>
    <t>242+(0.25*215)</t>
  </si>
  <si>
    <t>242+(0.25*242)</t>
  </si>
  <si>
    <t>2014-2022: 50t transferred to Belize</t>
  </si>
  <si>
    <t>The applied methodology is described in Recs. 19-02, 16-01, 2021-01.</t>
  </si>
  <si>
    <t>2022 adjusted quota is 323 t (=270+270*40%-35-20) due to the inclusion of 2020 underage and 2022 initial catch quota and the deduction of respective transfers of 35 t to Canada and 20 t to Morocco.</t>
  </si>
  <si>
    <t>2022 adjusted quota is 477.8 t (=459 + 18.8) due to the inclusion of 2021 underage and 2022 initial catch quota.</t>
  </si>
  <si>
    <t>2022 adjusted quota is 40 t (=90-50) due to the transfer of 50t to Korea.</t>
  </si>
  <si>
    <t>2022 adjusted quota is 10298.24 t = 9152.60 (initial quota) + 9226.41*10% (carry over of 10% of 2020 initial quota pursuant to Rec.21-01) +223 (transfer from Korea).</t>
  </si>
  <si>
    <t>2022 adjusted quota is 126.2 t in accordance with para 3 c) of Rec. 19-05.</t>
  </si>
  <si>
    <t>2022 adjusted quota is 50 t in accordance with para 3 c) of Rec. 19-05.</t>
  </si>
  <si>
    <t>2022 adjusted limit: Egypt intends to transfer 259.62 ton from fishing vessel "Golovik" AT000EGY00020 to 2 authorized Moroccan Tuna traps</t>
  </si>
  <si>
    <t xml:space="preserve">These cathches were intially reported as SWO-S which seemed incorrect based on this source (https://www.iccat.int/Data/ICCAT_maps.pdf). </t>
  </si>
  <si>
    <t>=1001+20%1001</t>
  </si>
  <si>
    <t>2022: The 2021 underage is greater than the maximum amount that can be carried over to 2022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</si>
  <si>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</si>
  <si>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7(A)=IQ2022+2t EU transfer provided by Rec. 19-05.</t>
  </si>
  <si>
    <t>6 (A)=IQ2021+Balance2020+2t EU transfer provided by Rec. 19-05.</t>
  </si>
  <si>
    <t>7 (A)=IQ2022+Balance2021</t>
  </si>
  <si>
    <t>Adjusted limit for 2022 = 711.5  + (.25)(711.5) = 889.38</t>
  </si>
  <si>
    <t>Adjusted limit for 2022 = 3907.0 + (0.15)(3907) = 4493.05 t</t>
  </si>
  <si>
    <t>=1168+20%1168+50+50</t>
  </si>
  <si>
    <t>Adjusted limit for 2022 = 1341.14 + (.1)(1272.86) = 1468.43 t****</t>
  </si>
  <si>
    <t>****reflects that 10% of the 2021 initial quota may be carried forward to 2022</t>
  </si>
  <si>
    <t>Belize is carrying forward 25% of its initial catch limit (60.5t) from its balance of 268.10t in 2021 to be used in 2023</t>
  </si>
  <si>
    <t>Transfer of 200t from Chinese Taipei to Belize in 2022 and 2023</t>
  </si>
  <si>
    <t>Limit + Underages</t>
  </si>
  <si>
    <t>Republic of Korea</t>
  </si>
  <si>
    <t>Flag</t>
  </si>
  <si>
    <t>2022**</t>
  </si>
  <si>
    <t>Korea carried forward its unused quota of 2021(10t) to 2022. Max 5% 2021 quota. Rec 21-08 Para 7</t>
  </si>
  <si>
    <t>200+50+10</t>
  </si>
  <si>
    <t>(1486*0.10)+984- 223</t>
  </si>
  <si>
    <t>(1000*0.10)+992 - 223</t>
  </si>
  <si>
    <t>Rec.21-01 Para 12: underage of an annual catch limit in 2020 shall be added to their 2022 annual catch limit, subject to 10% of initial quota restrictions</t>
  </si>
  <si>
    <t>=IQ2023+MAX. 0.25*IQ2021</t>
  </si>
  <si>
    <t>=IQ2022+MAX. 0.25*IQ2020</t>
  </si>
  <si>
    <t>=IQ2021+MAX. 0.20*IQ2019</t>
  </si>
  <si>
    <t>=IQ2022+MAX. 0.20*IQ2020</t>
  </si>
  <si>
    <t>=IQ2023+MAX. 0.20*IQ2021</t>
  </si>
  <si>
    <t>IQ2021+53.75</t>
  </si>
  <si>
    <t>IQ2023+MAX 25% IQ2021</t>
  </si>
  <si>
    <t>IQ2022+53.75</t>
  </si>
  <si>
    <t>IQ2023+MAX 40% IQ2021</t>
  </si>
  <si>
    <t xml:space="preserve">The UK's quota for S.ATL SWO is 25t  for 2021. The UK's catches in 2021 were 0t, consequently the UK has a remaining balance of 25t. The UK is permitted to transfer a maximum of 20% of unused quota to 2023. When the 20% is applied to the IQ2021 and the quota for 2023 is added, the adjusted quota for 2023 is 30t. </t>
  </si>
  <si>
    <t xml:space="preserve">The EU transfer's 48.4t of Eastern Bluefin Tuna to the UK. The UK's catches in 2021 were 2.92t, consequently the UK has a remaining balance of 45.48t. The UK is permitted to transfer a maximum of 5% of unused quota to 2022. When the 5% is applied to the Initial quota for 2021 and the quota for 2022 is added, the adjusted quota for 2022 is 50.82t. </t>
  </si>
  <si>
    <t xml:space="preserve">The UK's quota for W.BFT for 2021 is 5.31. The UK carried over 5.31t of w.BFT quota from 2020. The UK's catches in 2021 were 0.71t which was taken off the carry over quota. As the 2021 catches were less then the carry over the UK had a remaining quota of 5.31t. The UK is permitted to transfer a maximum of 100% of 2021 Initial Quota to 2022. When the UK's carry over amount is combined with the UK's TAC for 2022 of 6.18t the figure for he adjusted quota for 2022 is 11.49t. </t>
  </si>
  <si>
    <t xml:space="preserve">2021: The EU transfers to the UK 434.04t of N.ALB quota for 2021 (circ. 4088/21). The UK OT's had previously carried over 53.75t. When combined the adjust quota for 2021 was 487.79 . </t>
  </si>
  <si>
    <t>2015-2022: 25t transferred to Mauritania</t>
  </si>
  <si>
    <t>(6)</t>
  </si>
  <si>
    <t>(6) Límite ajustado 2022 = Límite 2022 + Saldo 2021</t>
  </si>
  <si>
    <t xml:space="preserve">(1) Límite ajustado 2017 = Límite 2017 + Saldo 2016 </t>
  </si>
  <si>
    <t>=215+(MAX. 25% from 2020 quota= 13.27t)</t>
  </si>
  <si>
    <t>=215+(MAX. 25% from 2019 quota= 38.35t)</t>
  </si>
  <si>
    <t>le calcul du quota ajusté 2022 prend en compte le solde  MAX de 2021 (Limite 2021 * 0.2 = 417*0.2=83.4) auquel est ajouté la limite 2022 417 t) ce qui donne (83.4+417=500.4) t</t>
  </si>
  <si>
    <t>le calcul du quota ajusté 2021 prend en compte le solde  MAX de 2020 (Limite 2020 * 0.2 = 417*0.2=83.4) auquel est ajouté la limite 2021 417 t) ce qui donne (83.4+417=500.4) t</t>
  </si>
  <si>
    <t>2022: Initial Quota 2022 + CO from 2020 (25% 215t). When combined the adjust quota for 2022 was 496</t>
  </si>
  <si>
    <t>2023: The UK's catches in 2021 were 169.39. Consequently the UK has a remaining balance of 326.86t. The UK is allowed to carry over unused quota to 2023 at the max carry over rate of 25% of its IQ2021 (108.51). When the 25% is applied to the IQ2021 and the quota for 2023 is added, the adjusted quota for 2023 is 550.76</t>
  </si>
  <si>
    <t>2021: The EU transfers to the UK 0.67 quota for 2021 (circ. 4088/21). The UK OT's had previously carried over 15t (MAX. 40% IQ 2019). When combined the adjust quota for 2021 was 35+14+0.67</t>
  </si>
  <si>
    <t>IQ2021+MAX 40% IQ2019+ EU Transfer</t>
  </si>
  <si>
    <t>IQ2022+MAX 40% IQ2020+ EU Transfer</t>
  </si>
  <si>
    <t>2023:  The UK OT's had previously carried over 15t (MAX. 40% IQ 2021). When combined the adjust quota for 2023 is 35+14</t>
  </si>
  <si>
    <t>2022: The EU transfers to the UK 0.67 quota for 2022 (Rec. 21-02 Para 1). The UK OT's had previously carried over 15t (MAX. 40% IQ 2020). When combined the adjust quota for 2021 was 35+14+0.67</t>
  </si>
  <si>
    <t>EGYPT</t>
  </si>
  <si>
    <t>JAPAN-N-ALB:Japan's 2021 adjusted limit = BET 2021 catch * 4.5% (Para8 of Rec21-04)</t>
  </si>
  <si>
    <t>Japan´s 2022 adjusted limit = 842 t(Limit)+1400.81 t(2021 carry over(para 1C of Rec.21-02))-150 t(transfer to Morocco(para 1A) of Rec. 21-02)-35 t(transfer to Canada(para 1A of Rec. 21-02))-25 t(transfer to Mauritania(para 1A of Rec. 21-02)).</t>
  </si>
  <si>
    <t>JAPAN-BIGEYE:Japan's 2022 adjusted limit = 13868.00(Para 4 of Rec.21-01)+1397.9(2020 carry over(13979.84*10%)(Para12 of Rec21-01)-600(transfer to China (Footnote2 of Para.8  of Rec.21-01))-300(transfer to Europian Union (Footnote 2 of Para.8 of Rec.21-01))</t>
  </si>
  <si>
    <t>Limit 2023 + 25%  2021 limit</t>
  </si>
  <si>
    <t>The underharvest of the EU in 2021 was of 1766.56 t.  In line with Rec 16-07, the EU is entitled to carry over  367,5 t to 2023, corresponding to 25% of its initial quota for 2021.</t>
  </si>
  <si>
    <t>=9400+1699+85</t>
  </si>
  <si>
    <t>2022 adjusted quota is 11244.00 t (=9400+1699) due to the inclusion of 2020 underage and 2021 initial catch quota + 85t (Rec. 16-07 Para 4b) as complement from total underage from the TAC, where 85t  is what is left from the total underage from the TAC from 2020, minus the underages to be used by those CPCs wishing to do so</t>
  </si>
  <si>
    <t>IQ2022 + 2020 balance</t>
  </si>
  <si>
    <t>IQ2023 + 2021 balance</t>
  </si>
  <si>
    <t xml:space="preserve">De las 25.00 t de atún blanco del Atlántico Sur asignadas a Panamá para 2020, hubo una captura de 31.34 t, dando como resultado un excedente de 6.34t. El excedente fue saldado en 2021, ya que de las 25.00t asignadas para 2021, solo hubo una captura de 17.22t quedando un remanente preliminar para 2021 de 7.78t de las cuales se dedujo el excedente de 6.34t de 2020, quedando 2021 con un remanente de 1.44t. </t>
  </si>
  <si>
    <t>2011=95t+42t (No transfer to Canada for 2011)</t>
  </si>
  <si>
    <t>2012=95t+36.5t -86.50t ( transfer to CAN from 2012 quota) por Rec. 10-03</t>
  </si>
  <si>
    <t>2013=95t+52.90t (No transfer to Canada for 2013) por Rec.12-02</t>
  </si>
  <si>
    <t>2014=95t+95t-86.5t (transfer to Canada for 2014) por Rec. 13-09</t>
  </si>
  <si>
    <t>2015=108.98+52.50-86.50 (transfer to Canada for 2015) por Rec. 14-05</t>
  </si>
  <si>
    <t>2016=108.98+21.98-51.98 (transfer to Canada) por Rec. 14-05</t>
  </si>
  <si>
    <t>2017=108.98+23.98-55.98(transfer to Canada) por Rec. 16-08</t>
  </si>
  <si>
    <t>2018=128.44+42.98-73.98 (transfer to Canada) por Rec. 17-06</t>
  </si>
  <si>
    <t>2019=128.44+17.44-60.44 (transfer to Canada) por Rec. 17-06</t>
  </si>
  <si>
    <t>2020= 128.44+46.44-79.44 (transfer to Canada) por Rec. 17-06</t>
  </si>
  <si>
    <t>2021= 128.44+67.44-transfer to Canada (100.44t) por Rec. 20-06</t>
  </si>
  <si>
    <t>2016 = Initial allocation  + mexican transfer (51.98) - overharvest from 2015</t>
  </si>
  <si>
    <t>2017 = Initial allocation  + underharvest from 2016 + 55.98(transfer from MEX) Rec. 16-08</t>
  </si>
  <si>
    <t>2018 = Initial allocation +Mexican transfer (73.98) + underharvest from 2017 (MAX 10% IQ 2017)</t>
  </si>
  <si>
    <t>2019 = Initial allocation +Mexican transfer (60.44) + SPM transfer (9.62)+ underharvest from 2018 (53.06 = 10% of 2018 initial)</t>
  </si>
  <si>
    <t>2020 = Initial allocation +Mexican transfer (79.44) + SPM transfer (4.78)+ underharvest from 2019 (20.84)</t>
  </si>
  <si>
    <t>2021 = Initial allocation +Mexican transfer (100.44) + SPM transfer (4.78) + underharvest from 2020 (44.05)</t>
  </si>
  <si>
    <t>(1) Curacao agreed on a payback plan for blue marlin of 2.5 tons per year from 2022 on. First year 2.53t. (Provisional pending approval by Commission in 2023)</t>
  </si>
  <si>
    <r>
      <rPr>
        <vertAlign val="superscript"/>
        <sz val="10"/>
        <rFont val="Cambria"/>
        <family val="1"/>
      </rPr>
      <t>1</t>
    </r>
    <r>
      <rPr>
        <sz val="10"/>
        <rFont val="Cambria"/>
        <family val="1"/>
      </rPr>
      <t xml:space="preserve"> Transfer from Japan</t>
    </r>
  </si>
  <si>
    <t>13.97+170</t>
  </si>
  <si>
    <t xml:space="preserve">The UK's quota for S.ATL ALB is 100t  for 2021. The UK's catches in 2021 were 0, consequently the UK has a remaining balance of 100t. The UK is allowed to carry over unused quota to 2023 at the max carry over rate of 25% of its year´s Initial Quota. When the 25% is applied to the IQ and the quota for 2023 is added the adjusted quota for 2023 is 145t. </t>
  </si>
  <si>
    <t>7 (A) = Limit 2022 + Carry over from Balance 2020 MAX. 10%3968.23 (396.82) Rec. 21-01 Para 12</t>
  </si>
  <si>
    <t>2020 catch limit for Ghana has been corrected from 3716.00 to 3968.23 as the former one was reported by Ghana applying a payback condoned in Rec. 18-01 para 2</t>
  </si>
  <si>
    <t>Quota ajustée 2024: 302,50 tonnes  = quota initial alloué au Maroc 2024 (242 t) + 60,50 tonnes ( reliquat= 25% du quota initial 2022 (242 tonnes) ). Rec ICCAT 21-04</t>
  </si>
  <si>
    <t>Quota ajustée 2020: 265 tonnes  = quota initial alloué au Maroc 2020 (215 t) + 50 tonnes ( reliquat= 25% du quota initial (200)). Recommandation ICCAT 17-04</t>
  </si>
  <si>
    <t>Quota ajustée 2021: 295,75 tonnes  = quota initial alloué au Maroc 2021 (242 t) + 53,75 tonnes ( reliquat= 25% du quota initial 2019 (215 tonnes) ). Rec ICCAT 17-04, 20-04</t>
  </si>
  <si>
    <t>Quota ajustée 2022: 295,75 tonnes  = quota initial alloué au Maroc 2022 (242 t) + 53,75 tonnes ( reliquat= 25% du quota initial 2020 (215 tonnes) ). Rec ICCAT 17-04, 20-04</t>
  </si>
  <si>
    <t>Quota ajustée 2023: 302,50 tonnes  = quota initial alloué au Maroc 2023 (242 t) + 60,50 tonnes ( reliquat= 25% du quota initial 2021 (242 tonnes) ). Rec ICCAT 21-04</t>
  </si>
  <si>
    <t>QI</t>
  </si>
  <si>
    <t>QI +18,81</t>
  </si>
  <si>
    <t xml:space="preserve">Quota ajusté 2024:  quota initial alloué au Maroc lors de la prochaine session annuelle de l'ICCAT en novembre 2023 + 18,81 (15% du quota initail) de sousconsommation de 2022 </t>
  </si>
  <si>
    <t>Quota ajustée 2018 : 900 tonnes = 950 (quota initial 850+100 tranféré du japon) - 50 de surconsommation de 2016</t>
  </si>
  <si>
    <t>Quota ajustée 2019: 1000 tonnes = quota initial alloué au Maroc 2019 (850t)+ 100t (transférées par le Japon au Maroc) + 50 de sousconsommation de 2017</t>
  </si>
  <si>
    <t>Quota ajustée 2020: 995 tonnes = quota initial alloué au Maroc 2020 (850t) + 150t (transférées par le Japon au Maroc)+20t (transférée par le Taipei Chinois)+ 25t (transférée par le Trinité-et-Tobago) - 50 de surconsommation de 2018</t>
  </si>
  <si>
    <t>Quota ajustée 2021: 1095 tonnes = quota initial alloué au Maroc 2020 (850t) + 150t (transférées par le Japon au Maroc)+20t (transférée par le Taipei Chinois)+ 25t (transférée par le Trinité-et-Tobago) + 50 de sousconsommation de 2019</t>
  </si>
  <si>
    <t>Quota ajusté 2022: 1104,18 tonnes = quota initial alloué au Maroc (850t)+ 150t (transférées par le Japon au Maroc)+20t (transférée par le Taipei Chinois)+ 25t (transférée par le Trinité-et-Tobago) + 59,18 (15% du quota initail) de sousconsommation de 2020</t>
  </si>
  <si>
    <t>Quota ajusté 2023:  1172,50 tonnes = quota initial alloué au Maroc (850t) + 127,50 (15% du quota initail) de sousconsommation de 2021+ 150t (transférées par le Japon au Maroc)+20t (transférée par le Taipei Chinois)+ 25t (transférée par le Trinité-et-Tobago) . Rec ICCAT 21-02</t>
  </si>
  <si>
    <t>Quota ajustée 2023: 3703 tonnes = quota initial alloué au Maroc 2023 (3700 t) + 3 tonnes (reliquat de l'année 2022) Rec. 22-08</t>
  </si>
  <si>
    <t>Quota ajustée 2020: 3488.62 = quota initial alloué au Maroc 2020 (3284 t) + 204.62 t (transféré par l'Egypte au Maroc). Recommandation ICCAT 19-04</t>
  </si>
  <si>
    <t>Quota ajustée 2021: 3318,91 tonnes = quota initial alloué au Maroc 2020 (3284 t) + 34,91 tonnes (reliquat de l'année 2020). Rec. 20-07</t>
  </si>
  <si>
    <t>Quota ajustée 2022: 3568,27 tonnes = quota initial alloué au Maroc 2020 (3284 t) + 24,65 tonnes (reliquat de l'année 2021) transfert de l'Egypte (259,62 tonnes) Rec. 21-08</t>
  </si>
  <si>
    <t>Quota ajustée 2024: -02 tonnes = quota initial alloué au Maroc 2021 (10t) -12 tonnes (surconsommation). Recommandation ICCAT 19-05/para 3 amendant la Rec 15-05</t>
  </si>
  <si>
    <t>Quota ajustée 2020: -42 tonnes = quota initial alloué au Maroc 2020 (10t) - 52 t (surconsommation). Recommandation ICCAT 19-05/para 3 amendant la Rec 15-05</t>
  </si>
  <si>
    <t>Quota ajustée 2021: -32 tonnes = quota initial alloué au Maroc 2021 (10t) - 42 tonnes (surconsommation). Recommandation ICCAT 19-05/para 3 amendant la Rec 15-05</t>
  </si>
  <si>
    <t>Quota ajustée 2022: -22 tonnes = quota initial alloué au Maroc 2022 (10t) - 32 tonnes (surconsommation). Recommandation ICCAT 19-05/para 3 amendant la Rec 15-05</t>
  </si>
  <si>
    <t>Quota ajustée 2023: -12 tonnes = quota initial alloué au Maroc 2023 (10t) -22 tonnes (surconsommation). Recommandation ICCAT 19-05/para 3 amendant la Rec 15-05</t>
  </si>
  <si>
    <t>According to Recommendation 21-08 paragraph 5, Norway was initially  allocated a quota of 300 tonnes eastern BFT in 2022. Referring to Recommendation 21-08 Paragraph 7, Norway requested in panel 2 to transfer a maximum of 5 % of its 2021 quota to 2022. A total of 157,68 tonnes of the Adjusted Norwegian catch quota (315 tonnes) was utilised in 2021, and 15 tonnes (5 % of 300 tonnes) may, according to Paragraph 7, be transferred to 2022.</t>
  </si>
  <si>
    <t>According to Recommendation 20-07 paragraph 1, Norway was initially  allocated a quota of 300 tonnes eastern BFT in 2021. Referring to Recommendation 20-04 Paragraph 2, Norway requested in panel 2 to transfer a maximum of 5 % of its 2020 quota to 2021. A total of 194.39 tonnes of the Adjusted Norwegian catch quota (311.95 tonnes) was utilised in 2020, and 15 tonnes (5 % of 300 tonnes) may, according to Paragraph 2, be transferred to 2021.</t>
  </si>
  <si>
    <t>ALBANIA</t>
  </si>
  <si>
    <t>Q2022+5%Q2021=170+0.05*170</t>
  </si>
  <si>
    <t>2022: Current catches for the year 2021 were 148.4 ton (underharvest) and we used the total amount of 5% of the quota of previues year (8.5 t). 1t dedicated to bycacth aacording to Albania´s 2022 BFTE Fishing plan</t>
  </si>
  <si>
    <t>REC: 17-04, 21-04</t>
  </si>
  <si>
    <t>IQ2019+25%Q2017</t>
  </si>
  <si>
    <t>IQ2020+25%Q2018</t>
  </si>
  <si>
    <t>IQ2021+25%Q2019</t>
  </si>
  <si>
    <t>IQ2022+25%Q2020</t>
  </si>
  <si>
    <t>IQ2023+25%Q2021</t>
  </si>
  <si>
    <t>RECs: 17-02, 19-03,21-02,22-03</t>
  </si>
  <si>
    <t xml:space="preserve"> </t>
  </si>
  <si>
    <t>IQ(2016)+BALANCE(2015)</t>
  </si>
  <si>
    <t>IQ(2017)+BALANCE(2016)</t>
  </si>
  <si>
    <t>IQ(2018)+BALANCE(2017)</t>
  </si>
  <si>
    <t>IQ(2019)+BALANCE(2018)</t>
  </si>
  <si>
    <t>IQ(2020)+BALANCE(2019)</t>
  </si>
  <si>
    <t>IQ(2021)+BALANCE(2020)</t>
  </si>
  <si>
    <t>IQ(2022)+BALANCE(2021)</t>
  </si>
  <si>
    <t>IQ(2023)+BALANCE(2022)</t>
  </si>
  <si>
    <t>Belize is carrying forward 25% of its initial catch limit (60.5t) from its balance of 283.42t in 2022 to be used in 2024</t>
  </si>
  <si>
    <t>*Belize is carrying forward 25% of its initial balance (62.5 t) from its balance of 281.66 in 2021 to be used in 2023</t>
  </si>
  <si>
    <t>*Belize is carrying forward 25% of its initial balance (62.5 t) from its balance of 299.76 in 2022 to be used in 2024</t>
  </si>
  <si>
    <t>*Belize is carrying forward 40% of its initial limit (52 t) from its initial balance of 163 t in 2021 to be used in 2023. Transfer of 75 t from Trinidad and Tobago to Belize</t>
  </si>
  <si>
    <t>*Belize is carrying forward 40% of its initial limit (52 t) from its initial balance of 187.26 t in 2022 to be used in 2024. Transfer of 75 t from Trinidad and Tobago to Belize</t>
  </si>
  <si>
    <t>*Belize is carrying forward 20% of its initial limit (25 t) from its balance of 245.92 t in 2021 to be used in 2023.Transfer of 25 t from USA to Belize. Transfer of 50 t from Brazil to Belize.Transfer of 50 t from Uruguay to Belize</t>
  </si>
  <si>
    <t>*Belize is carrying forward 20% of its initial limit (25 t) from its balance of 274.94 t in 2022 to be used in 2024.Transfer of 25 t from USA to Belize. Transfer of 50 t from Brazil to Belize.Transfer of 50 t from Uruguay to Belize</t>
  </si>
  <si>
    <t>2023 = Initial allocation + transfers (from Senegal 125t, Japan 35t, Chinese Taipe 35t, and the EU 327t) + underage from 2021 (202.2t - max. carry forward)</t>
  </si>
  <si>
    <t>2022 = Initial allocation + Mexican transfer (60) + SPM transfer (4.78) + underharvest from 2021 (51.33)</t>
  </si>
  <si>
    <t>Adjusted limited for 2023=242(initial quota)+4.43(carryover 2021)=246.43</t>
  </si>
  <si>
    <t>Adjusted limit for 2023=initial quota(240)+200*25%(not exceeding the balance of 2021)=290</t>
  </si>
  <si>
    <t>Adjusted limit for 2023=initial quota(100)+available balance of 2021 (100*15%=15t)=115t</t>
  </si>
  <si>
    <t>Adjusted limit for 2023=initial quota(313)+313*10%(carryover 2021)= 344.3</t>
  </si>
  <si>
    <t>Adjusted limite for 2023=initial quota(4426.38)+4390.69*10%+600 ton transfer from Japan=5465.45</t>
  </si>
  <si>
    <t>According to Rec. 19-05 Para 3c): “Starting with 2020 catches, any underharvest by a CPC of its annual landings limit may not be carried forward to a subsequent year.”</t>
  </si>
  <si>
    <t>2023 adjusted quota is 5321.13 t (=4416.9+4416.9*0.25-200)  due to the inclusion of 2021 underage and 2023 initial catch quota and the deduction of transfers of 200 t to Belize.</t>
  </si>
  <si>
    <t>=4416.9+4416.9*0.25-200</t>
  </si>
  <si>
    <t xml:space="preserve">2023 adjusted quota is 323 t (=270+270*40%-35-20) due to the inclusion of 2021 underage and 2023 initial catch quota and the deduction of respective transfers of 35 t to Canada and 20 t to Morocco. </t>
  </si>
  <si>
    <t>=459+459*10%</t>
  </si>
  <si>
    <t>2023 adjusted quota is 504.9 t (=459 + 459*10%) due to the inclusion of 2022 underage and 2023 initial catch quota.</t>
  </si>
  <si>
    <t>=101-50</t>
  </si>
  <si>
    <t>2023 adjusted quota is 51 t (=101-50) due to the transfer of 50t to Korea.</t>
  </si>
  <si>
    <t>=9078.79+(11679*10%)+223</t>
  </si>
  <si>
    <t>=9152.6+(9226.41*10%)+223</t>
  </si>
  <si>
    <t>=9152.6+(9078.79*10%)+223</t>
  </si>
  <si>
    <t>2023 adjusted quota is 10283.48 t = 9152.6 (initial quota) +9078.79*10% (carry over of 10% of 2021 initial quota pursuant to Rec.22-01) +223 (transfer from Korea).</t>
  </si>
  <si>
    <t>Límite ajustado para 2023 = 242 + 60,5 = 302,50 t</t>
  </si>
  <si>
    <t>[8]</t>
  </si>
  <si>
    <t>[8]= Límite de 2023 + balance de 2022</t>
  </si>
  <si>
    <t>[7]= Límite de 2023 + balance de 2022</t>
  </si>
  <si>
    <t>2023 adjusted limit: Egypt intends to transfer 507.87 ton from its quota to Morocco</t>
  </si>
  <si>
    <t xml:space="preserve">** Durante los años anteriores a 2020, El Salvador no estaba sujeto a límite (Rec. 16-01, Par 34.a), sino a una expectativa de pesca, por ello No Aplica los límites, limites ajustados ni saldos. Para el año 2020 (Rec. 19-02) se reconoce un límite.																										</t>
  </si>
  <si>
    <t>* De acuerdo a la Rec. 19-02 Para 3 el TAC de BET se reduce de 62500t en 2020 a 61500t en 2021, esto representa una disminución del 1.6%. La Secretaría ha aplicado esta reducción a todas las cuotas/límites de captura/umbrales calculados para 2020 con el fin de obtener los valores proporcionales para 2021.</t>
  </si>
  <si>
    <t>2022(***)</t>
  </si>
  <si>
    <t>***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</si>
  <si>
    <t>=215+(MAX. 25% from 2021 quota= 13.27t)</t>
  </si>
  <si>
    <t>50+(0.4*50)</t>
  </si>
  <si>
    <t>The applied methodology is described in Recs. 13-05, 16-06, 17-04, 20-03/04, 21-04</t>
  </si>
  <si>
    <t>The applied methodology is described in Recs. 13-06, 16-07, 20-05, 21-05, 22-06</t>
  </si>
  <si>
    <t>The applied methodology is described in Recs. 16-03, 17-02, 19-03, 20-02, 21-02, 22-03</t>
  </si>
  <si>
    <t>The applied methodology is described in Recs. 15-03, 16-04, 17-03, 21-03, 22-04</t>
  </si>
  <si>
    <t>2 : limite 2015 + 25% quota de capture initial 2014 (REC 11-04 et REC 13-05)</t>
  </si>
  <si>
    <t>3 : limite 2016 + 25% quota de capture initial 2015 (REC 13-05)</t>
  </si>
  <si>
    <t>4 : limite 2017 + 25% quota de capture initial 2016 (REC 13-05 et REC 16-06)</t>
  </si>
  <si>
    <t>5 : limite 2018 + 25% quota de capture initial 2017 (REC 16-06 et REC 17-04)</t>
  </si>
  <si>
    <t>6 : limite 2019 + 25% quota de capture initial 2018 (REC 16-06 et REC 17-04)</t>
  </si>
  <si>
    <t>7 : limite 2020 + 25% quota de capture initial 2019 (REC 16-06 et REC 17-04)</t>
  </si>
  <si>
    <t>8 : limite 2021 + 25% quota de capture initial 2020 (REC 20-03)</t>
  </si>
  <si>
    <t>9 : limite 2022 + 25% quota de capture initial 2021 (REC 20-03)</t>
  </si>
  <si>
    <t>10 : limite 2023 + 25% quota de capture initial 2022 (REC 20-03)</t>
  </si>
  <si>
    <t>9:  limite 2023+ 100% allocation de quota initiale (MAX Solde 2022=3.46) - CAN transfer (5.18t)  = 6.18+3.46-5.18= 4.46</t>
  </si>
  <si>
    <t>242+(242*0.25)</t>
  </si>
  <si>
    <t>2022= 149.34+33.44-transfer to Canada (60t) por Rec. 21-07</t>
  </si>
  <si>
    <t>JAPAN-N-ALB:Japan's 2022 adjusted limit = BET 2022 catch * 4.5% (Para8 of Rec21-04)</t>
  </si>
  <si>
    <t>JAPAN-S-ALB: 2023 adjusted limit = 1,630t(Limit)+206.15t(2021 carry over (para 4 of Rec. 22-06))+100(transfer from Brazil (para 3 of Rec. 22-06))+100(transfer from Uruguay(para 3 of Rec. 22-06))+100(transfer from South Africa (para 3 of Rec. 22-06))</t>
  </si>
  <si>
    <t>Japan’s 2023 adjusted limit (632 t) is tentative and will be adjusted after confirming the underage in the 2018 to 2022 management period (para 1C of Rec.22-03) (632 t = 842 t(Limit)-150 t(transfer to Morocco(para 1A) of Rec. 22-03)-35t (transfer to Canada(para 2 of Rec. 17-02))-25 t(transfer to Mauritania(para 2 of Rec. 17-02)).</t>
  </si>
  <si>
    <t>JAPAN-S-SWO:Japan's 2023 adjusted limit  = 901t(Limit)+600.00t(2021 carry over(Para1(2) of Rec22-04))-50t(transfer to Namibia(Para5 of Rec.17-03))</t>
  </si>
  <si>
    <t>JAPAN-E-BFT:Japan's 2023 adjusted limit = 3114.00t(Limit)(Para4 of Rec22-08)+44.4t(2022 carry over (Para6 of Rec 22-08))</t>
  </si>
  <si>
    <t>JAPAN-W-BFT:Japan's 2022 adjusted limit = 664.52t(Limit)+0.73t(2021 carry over(Para7a of Rec17-06 )</t>
  </si>
  <si>
    <t>JAPAN-W-BFT:Japan's 2023 adjusted limit = 664.52t(Limit)+7.45t(2022 carry over(Para6a of Rec22-10 )</t>
  </si>
  <si>
    <t>JAPAN-BIGEYE:Japan's 2023 adjusted limit = 13868.00(Para 4 of Rec.21-01)+1375.61 (2021 carry over(13756.16*10%)(Para12 of Rec21-01)-600(transfer to China (Footnote2 of Para.8  of Rec.22-01))-300(transfer to Europian Union (Footnote 2 of Para.8 of Rec.22-01))</t>
  </si>
  <si>
    <t>JAPAN-BUM:Japan's 2023 adjusted limit = 328.1t(Limit)(Para2 of Rec19-05)</t>
  </si>
  <si>
    <t>JAPAN-WHM・SPF:Japan's 2023 adjusted limit =35t(Limit)(Para2 of Rec19-05)</t>
  </si>
  <si>
    <t>JAPAN-N-BSH: current catch for 2021 includes  21.9t of dead discard.</t>
  </si>
  <si>
    <t>JAPAN-N-BSH:Japan's 2022 adjusted limit = 4,010t(Para1 of Rec21-10)</t>
  </si>
  <si>
    <t>JAPAN-N-BSH:Japan's 2023 adjusted limit = 4,010t(Para1 of Rec21-10)</t>
  </si>
  <si>
    <t>* Adjusted limit 2022 = initial limit 2022 (4400) + available balance 2020(not to exceed 25% of initial quota) (874.08) - ZAF will invoke para 4f of the ICCAT Rec. 16-07, supplemented by ICCAT Rec. 21-05 to cover the over shooting of its catch limits (URY: 26.47  BRA: 129.95t)</t>
  </si>
  <si>
    <t>* Adjusted limit 2023 = initial limit 2023 (5280) + available balance 2021(not to exceed 25% of initial quota) (674.61) -100t transferred to JPN</t>
  </si>
  <si>
    <t>URUGUAY</t>
  </si>
  <si>
    <t>* Adjusted limit 2022 = initial limit 2022 (440) + available balance 2020(not to exceed 25% of initial quota) (110) - 26.47t [ZAF will invoke para 4f of the ICCAT Rec. 16-07, supplemented by ICCAT Rec. 21-05 to cover the over shooting of its catch limits (URY: 26.47  BRA: 129.95t)]</t>
  </si>
  <si>
    <t>2022: IQ2022 + 25% MAX2020 - 129.95t [South Africa will invoke para 4f of the ICCAT Rec. 16-07, supplemented by ICCAT Rec. 21-05 to cover the over shooting of its catch limits (URY: 26.47  BRA: 129.95t)]</t>
  </si>
  <si>
    <t>* Adjusted limit 2023 = initial limit 2023 (530) + available balance 2021(not to exceed 25% of initial quota) (110) - 100t transferred to JPN</t>
  </si>
  <si>
    <t>2023: IQ2023 + 25% MAX2020 - 100t transferred to JPN</t>
  </si>
  <si>
    <t>2600+(0.25*2160)-100</t>
  </si>
  <si>
    <t>2160+(0.25*2160)-129.95</t>
  </si>
  <si>
    <t>(242*0.25)+242</t>
  </si>
  <si>
    <t>2023**</t>
  </si>
  <si>
    <t>**Underage up to 20% of the initial catch quota has been carried over biennially Rec.17-03. Quota calculated from 2018 to 2022</t>
  </si>
  <si>
    <t>Rec.22-04 the maximum underage that a party may carryover in any given year shall not exceed 10%of the quota of the previous year.</t>
  </si>
  <si>
    <t>50+(50*0.1)</t>
  </si>
  <si>
    <t>Rec 22-08 para 4 : Depending on availability, Chinese Taipai may transfer up to 50t of its quota to Korea in 2023 to 2025.</t>
  </si>
  <si>
    <t>Korea carried forward its unused quota of 2022(7.72t) to 2023 which is under 5% of 2022 quota (Rec 22-08 Para 6)</t>
  </si>
  <si>
    <t>200+50+7.72</t>
  </si>
  <si>
    <t>Rec.22-01 para12:underage of an annual catch limit in 2021 shall be added to their 2023 annual catch limit, subject to 10% of initial quota restrictions</t>
    <phoneticPr fontId="7" type="noConversion"/>
  </si>
  <si>
    <t>* Information and explanation regarding Korea`s 2023 catch limit are available in Document PA1_11 and PA1_35, submitted for the March PA1 meeting in 2023.</t>
    <phoneticPr fontId="7" type="noConversion"/>
  </si>
  <si>
    <t>(984*0.10)+992 - 223</t>
  </si>
  <si>
    <t>From 2016 to 2023, USA has transferred 50t to Namibia in accordance with Rec. 16-04/17-03.</t>
  </si>
  <si>
    <t>=1168+20%1168+50</t>
  </si>
  <si>
    <t>=1168+10%1168+50</t>
  </si>
  <si>
    <t>Underage up to 10% of the initial catch quota has been carried over biennially Rec.22-04. Quota calculated from 2023 on</t>
  </si>
  <si>
    <t>=3600+25%3600</t>
  </si>
  <si>
    <t>=4320+25%3600</t>
  </si>
  <si>
    <t>2023*</t>
  </si>
  <si>
    <t>2024*</t>
  </si>
  <si>
    <t>2025*</t>
  </si>
  <si>
    <t>*Rec 22.06 para 5: Overharvest in 2022 deducted in 2024 and no underages can be carried over from 2023 to 2025</t>
  </si>
  <si>
    <t>=4320 - overharvest 2022</t>
  </si>
  <si>
    <t>no carry over from 2023 due to overharvest 2022</t>
  </si>
  <si>
    <t>[7] = 2023 limit + 2022 Balance</t>
  </si>
  <si>
    <t>Limite ajustee 2022 = Limite 2022 + max. Solde (Limite 2021*0.4) -transfert Canada (125 t+25 t) = 250 + (250 * 0.4) -150= 200 t</t>
  </si>
  <si>
    <t>Limite ajustee 2023 = Limite 2023 + max. Solde (Limite 2022*0.4) -transfert Canada (125 t) = 250 + (250 * 0.4) -125= 200 t</t>
  </si>
  <si>
    <t>le calcul du quota ajusté 2023 prend en compte le solde  MAX de 2022 (Limite 2022 * 0.1 = 417*0.1=41.7) auquel est ajouté la limite 2023 417 t) ce qui donne (41.7+417=458.7) t</t>
  </si>
  <si>
    <t>*Senegal agreed on a payback plan for 2020 bigeye overharvest of 1377.77 t: 137.77 tons per year from 2023 to 2032 on. (Provisional pending approval by Commission in 2023)</t>
  </si>
  <si>
    <t>2023: The 2022 underage is greater than the maximum amount that can be carried over to 2023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</si>
  <si>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8(A)=IQ2023+2t EU transfer provided by Rec. 19-05.</t>
  </si>
  <si>
    <t>Pour l'année 2023 le quota ajusté est de 3020  ( le quota initial 3000T+quota non consommé  des prises accessoires 2022 (20T)</t>
  </si>
  <si>
    <t>(7)</t>
  </si>
  <si>
    <t>(7) Límite ajustado 2023 = Límite 2023 + Saldo 2022</t>
  </si>
  <si>
    <t>IQ2024+MAX 25% IQ2022</t>
  </si>
  <si>
    <t xml:space="preserve">2024: The UK's balance for 2022 was 125t,. The UK wishes to carry over 25% of IQ in 2022 (25t) to 2024. The UK's IQ in 2024 is 120t, with the adjusted quota being 145t.  </t>
  </si>
  <si>
    <t>=IQ2024+MAX. 0.25*IQ2022</t>
  </si>
  <si>
    <t xml:space="preserve">2024: The UK's adjusted quota for N.ATL SWO is 49.67t in 2022. The UK's catches in 2022 were 3.35t. The UK will bank 40% (14.27t) of IQ in 2022 and carry this over to 2024. Therefore the adjusted limit in 2024 is 49.94t. </t>
  </si>
  <si>
    <t>IQ2024+MAX 40% IQ2022</t>
  </si>
  <si>
    <t>=IQ2024+MAX. 0.20*IQ2022</t>
  </si>
  <si>
    <t xml:space="preserve">2024: The UK's quota for S.ATL SWO is 25t  for 2022. The UK's catches in 2022 were 0t, consequently the UK has a remaining balance of 25t. The UK is permitted to transfer a maximum of 20% of unused quota to 2024. When the 20% is applied to the IQ2022 and the quota for 2024 is added, the adjusted quota for 2024 is 30t. </t>
  </si>
  <si>
    <t>IQ2022+Max5%IQ2021</t>
  </si>
  <si>
    <t>IQ2023+Max5%IQ2022</t>
  </si>
  <si>
    <t>IQ2024+Max5%IQ2023</t>
  </si>
  <si>
    <t xml:space="preserve">2023: The UK's IQ in 2023 is 63t. The UK's catches in 2022 were 4.61t,. The UK wants to carry over 5% of 2022 quota to 2023. Thus the UK's adjusted limit in 2023 is 65.42t. </t>
  </si>
  <si>
    <t>IQ2022+MAX100%IQ2021</t>
  </si>
  <si>
    <t>IQ2023+MAX100%IQ2022</t>
  </si>
  <si>
    <t>IQ2024+MAX100%IQ2023</t>
  </si>
  <si>
    <t xml:space="preserve">2023: The UK's quota for W.BFT for 2023 is 6.18. The UK's catches in 2022 were 0.t . The UK is permitted to transfer a maximum of 100% of 2022 Initial Quota to 2023. When the UK's carry over amount is combined with the UK's TAC for 2023. The adjusted quota for 2023 is 12.36t. </t>
  </si>
  <si>
    <t>TÜRKIYE</t>
  </si>
  <si>
    <t>ALBMed</t>
  </si>
  <si>
    <t>(*)</t>
  </si>
  <si>
    <t>(*) Türkiye transfers to EU 75 t in 2023, 75 t in 2024 and for the following years, any part of the ünüsed qüota üp to maximüm of 75 t.</t>
  </si>
  <si>
    <t>Adjusted limit for 2023 = 711.5  + (.25)(711.5) = 889.38</t>
  </si>
  <si>
    <t>Adjusted limit for 2023 = 3907.0 + (0.15)(3907) = 4493.05 t</t>
  </si>
  <si>
    <t>Adjusted limit for 2023 = 100.0 - (100 t (Namibia (50 t), Cote d'Ivoire (25 t), Belize (25 t)) + 100.0</t>
  </si>
  <si>
    <t>Adjusted limit for 2023 = 1341.14 + 106.54 = 1447.68 t****</t>
  </si>
  <si>
    <t>Initial quota/catch limit includes 25 t allocation for by-catch, as per Rec. 16-08 para 6a, Rec. 17-06 para 6a, Rec. 20-06 Para 1(4), Rec. 21-07 Para 1(D), and Rec. 22-10 para 5a.</t>
  </si>
  <si>
    <t>=10340+1005</t>
  </si>
  <si>
    <t>2023 adjusted quota is 11345.00 t (=10340+1005) due to the inclusion of 2021 underage and 2023 initial catch quota + 0 t (Rec. 22-06 Para 4b) as complement from total underage from the TAC</t>
  </si>
  <si>
    <t xml:space="preserve">In 2020 the underharvest for the EU was of 325,97 t, which is less than the maximum allowed 5% provided in Rec 19-04. Therefore, the EU is entitled to carry over  325,97 t to 2021. </t>
  </si>
  <si>
    <t>Limit 2021 + MAX5% 2020 (325.97) - 48.40 to UK</t>
  </si>
  <si>
    <t>Limit 2022 + MAX5% 2021 (573.90) - 48.40 to UK</t>
  </si>
  <si>
    <t>In Addition, the EU will transfer to United Kingdom 0,25% of its initial quota (corresponding to 19360 t) in 2021 and 2022. (48.40t)</t>
  </si>
  <si>
    <t xml:space="preserve">In 2021 the underharvest for the EU was of 573.90 t, which is less than the maximum allowed 5% provided in Rec 19-04. Therefore, the EU is entitled to carry over  573.90 t to 2022 if the current management arrangments are maintained. In Addition, the EU will transfer to United Kingdom 48,40t in 2022. </t>
  </si>
  <si>
    <t>Limit 2023+limit 2021*0,10</t>
  </si>
  <si>
    <t>In 2021 the underharvest for the EU was of 548,06 t, which is greater than the maximum allowed 10% provided in Rec 22-04. Therefore, the EU is entitled to carry over  482.4 t to 2023</t>
  </si>
  <si>
    <t>Limit 2023 +  10% Limit 2021</t>
  </si>
  <si>
    <t>2023 Limit - 2t</t>
  </si>
  <si>
    <t>The calculation of the adjusted quota for 2022 and 2023 takes into account the transfer of 2 t to Trinidad &amp; Tobago as provided by Rec. 19-05.</t>
  </si>
  <si>
    <t>50 + Balance 2020</t>
  </si>
  <si>
    <t>50 + Balance 2021</t>
  </si>
  <si>
    <t xml:space="preserve">
**Underage up to 40% of the initial catch quota has been carried over biennially Rec.17-02. Quota calculated from 2018 on</t>
  </si>
  <si>
    <t>In 2022 the underharvest for the EU was of 786.67 t, which is less than the maximum allowed 5% provided in Rec 21-08. Therefore, the EU is entitled to carry over  786.67 t to 2023 if the current management arrangments are maintained.</t>
  </si>
  <si>
    <t>Limit 2023 + MAX5% 2022 (786.67)</t>
  </si>
  <si>
    <t>2023 = Initial allocation + SPM transfer (5.18) + underharvest from 2022 (39.59) + Mexican transfer (60t)</t>
  </si>
  <si>
    <t>2023= 149.34+62.78-transfer to Canada (60t) por Rec. 22-10</t>
  </si>
  <si>
    <t>JAPAN-S-ALB: 2024 adjusted limit = 1,630t(Limit) - overharvest 2022 (47.45)</t>
  </si>
  <si>
    <t>JAPAN-BUM:Japan's 2024 adjusted limit = 328.1t - overharvest 2022</t>
  </si>
  <si>
    <t>(1) Actual catch amount made by Türkiye in 2022 correspond to 2291.99 t (out of 2305 t). 13.01 t of underharvest from the year 2022 is to be carried-over. Adjusted quota for 2023 = 2600 t (Quota) +10.15 t (overcarried over amount) + (440.79+67.08) from EGY + 128 from SYR = 3246.02</t>
  </si>
  <si>
    <r>
      <t>The underharvest of the EU in 2021 is of 1862,1 t, which corresponds to more than 15% of its 2021 initial catch limit (1007.7t). In line with Rec. 17-02 the EU can carry over 1007.7 t to 2023 if current management arrangments are maintained. The adjusted limit for 2023 takes also into account the transfers to Canada (327t)</t>
    </r>
    <r>
      <rPr>
        <strike/>
        <sz val="10"/>
        <color rgb="FFFF0000"/>
        <rFont val="Cambria"/>
        <family val="1"/>
      </rPr>
      <t>, and S. Pierre et Miquelon (40 t)</t>
    </r>
    <r>
      <rPr>
        <sz val="10"/>
        <color rgb="FFFF0000"/>
        <rFont val="Cambria"/>
        <family val="1"/>
      </rPr>
      <t xml:space="preserve"> as provided for in Rec 17-02. </t>
    </r>
  </si>
  <si>
    <r>
      <t>2023 limit + 0,15*2021 limit</t>
    </r>
    <r>
      <rPr>
        <strike/>
        <sz val="10"/>
        <color rgb="FFFF0000"/>
        <rFont val="Cambria"/>
        <family val="1"/>
      </rPr>
      <t xml:space="preserve"> - 40t SPM</t>
    </r>
    <r>
      <rPr>
        <sz val="10"/>
        <color rgb="FFFF0000"/>
        <rFont val="Cambria"/>
        <family val="1"/>
      </rPr>
      <t xml:space="preserve"> -327 CAN</t>
    </r>
  </si>
  <si>
    <r>
      <t>9 : limite 2023 + 40% limite de capture initiale (Rec.16-03)</t>
    </r>
    <r>
      <rPr>
        <strike/>
        <sz val="10"/>
        <color rgb="FFFF0000"/>
        <rFont val="Cambria"/>
        <family val="1"/>
      </rPr>
      <t xml:space="preserve"> + 40 tonnes transférées de l'Union Européenne (REC 17-02)</t>
    </r>
    <r>
      <rPr>
        <sz val="10"/>
        <color rgb="FFFF0000"/>
        <rFont val="Cambria"/>
        <family val="1"/>
      </rPr>
      <t>=40+(40*0.4)</t>
    </r>
    <r>
      <rPr>
        <strike/>
        <sz val="10"/>
        <color rgb="FFFF0000"/>
        <rFont val="Cambria"/>
        <family val="1"/>
      </rPr>
      <t>+40</t>
    </r>
    <r>
      <rPr>
        <sz val="10"/>
        <color rgb="FFFF0000"/>
        <rFont val="Cambria"/>
        <family val="1"/>
      </rPr>
      <t>=96</t>
    </r>
  </si>
  <si>
    <t>2024: For 2024 the UK's intial quota is 442.5t of N.ALB. The UK's catches in 2022 were 125.35. Consequently the UK has a remaining balance of 370.65t. The UK is allowed to carry over unused quota to 2024 at the max carry over rate of 25% of its IQ2022 (110.56). When the 25% is applied to the IQ2022 and the quota for 2024 is added, the adjusted quota for 2024 is 552.81</t>
  </si>
  <si>
    <t xml:space="preserve">COC-304/23 Annex 1A: APPLICATION OF OVER/UNDERHARVEST </t>
  </si>
  <si>
    <t xml:space="preserve">COC-304/23 Annexe 1A: APPLICATION DE SUR/SOUSONSOMMATION </t>
  </si>
  <si>
    <t xml:space="preserve">COC-304/23 Anexo 1A: APLICACIÓN DE EXCESO/REMANENTE DE CAPTURA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</si>
</sst>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5"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color rgb="FFFF0000"/>
      <name val="Cambria"/>
      <family val="1"/>
    </font>
    <font>
      <sz val="10"/>
      <color theme="1"/>
      <name val="Cambria"/>
      <family val="1"/>
    </font>
    <font>
      <b/>
      <sz val="10"/>
      <color theme="1"/>
      <name val="Cambria"/>
      <family val="1"/>
    </font>
    <font>
      <sz val="10"/>
      <name val="Arial"/>
      <family val="2"/>
    </font>
    <font>
      <b/>
      <sz val="10"/>
      <color theme="1"/>
      <name val="Calibri"/>
      <family val="2"/>
      <scheme val="minor"/>
    </font>
    <font>
      <sz val="11"/>
      <color theme="1"/>
      <name val="Calibri"/>
      <family val="2"/>
      <scheme val="minor"/>
    </font>
    <font>
      <sz val="11"/>
      <color theme="1"/>
      <name val="Cambria"/>
      <family val="1"/>
    </font>
    <font>
      <sz val="8"/>
      <name val="Calibri"/>
      <family val="2"/>
      <scheme val="minor"/>
    </font>
    <font>
      <sz val="10"/>
      <color theme="1"/>
      <name val="Times New Roman"/>
      <family val="1"/>
    </font>
    <font>
      <strike/>
      <sz val="10"/>
      <color theme="1"/>
      <name val="Cambria"/>
      <family val="1"/>
    </font>
    <font>
      <sz val="10"/>
      <color theme="1"/>
      <name val="Arial"/>
      <family val="2"/>
    </font>
    <font>
      <b/>
      <sz val="10"/>
      <color rgb="FFFF0000"/>
      <name val="Cambria"/>
      <family val="1"/>
    </font>
    <font>
      <sz val="10"/>
      <name val="Cambria"/>
      <family val="1"/>
    </font>
    <font>
      <sz val="10"/>
      <name val="Times New Roman"/>
      <family val="1"/>
    </font>
    <font>
      <b/>
      <sz val="10"/>
      <name val="Times New Roman"/>
      <family val="1"/>
    </font>
    <font>
      <vertAlign val="superscript"/>
      <sz val="10"/>
      <name val="Cambria"/>
      <family val="1"/>
    </font>
    <font>
      <sz val="11"/>
      <name val="Times New Roman"/>
      <family val="1"/>
    </font>
    <font>
      <sz val="11"/>
      <name val="Calibri"/>
      <family val="2"/>
      <scheme val="minor"/>
    </font>
    <font>
      <strike/>
      <sz val="10"/>
      <color rgb="FFFF0000"/>
      <name val="Cambria"/>
      <family val="1"/>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9" fillId="0" borderId="0"/>
    <xf numFmtId="0" fontId="1" fillId="0" borderId="0"/>
  </cellStyleXfs>
  <cellXfs count="688">
    <xf numFmtId="0" fontId="0" fillId="0" borderId="0" xfId="0"/>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0" xfId="1" applyFont="1"/>
    <xf numFmtId="0" fontId="7" fillId="0" borderId="1" xfId="1" applyFont="1" applyBorder="1"/>
    <xf numFmtId="0" fontId="7" fillId="0" borderId="4" xfId="1" applyFont="1" applyBorder="1"/>
    <xf numFmtId="0" fontId="7" fillId="0" borderId="2" xfId="1" applyFont="1" applyBorder="1"/>
    <xf numFmtId="166" fontId="7" fillId="0" borderId="4" xfId="1" applyNumberFormat="1" applyFont="1" applyBorder="1" applyAlignment="1">
      <alignment horizontal="right" vertical="center"/>
    </xf>
    <xf numFmtId="0" fontId="7" fillId="0" borderId="4" xfId="1" applyFont="1" applyBorder="1" applyAlignment="1">
      <alignment horizontal="right"/>
    </xf>
    <xf numFmtId="0" fontId="8" fillId="0" borderId="2" xfId="1" applyFont="1" applyBorder="1"/>
    <xf numFmtId="0" fontId="7" fillId="0" borderId="11" xfId="1" applyFont="1" applyBorder="1"/>
    <xf numFmtId="0" fontId="7" fillId="0" borderId="6" xfId="1" applyFont="1" applyBorder="1"/>
    <xf numFmtId="0" fontId="8" fillId="0" borderId="1" xfId="1" applyFont="1" applyBorder="1"/>
    <xf numFmtId="0" fontId="7" fillId="0" borderId="12" xfId="1" applyFont="1" applyBorder="1"/>
    <xf numFmtId="0" fontId="8" fillId="0" borderId="0" xfId="0" applyFont="1"/>
    <xf numFmtId="0" fontId="7" fillId="0" borderId="0" xfId="0" applyFont="1"/>
    <xf numFmtId="0" fontId="7" fillId="0" borderId="12" xfId="0" applyFont="1" applyBorder="1"/>
    <xf numFmtId="0" fontId="7" fillId="0" borderId="10" xfId="0" applyFont="1" applyBorder="1"/>
    <xf numFmtId="0" fontId="7" fillId="0" borderId="4" xfId="0" applyFont="1" applyBorder="1"/>
    <xf numFmtId="2" fontId="7" fillId="0" borderId="4" xfId="0" applyNumberFormat="1" applyFont="1" applyBorder="1"/>
    <xf numFmtId="0" fontId="10" fillId="0" borderId="0" xfId="0" applyFont="1"/>
    <xf numFmtId="0" fontId="10" fillId="0" borderId="0" xfId="0" applyFont="1" applyAlignment="1">
      <alignment vertical="center"/>
    </xf>
    <xf numFmtId="0" fontId="12" fillId="0" borderId="0" xfId="0" applyFont="1"/>
    <xf numFmtId="0" fontId="7" fillId="0" borderId="4" xfId="1" applyFont="1" applyBorder="1" applyAlignment="1">
      <alignment horizontal="right" wrapText="1"/>
    </xf>
    <xf numFmtId="0" fontId="7" fillId="0" borderId="0" xfId="1" applyFont="1" applyAlignment="1">
      <alignment wrapText="1"/>
    </xf>
    <xf numFmtId="2" fontId="7" fillId="0" borderId="4" xfId="1" applyNumberFormat="1" applyFont="1" applyBorder="1"/>
    <xf numFmtId="0" fontId="7" fillId="0" borderId="8" xfId="0" applyFont="1" applyBorder="1"/>
    <xf numFmtId="0" fontId="7" fillId="0" borderId="9" xfId="0" applyFont="1" applyBorder="1"/>
    <xf numFmtId="0" fontId="7" fillId="0" borderId="11" xfId="0" applyFont="1" applyBorder="1"/>
    <xf numFmtId="0" fontId="7" fillId="0" borderId="6" xfId="0" applyFont="1" applyBorder="1"/>
    <xf numFmtId="0" fontId="7" fillId="0" borderId="3" xfId="0" applyFont="1" applyBorder="1"/>
    <xf numFmtId="0" fontId="7" fillId="0" borderId="0" xfId="1" applyFont="1" applyAlignment="1">
      <alignment horizontal="left" wrapText="1"/>
    </xf>
    <xf numFmtId="0" fontId="7" fillId="0" borderId="15" xfId="0" applyFont="1" applyBorder="1"/>
    <xf numFmtId="0" fontId="7" fillId="0" borderId="7" xfId="1" applyFont="1" applyBorder="1"/>
    <xf numFmtId="0" fontId="7" fillId="0" borderId="15" xfId="1" applyFont="1" applyBorder="1"/>
    <xf numFmtId="0" fontId="7" fillId="0" borderId="4" xfId="0" applyFont="1" applyBorder="1" applyAlignment="1">
      <alignment wrapText="1"/>
    </xf>
    <xf numFmtId="0" fontId="8" fillId="0" borderId="4" xfId="0" applyFont="1" applyBorder="1"/>
    <xf numFmtId="2" fontId="7" fillId="0" borderId="0" xfId="0" applyNumberFormat="1" applyFont="1"/>
    <xf numFmtId="2" fontId="7" fillId="0" borderId="2" xfId="1" applyNumberFormat="1" applyFont="1" applyBorder="1"/>
    <xf numFmtId="166" fontId="7" fillId="0" borderId="4" xfId="1" applyNumberFormat="1" applyFont="1" applyBorder="1" applyAlignment="1">
      <alignment horizontal="right"/>
    </xf>
    <xf numFmtId="0" fontId="7" fillId="0" borderId="8" xfId="1" applyFont="1" applyBorder="1"/>
    <xf numFmtId="2" fontId="6" fillId="0" borderId="4" xfId="0" applyNumberFormat="1" applyFont="1" applyBorder="1"/>
    <xf numFmtId="0" fontId="7" fillId="0" borderId="1" xfId="0" applyFont="1" applyBorder="1"/>
    <xf numFmtId="2" fontId="7" fillId="0" borderId="4" xfId="0" applyNumberFormat="1" applyFont="1" applyBorder="1" applyAlignment="1">
      <alignment horizontal="right"/>
    </xf>
    <xf numFmtId="2" fontId="7" fillId="0" borderId="4" xfId="0" applyNumberFormat="1" applyFont="1" applyBorder="1" applyAlignment="1">
      <alignment horizontal="right" vertical="center" wrapText="1"/>
    </xf>
    <xf numFmtId="0" fontId="7" fillId="0" borderId="7" xfId="0" applyFont="1" applyBorder="1"/>
    <xf numFmtId="0" fontId="7" fillId="0" borderId="0" xfId="0" applyFont="1" applyAlignment="1">
      <alignment horizontal="left"/>
    </xf>
    <xf numFmtId="0" fontId="8" fillId="0" borderId="4" xfId="0" applyFont="1" applyBorder="1" applyAlignment="1">
      <alignment horizontal="center"/>
    </xf>
    <xf numFmtId="0" fontId="7" fillId="0" borderId="16" xfId="0" applyFont="1" applyBorder="1"/>
    <xf numFmtId="2" fontId="7" fillId="0" borderId="16" xfId="0" applyNumberFormat="1" applyFont="1" applyBorder="1" applyAlignment="1">
      <alignment horizontal="right"/>
    </xf>
    <xf numFmtId="0" fontId="7" fillId="0" borderId="4" xfId="0" applyFont="1" applyBorder="1" applyAlignment="1">
      <alignment horizontal="center"/>
    </xf>
    <xf numFmtId="0" fontId="8" fillId="0" borderId="2" xfId="0" applyFont="1" applyBorder="1"/>
    <xf numFmtId="0" fontId="7" fillId="0" borderId="2" xfId="0" applyFont="1" applyBorder="1"/>
    <xf numFmtId="0" fontId="7" fillId="0" borderId="15" xfId="0" applyFont="1" applyBorder="1" applyAlignment="1">
      <alignment horizontal="center"/>
    </xf>
    <xf numFmtId="0" fontId="7" fillId="0" borderId="5" xfId="0" applyFont="1" applyBorder="1"/>
    <xf numFmtId="0" fontId="7" fillId="0" borderId="11" xfId="0" applyFont="1" applyBorder="1" applyAlignment="1">
      <alignment horizontal="left"/>
    </xf>
    <xf numFmtId="2" fontId="7" fillId="0" borderId="4" xfId="1" applyNumberFormat="1" applyFont="1" applyBorder="1" applyProtection="1">
      <protection locked="0"/>
    </xf>
    <xf numFmtId="2" fontId="7" fillId="0" borderId="4" xfId="1"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15" xfId="1" applyFont="1" applyBorder="1" applyAlignment="1">
      <alignment horizontal="center"/>
    </xf>
    <xf numFmtId="0" fontId="8" fillId="0" borderId="1" xfId="0" applyFont="1" applyBorder="1" applyAlignment="1">
      <alignment horizontal="center"/>
    </xf>
    <xf numFmtId="0" fontId="7" fillId="0" borderId="9" xfId="1" applyFont="1" applyBorder="1" applyAlignment="1">
      <alignment horizontal="center"/>
    </xf>
    <xf numFmtId="0" fontId="7" fillId="0" borderId="0" xfId="0" applyFont="1" applyAlignment="1">
      <alignment wrapText="1"/>
    </xf>
    <xf numFmtId="0" fontId="7" fillId="0" borderId="4" xfId="0" quotePrefix="1" applyFont="1" applyBorder="1" applyAlignment="1">
      <alignment wrapText="1"/>
    </xf>
    <xf numFmtId="0" fontId="6" fillId="0" borderId="4" xfId="0" applyFont="1" applyBorder="1" applyAlignment="1">
      <alignment wrapText="1"/>
    </xf>
    <xf numFmtId="1" fontId="7" fillId="0" borderId="15" xfId="0" applyNumberFormat="1" applyFont="1" applyBorder="1" applyAlignment="1">
      <alignment horizontal="center"/>
    </xf>
    <xf numFmtId="0" fontId="8" fillId="0" borderId="3" xfId="0" applyFont="1" applyBorder="1"/>
    <xf numFmtId="0" fontId="7" fillId="0" borderId="11" xfId="0" applyFont="1" applyBorder="1" applyAlignment="1">
      <alignment vertical="center"/>
    </xf>
    <xf numFmtId="0" fontId="8" fillId="0" borderId="11" xfId="0" applyFont="1" applyBorder="1"/>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7" xfId="0" applyFont="1" applyBorder="1" applyAlignment="1">
      <alignment horizontal="left"/>
    </xf>
    <xf numFmtId="0" fontId="7" fillId="0" borderId="12" xfId="0" applyFont="1" applyBorder="1" applyAlignment="1">
      <alignment horizontal="left"/>
    </xf>
    <xf numFmtId="0" fontId="8" fillId="0" borderId="4" xfId="1" applyFont="1" applyBorder="1" applyAlignment="1">
      <alignment horizontal="center"/>
    </xf>
    <xf numFmtId="0" fontId="8" fillId="0" borderId="2" xfId="1"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2" fontId="7" fillId="0" borderId="4" xfId="0" applyNumberFormat="1" applyFont="1" applyBorder="1" applyAlignment="1">
      <alignment horizontal="center" wrapText="1"/>
    </xf>
    <xf numFmtId="0" fontId="8" fillId="0" borderId="6" xfId="0" applyFont="1" applyBorder="1" applyAlignment="1">
      <alignment horizontal="center"/>
    </xf>
    <xf numFmtId="0" fontId="8" fillId="0" borderId="8" xfId="0" applyFont="1" applyBorder="1"/>
    <xf numFmtId="2" fontId="7" fillId="0" borderId="4" xfId="0" applyNumberFormat="1" applyFont="1" applyBorder="1" applyAlignment="1">
      <alignment wrapText="1"/>
    </xf>
    <xf numFmtId="0" fontId="8" fillId="0" borderId="5" xfId="0" applyFont="1" applyBorder="1" applyAlignment="1">
      <alignment horizontal="center"/>
    </xf>
    <xf numFmtId="2" fontId="7" fillId="0" borderId="5" xfId="0" applyNumberFormat="1" applyFont="1" applyBorder="1" applyAlignment="1">
      <alignment horizontal="right"/>
    </xf>
    <xf numFmtId="2" fontId="7" fillId="0" borderId="2" xfId="0" applyNumberFormat="1" applyFont="1" applyBorder="1" applyAlignment="1">
      <alignment horizontal="right"/>
    </xf>
    <xf numFmtId="0" fontId="8" fillId="0" borderId="1" xfId="0" applyFont="1" applyBorder="1"/>
    <xf numFmtId="2" fontId="7" fillId="0" borderId="5" xfId="0" applyNumberFormat="1" applyFont="1" applyBorder="1"/>
    <xf numFmtId="2" fontId="7" fillId="0" borderId="2" xfId="0" applyNumberFormat="1" applyFont="1" applyBorder="1"/>
    <xf numFmtId="0" fontId="7" fillId="0" borderId="5" xfId="0" applyFont="1" applyBorder="1" applyAlignment="1">
      <alignment horizontal="left"/>
    </xf>
    <xf numFmtId="0" fontId="7" fillId="0" borderId="8" xfId="1" applyFont="1" applyBorder="1" applyAlignment="1">
      <alignment horizontal="center"/>
    </xf>
    <xf numFmtId="2" fontId="7" fillId="0" borderId="4" xfId="1" applyNumberFormat="1" applyFont="1" applyBorder="1" applyAlignment="1">
      <alignment horizontal="right"/>
    </xf>
    <xf numFmtId="2" fontId="7" fillId="0" borderId="4" xfId="1" applyNumberFormat="1" applyFont="1" applyBorder="1" applyAlignment="1">
      <alignment horizontal="right" wrapText="1"/>
    </xf>
    <xf numFmtId="0" fontId="7" fillId="0" borderId="11" xfId="1" applyFont="1" applyBorder="1" applyAlignment="1">
      <alignment horizontal="left"/>
    </xf>
    <xf numFmtId="0" fontId="7" fillId="0" borderId="6" xfId="1" applyFont="1" applyBorder="1" applyAlignment="1">
      <alignment horizontal="left"/>
    </xf>
    <xf numFmtId="0" fontId="7" fillId="0" borderId="3" xfId="1" applyFont="1" applyBorder="1" applyAlignment="1">
      <alignment horizontal="left"/>
    </xf>
    <xf numFmtId="0" fontId="7" fillId="0" borderId="16" xfId="1" applyFont="1" applyBorder="1"/>
    <xf numFmtId="0" fontId="8" fillId="0" borderId="16" xfId="0" applyFont="1" applyBorder="1" applyAlignment="1">
      <alignment horizontal="center"/>
    </xf>
    <xf numFmtId="0" fontId="8" fillId="0" borderId="2" xfId="0" applyFont="1" applyBorder="1" applyAlignment="1">
      <alignment horizontal="center"/>
    </xf>
    <xf numFmtId="0" fontId="8" fillId="0" borderId="16" xfId="1" applyFont="1" applyBorder="1" applyAlignment="1">
      <alignment horizontal="center"/>
    </xf>
    <xf numFmtId="0" fontId="8" fillId="0" borderId="2" xfId="0" applyFont="1" applyBorder="1" applyAlignment="1">
      <alignment horizontal="left"/>
    </xf>
    <xf numFmtId="0" fontId="7"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left" wrapText="1"/>
    </xf>
    <xf numFmtId="0" fontId="7" fillId="0" borderId="7" xfId="0" applyFont="1" applyBorder="1" applyAlignment="1">
      <alignment horizontal="center"/>
    </xf>
    <xf numFmtId="0" fontId="7" fillId="0" borderId="8" xfId="0" applyFont="1" applyBorder="1" applyAlignment="1">
      <alignment wrapText="1"/>
    </xf>
    <xf numFmtId="0" fontId="7" fillId="0" borderId="10" xfId="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6" xfId="0" applyFont="1" applyBorder="1" applyAlignment="1">
      <alignment horizontal="left" wrapText="1"/>
    </xf>
    <xf numFmtId="0" fontId="8" fillId="2" borderId="1" xfId="0" applyFont="1" applyFill="1" applyBorder="1"/>
    <xf numFmtId="1" fontId="7" fillId="0" borderId="4" xfId="0" applyNumberFormat="1" applyFont="1" applyBorder="1"/>
    <xf numFmtId="1" fontId="7" fillId="0" borderId="4" xfId="0" applyNumberFormat="1" applyFont="1" applyBorder="1" applyAlignment="1">
      <alignment wrapText="1"/>
    </xf>
    <xf numFmtId="2" fontId="7" fillId="0" borderId="4" xfId="0" applyNumberFormat="1" applyFont="1" applyBorder="1" applyAlignment="1">
      <alignment horizontal="left" vertical="center"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left" vertical="center" wrapText="1"/>
    </xf>
    <xf numFmtId="0" fontId="8" fillId="0" borderId="16" xfId="0" applyFont="1" applyBorder="1" applyAlignment="1">
      <alignment horizontal="center" vertical="center"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0" fontId="7" fillId="0" borderId="4" xfId="0" quotePrefix="1" applyFont="1" applyBorder="1"/>
    <xf numFmtId="49" fontId="7" fillId="0" borderId="4" xfId="0" applyNumberFormat="1" applyFont="1" applyBorder="1"/>
    <xf numFmtId="49" fontId="7" fillId="0" borderId="2" xfId="0" applyNumberFormat="1" applyFont="1" applyBorder="1"/>
    <xf numFmtId="2" fontId="7" fillId="0" borderId="4" xfId="0" applyNumberFormat="1" applyFont="1" applyBorder="1" applyAlignment="1">
      <alignment horizontal="center" vertical="center" wrapText="1"/>
    </xf>
    <xf numFmtId="2" fontId="7" fillId="0" borderId="1" xfId="0" applyNumberFormat="1" applyFont="1" applyBorder="1"/>
    <xf numFmtId="0" fontId="7" fillId="0" borderId="6" xfId="0" applyFont="1" applyBorder="1" applyAlignment="1">
      <alignment wrapText="1"/>
    </xf>
    <xf numFmtId="0" fontId="7" fillId="0" borderId="6" xfId="0" applyFont="1" applyBorder="1" applyAlignment="1">
      <alignment vertical="center" wrapText="1"/>
    </xf>
    <xf numFmtId="0" fontId="7" fillId="0" borderId="0" xfId="0" applyFont="1" applyAlignment="1">
      <alignment horizontal="left" vertical="center" wrapText="1"/>
    </xf>
    <xf numFmtId="0" fontId="7" fillId="0" borderId="0" xfId="2" applyFont="1"/>
    <xf numFmtId="0" fontId="7" fillId="0" borderId="0" xfId="0" applyFont="1" applyAlignment="1">
      <alignment vertical="center" wrapText="1"/>
    </xf>
    <xf numFmtId="0" fontId="8" fillId="0" borderId="1" xfId="2" applyFont="1" applyBorder="1"/>
    <xf numFmtId="0" fontId="8" fillId="0" borderId="2" xfId="2" applyFont="1" applyBorder="1"/>
    <xf numFmtId="0" fontId="7" fillId="0" borderId="11" xfId="2" applyFont="1" applyBorder="1"/>
    <xf numFmtId="0" fontId="14" fillId="0" borderId="0" xfId="2" applyFont="1"/>
    <xf numFmtId="0" fontId="7" fillId="0" borderId="1" xfId="2" applyFont="1" applyBorder="1"/>
    <xf numFmtId="40" fontId="7" fillId="0" borderId="4" xfId="2" applyNumberFormat="1" applyFont="1" applyBorder="1"/>
    <xf numFmtId="0" fontId="7" fillId="0" borderId="7" xfId="2" applyFont="1" applyBorder="1"/>
    <xf numFmtId="0" fontId="7" fillId="0" borderId="8" xfId="2" applyFont="1" applyBorder="1"/>
    <xf numFmtId="0" fontId="7" fillId="0" borderId="9" xfId="2" applyFont="1" applyBorder="1"/>
    <xf numFmtId="0" fontId="7" fillId="0" borderId="12" xfId="2" applyFont="1" applyBorder="1"/>
    <xf numFmtId="0" fontId="7" fillId="0" borderId="10" xfId="2" applyFont="1" applyBorder="1"/>
    <xf numFmtId="0" fontId="7" fillId="0" borderId="4" xfId="2" applyFont="1" applyBorder="1" applyAlignment="1">
      <alignment horizontal="left"/>
    </xf>
    <xf numFmtId="0" fontId="7" fillId="0" borderId="4" xfId="2" applyFont="1" applyBorder="1"/>
    <xf numFmtId="0" fontId="7" fillId="0" borderId="6" xfId="2" applyFont="1" applyBorder="1"/>
    <xf numFmtId="0" fontId="7" fillId="0" borderId="3" xfId="2" applyFont="1" applyBorder="1"/>
    <xf numFmtId="1" fontId="8" fillId="0" borderId="16" xfId="2" applyNumberFormat="1" applyFont="1" applyBorder="1" applyAlignment="1">
      <alignment horizontal="center" vertical="top"/>
    </xf>
    <xf numFmtId="1" fontId="8" fillId="0" borderId="4" xfId="2" applyNumberFormat="1" applyFont="1" applyBorder="1" applyAlignment="1">
      <alignment horizontal="center" vertical="top"/>
    </xf>
    <xf numFmtId="2" fontId="7" fillId="0" borderId="4" xfId="2" applyNumberFormat="1" applyFont="1" applyBorder="1"/>
    <xf numFmtId="0" fontId="7" fillId="0" borderId="15" xfId="2" applyFont="1" applyBorder="1"/>
    <xf numFmtId="0" fontId="7" fillId="0" borderId="15" xfId="2" applyFont="1" applyBorder="1" applyAlignment="1">
      <alignment horizontal="center"/>
    </xf>
    <xf numFmtId="0" fontId="7" fillId="0" borderId="5" xfId="2" applyFont="1" applyBorder="1"/>
    <xf numFmtId="0" fontId="7" fillId="0" borderId="0" xfId="2" applyFont="1" applyAlignment="1">
      <alignment horizontal="left"/>
    </xf>
    <xf numFmtId="0" fontId="7" fillId="0" borderId="0" xfId="2" applyFont="1" applyAlignment="1">
      <alignment horizontal="center"/>
    </xf>
    <xf numFmtId="168" fontId="7" fillId="0" borderId="0" xfId="2" applyNumberFormat="1" applyFont="1"/>
    <xf numFmtId="0" fontId="7" fillId="0" borderId="12" xfId="3" applyFont="1" applyBorder="1" applyAlignment="1">
      <alignment horizontal="left"/>
    </xf>
    <xf numFmtId="0" fontId="15" fillId="0" borderId="10" xfId="2" applyFont="1" applyBorder="1"/>
    <xf numFmtId="0" fontId="15" fillId="0" borderId="0" xfId="0" applyFont="1"/>
    <xf numFmtId="0" fontId="7" fillId="0" borderId="12" xfId="3" applyFont="1" applyBorder="1"/>
    <xf numFmtId="0" fontId="7" fillId="0" borderId="11" xfId="3" applyFont="1" applyBorder="1"/>
    <xf numFmtId="0" fontId="7" fillId="0" borderId="6" xfId="3" applyFont="1" applyBorder="1"/>
    <xf numFmtId="1" fontId="7" fillId="0" borderId="4" xfId="2" applyNumberFormat="1" applyFont="1" applyBorder="1"/>
    <xf numFmtId="169" fontId="7" fillId="0" borderId="15" xfId="2" applyNumberFormat="1" applyFont="1" applyBorder="1"/>
    <xf numFmtId="40" fontId="7" fillId="0" borderId="15" xfId="2" applyNumberFormat="1" applyFont="1" applyBorder="1"/>
    <xf numFmtId="0" fontId="7" fillId="0" borderId="12" xfId="2" applyFont="1" applyBorder="1" applyAlignment="1">
      <alignment horizontal="left"/>
    </xf>
    <xf numFmtId="0" fontId="7" fillId="0" borderId="6" xfId="3" applyFont="1" applyBorder="1" applyAlignment="1">
      <alignment wrapText="1"/>
    </xf>
    <xf numFmtId="0" fontId="7" fillId="0" borderId="11" xfId="3" applyFont="1" applyBorder="1" applyAlignment="1">
      <alignment horizontal="left"/>
    </xf>
    <xf numFmtId="0" fontId="8" fillId="0" borderId="4" xfId="2" applyFont="1" applyBorder="1"/>
    <xf numFmtId="2" fontId="7" fillId="0" borderId="4" xfId="2" applyNumberFormat="1" applyFont="1" applyBorder="1" applyAlignment="1">
      <alignment horizontal="right"/>
    </xf>
    <xf numFmtId="0" fontId="7" fillId="0" borderId="6" xfId="2" applyFont="1" applyBorder="1" applyAlignment="1">
      <alignment horizontal="center"/>
    </xf>
    <xf numFmtId="0" fontId="8" fillId="0" borderId="7" xfId="2" applyFont="1" applyBorder="1"/>
    <xf numFmtId="1" fontId="8" fillId="0" borderId="2" xfId="2" applyNumberFormat="1" applyFont="1" applyBorder="1" applyAlignment="1">
      <alignment horizontal="center" vertical="top"/>
    </xf>
    <xf numFmtId="1" fontId="8" fillId="0" borderId="13" xfId="2" applyNumberFormat="1" applyFont="1" applyBorder="1" applyAlignment="1">
      <alignment horizontal="center" vertical="top"/>
    </xf>
    <xf numFmtId="2" fontId="7" fillId="0" borderId="2" xfId="2" applyNumberFormat="1" applyFont="1" applyBorder="1" applyAlignment="1">
      <alignment horizontal="right"/>
    </xf>
    <xf numFmtId="2" fontId="7" fillId="0" borderId="2" xfId="2" applyNumberFormat="1" applyFont="1" applyBorder="1"/>
    <xf numFmtId="2" fontId="7" fillId="0" borderId="5" xfId="2" applyNumberFormat="1" applyFont="1" applyBorder="1"/>
    <xf numFmtId="40" fontId="7" fillId="0" borderId="9" xfId="2" applyNumberFormat="1" applyFont="1" applyBorder="1"/>
    <xf numFmtId="166" fontId="7" fillId="0" borderId="6" xfId="2" applyNumberFormat="1" applyFont="1" applyBorder="1" applyAlignment="1">
      <alignment horizontal="center"/>
    </xf>
    <xf numFmtId="40" fontId="7" fillId="0" borderId="8" xfId="2" applyNumberFormat="1" applyFont="1" applyBorder="1"/>
    <xf numFmtId="0" fontId="16" fillId="0" borderId="0" xfId="0" applyFont="1"/>
    <xf numFmtId="2" fontId="7" fillId="0" borderId="4" xfId="1" applyNumberFormat="1" applyFont="1" applyBorder="1" applyAlignment="1">
      <alignment vertical="center" wrapText="1"/>
    </xf>
    <xf numFmtId="2" fontId="7" fillId="0" borderId="4" xfId="0" applyNumberFormat="1" applyFont="1" applyBorder="1" applyAlignment="1">
      <alignment horizontal="center"/>
    </xf>
    <xf numFmtId="2" fontId="7" fillId="0" borderId="1" xfId="0" applyNumberFormat="1" applyFont="1" applyBorder="1" applyAlignment="1">
      <alignment horizontal="right" vertical="center" wrapText="1"/>
    </xf>
    <xf numFmtId="0" fontId="8" fillId="0" borderId="6" xfId="0" applyFont="1" applyBorder="1"/>
    <xf numFmtId="2" fontId="7" fillId="0" borderId="13" xfId="0" applyNumberFormat="1" applyFont="1" applyBorder="1" applyAlignment="1">
      <alignment horizontal="right"/>
    </xf>
    <xf numFmtId="1" fontId="8" fillId="0" borderId="4" xfId="0" applyNumberFormat="1" applyFont="1" applyBorder="1" applyAlignment="1">
      <alignment horizontal="center"/>
    </xf>
    <xf numFmtId="1" fontId="8" fillId="0" borderId="5" xfId="0" applyNumberFormat="1" applyFont="1" applyBorder="1" applyAlignment="1">
      <alignment horizontal="center"/>
    </xf>
    <xf numFmtId="1" fontId="8" fillId="0" borderId="2" xfId="0" applyNumberFormat="1" applyFont="1" applyBorder="1" applyAlignment="1">
      <alignment horizontal="center"/>
    </xf>
    <xf numFmtId="2" fontId="7" fillId="0" borderId="2" xfId="0" applyNumberFormat="1" applyFont="1" applyBorder="1" applyAlignment="1">
      <alignment horizontal="center"/>
    </xf>
    <xf numFmtId="0" fontId="8" fillId="0" borderId="9" xfId="0" applyFont="1" applyBorder="1" applyAlignment="1">
      <alignment horizontal="left"/>
    </xf>
    <xf numFmtId="0" fontId="8" fillId="0" borderId="15" xfId="0" applyFont="1" applyBorder="1"/>
    <xf numFmtId="0" fontId="8" fillId="0" borderId="16" xfId="0" applyFont="1" applyBorder="1"/>
    <xf numFmtId="0" fontId="7" fillId="0" borderId="10" xfId="0" applyFont="1" applyBorder="1" applyAlignment="1">
      <alignment horizontal="center"/>
    </xf>
    <xf numFmtId="0" fontId="7" fillId="0" borderId="3" xfId="0" applyFont="1" applyBorder="1" applyAlignment="1">
      <alignment horizontal="center"/>
    </xf>
    <xf numFmtId="0" fontId="6" fillId="0" borderId="11" xfId="0" applyFont="1" applyBorder="1"/>
    <xf numFmtId="0" fontId="17" fillId="0" borderId="4" xfId="0" applyFont="1" applyBorder="1" applyAlignment="1">
      <alignment horizontal="center"/>
    </xf>
    <xf numFmtId="2" fontId="6" fillId="0" borderId="4" xfId="0" applyNumberFormat="1" applyFont="1" applyBorder="1" applyAlignment="1">
      <alignment horizontal="right"/>
    </xf>
    <xf numFmtId="0" fontId="6" fillId="0" borderId="15" xfId="0" applyFont="1" applyBorder="1" applyAlignment="1">
      <alignment horizontal="center"/>
    </xf>
    <xf numFmtId="2" fontId="6" fillId="0" borderId="4" xfId="1" applyNumberFormat="1" applyFont="1" applyBorder="1"/>
    <xf numFmtId="2" fontId="6" fillId="0" borderId="4" xfId="2" applyNumberFormat="1" applyFont="1" applyBorder="1"/>
    <xf numFmtId="0" fontId="6" fillId="0" borderId="12" xfId="0" applyFont="1" applyBorder="1"/>
    <xf numFmtId="0" fontId="6" fillId="0" borderId="0" xfId="0" applyFont="1" applyAlignment="1">
      <alignment horizontal="center"/>
    </xf>
    <xf numFmtId="0" fontId="6" fillId="0" borderId="10"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16" fillId="0" borderId="10" xfId="0" applyFont="1" applyBorder="1"/>
    <xf numFmtId="0" fontId="16" fillId="0" borderId="2" xfId="0" applyFont="1" applyBorder="1"/>
    <xf numFmtId="0" fontId="7" fillId="0" borderId="12" xfId="0" applyFont="1" applyBorder="1" applyAlignment="1">
      <alignment horizontal="left" vertical="center"/>
    </xf>
    <xf numFmtId="0" fontId="18" fillId="0" borderId="11" xfId="0" applyFont="1" applyBorder="1"/>
    <xf numFmtId="0" fontId="5" fillId="0" borderId="4" xfId="0" applyFont="1" applyBorder="1" applyAlignment="1">
      <alignment horizontal="center"/>
    </xf>
    <xf numFmtId="2" fontId="18" fillId="0" borderId="2" xfId="0" applyNumberFormat="1" applyFont="1" applyBorder="1" applyAlignment="1">
      <alignment horizontal="right"/>
    </xf>
    <xf numFmtId="1" fontId="18" fillId="0" borderId="4" xfId="0" applyNumberFormat="1" applyFont="1" applyBorder="1"/>
    <xf numFmtId="2" fontId="18" fillId="0" borderId="4" xfId="0" applyNumberFormat="1" applyFont="1" applyBorder="1"/>
    <xf numFmtId="1" fontId="18" fillId="0" borderId="15" xfId="0" applyNumberFormat="1" applyFont="1" applyBorder="1" applyAlignment="1">
      <alignment horizontal="right"/>
    </xf>
    <xf numFmtId="0" fontId="18" fillId="0" borderId="9" xfId="0" applyFont="1" applyBorder="1"/>
    <xf numFmtId="0" fontId="18" fillId="0" borderId="7" xfId="0" applyFont="1" applyBorder="1"/>
    <xf numFmtId="0" fontId="18" fillId="0" borderId="8" xfId="0" applyFont="1" applyBorder="1"/>
    <xf numFmtId="0" fontId="18" fillId="0" borderId="12" xfId="0" applyFont="1" applyBorder="1"/>
    <xf numFmtId="0" fontId="18" fillId="0" borderId="0" xfId="0" applyFont="1"/>
    <xf numFmtId="0" fontId="18" fillId="0" borderId="10" xfId="0" applyFont="1" applyBorder="1"/>
    <xf numFmtId="0" fontId="18" fillId="0" borderId="6" xfId="0" applyFont="1" applyBorder="1"/>
    <xf numFmtId="0" fontId="18" fillId="0" borderId="3" xfId="0" applyFont="1" applyBorder="1"/>
    <xf numFmtId="0" fontId="7" fillId="0" borderId="3" xfId="0" applyFont="1" applyBorder="1" applyAlignment="1">
      <alignment wrapText="1"/>
    </xf>
    <xf numFmtId="0" fontId="18" fillId="0" borderId="4" xfId="0" applyFont="1" applyBorder="1"/>
    <xf numFmtId="0" fontId="18" fillId="0" borderId="15" xfId="0" applyFont="1" applyBorder="1"/>
    <xf numFmtId="0" fontId="5" fillId="0" borderId="2" xfId="1" applyFont="1" applyBorder="1" applyAlignment="1">
      <alignment horizontal="center"/>
    </xf>
    <xf numFmtId="1" fontId="18" fillId="0" borderId="15" xfId="1" applyNumberFormat="1" applyFont="1" applyBorder="1" applyAlignment="1">
      <alignment horizontal="center"/>
    </xf>
    <xf numFmtId="0" fontId="8" fillId="0" borderId="15" xfId="0" applyFont="1" applyBorder="1" applyAlignment="1">
      <alignment horizontal="center" vertical="center" wrapText="1"/>
    </xf>
    <xf numFmtId="2" fontId="18" fillId="0" borderId="4" xfId="0" applyNumberFormat="1" applyFont="1" applyBorder="1" applyAlignment="1">
      <alignment horizontal="right"/>
    </xf>
    <xf numFmtId="0" fontId="18" fillId="0" borderId="2" xfId="0" applyFont="1" applyBorder="1"/>
    <xf numFmtId="0" fontId="18" fillId="0" borderId="11" xfId="0" applyFont="1" applyBorder="1" applyAlignment="1">
      <alignment horizontal="left"/>
    </xf>
    <xf numFmtId="0" fontId="19" fillId="0" borderId="0" xfId="0" applyFont="1"/>
    <xf numFmtId="0" fontId="1" fillId="0" borderId="0" xfId="0" applyFont="1"/>
    <xf numFmtId="0" fontId="18" fillId="0" borderId="4" xfId="2" applyFont="1" applyBorder="1" applyAlignment="1">
      <alignment horizontal="center"/>
    </xf>
    <xf numFmtId="165" fontId="18" fillId="0" borderId="4" xfId="2" applyNumberFormat="1" applyFont="1" applyBorder="1" applyAlignment="1">
      <alignment horizontal="center"/>
    </xf>
    <xf numFmtId="0" fontId="8" fillId="0" borderId="16" xfId="2" applyFont="1" applyBorder="1" applyAlignment="1">
      <alignment horizontal="center" vertical="top"/>
    </xf>
    <xf numFmtId="0" fontId="8" fillId="0" borderId="4" xfId="2" applyFont="1" applyBorder="1" applyAlignment="1">
      <alignment horizontal="center" vertical="top"/>
    </xf>
    <xf numFmtId="2" fontId="18" fillId="0" borderId="4" xfId="2" applyNumberFormat="1" applyFont="1" applyBorder="1"/>
    <xf numFmtId="2" fontId="18" fillId="0" borderId="4" xfId="4" applyNumberFormat="1" applyFont="1" applyBorder="1"/>
    <xf numFmtId="0" fontId="19" fillId="0" borderId="12" xfId="0" applyFont="1" applyBorder="1"/>
    <xf numFmtId="0" fontId="18" fillId="0" borderId="4" xfId="0" applyFont="1" applyBorder="1" applyAlignment="1">
      <alignment wrapText="1"/>
    </xf>
    <xf numFmtId="0" fontId="18" fillId="0" borderId="15" xfId="0" applyFont="1" applyBorder="1" applyAlignment="1">
      <alignment horizontal="center"/>
    </xf>
    <xf numFmtId="0" fontId="18" fillId="0" borderId="9" xfId="0" applyFont="1" applyBorder="1" applyAlignment="1">
      <alignment horizontal="center"/>
    </xf>
    <xf numFmtId="0" fontId="6" fillId="0" borderId="4" xfId="0" quotePrefix="1" applyFont="1" applyBorder="1"/>
    <xf numFmtId="49" fontId="7" fillId="0" borderId="4" xfId="1" applyNumberFormat="1" applyFont="1" applyBorder="1" applyAlignment="1">
      <alignment horizontal="right"/>
    </xf>
    <xf numFmtId="0" fontId="18" fillId="0" borderId="11" xfId="1" applyFont="1" applyBorder="1" applyAlignment="1">
      <alignment horizontal="left"/>
    </xf>
    <xf numFmtId="0" fontId="18" fillId="0" borderId="6" xfId="1" applyFont="1" applyBorder="1" applyAlignment="1">
      <alignment horizontal="left"/>
    </xf>
    <xf numFmtId="0" fontId="5" fillId="0" borderId="1" xfId="1" applyFont="1" applyBorder="1"/>
    <xf numFmtId="0" fontId="5" fillId="0" borderId="2" xfId="1" applyFont="1" applyBorder="1"/>
    <xf numFmtId="0" fontId="5" fillId="0" borderId="4" xfId="1" applyFont="1" applyBorder="1"/>
    <xf numFmtId="0" fontId="18" fillId="0" borderId="0" xfId="1" applyFont="1"/>
    <xf numFmtId="0" fontId="18" fillId="0" borderId="1" xfId="1" applyFont="1" applyBorder="1"/>
    <xf numFmtId="0" fontId="5" fillId="0" borderId="5" xfId="1" applyFont="1" applyBorder="1"/>
    <xf numFmtId="170" fontId="18" fillId="0" borderId="4" xfId="1" applyNumberFormat="1" applyFont="1" applyBorder="1"/>
    <xf numFmtId="0" fontId="18" fillId="0" borderId="7" xfId="1" applyFont="1" applyBorder="1"/>
    <xf numFmtId="0" fontId="18" fillId="0" borderId="15" xfId="1" applyFont="1" applyBorder="1"/>
    <xf numFmtId="0" fontId="18" fillId="0" borderId="8" xfId="1" applyFont="1" applyBorder="1"/>
    <xf numFmtId="0" fontId="18" fillId="0" borderId="9" xfId="1" applyFont="1" applyBorder="1"/>
    <xf numFmtId="0" fontId="5" fillId="0" borderId="1" xfId="0" applyFont="1" applyBorder="1"/>
    <xf numFmtId="0" fontId="5" fillId="0" borderId="5" xfId="0" applyFont="1" applyBorder="1"/>
    <xf numFmtId="0" fontId="5" fillId="0" borderId="4" xfId="0" applyFont="1" applyBorder="1"/>
    <xf numFmtId="0" fontId="18" fillId="0" borderId="1" xfId="0" applyFont="1" applyBorder="1"/>
    <xf numFmtId="0" fontId="5" fillId="0" borderId="4" xfId="0" applyFont="1" applyBorder="1" applyAlignment="1">
      <alignment horizontal="right" vertical="center"/>
    </xf>
    <xf numFmtId="2" fontId="18" fillId="0" borderId="4" xfId="0" applyNumberFormat="1" applyFont="1" applyBorder="1" applyAlignment="1">
      <alignment horizontal="right" vertical="center"/>
    </xf>
    <xf numFmtId="2" fontId="18" fillId="0" borderId="4" xfId="0" applyNumberFormat="1" applyFont="1" applyBorder="1" applyAlignment="1">
      <alignment vertical="center"/>
    </xf>
    <xf numFmtId="0" fontId="18" fillId="0" borderId="15" xfId="0" applyFont="1" applyBorder="1" applyAlignment="1">
      <alignment horizontal="right" vertical="center"/>
    </xf>
    <xf numFmtId="0" fontId="18" fillId="0" borderId="15"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0" xfId="0" applyFont="1" applyAlignment="1">
      <alignment vertical="center"/>
    </xf>
    <xf numFmtId="0" fontId="18" fillId="0" borderId="12" xfId="0" applyFont="1" applyBorder="1" applyAlignment="1">
      <alignment horizontal="left"/>
    </xf>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2" fontId="18" fillId="0" borderId="5" xfId="0" applyNumberFormat="1" applyFont="1" applyBorder="1" applyAlignment="1">
      <alignment horizontal="right"/>
    </xf>
    <xf numFmtId="49" fontId="18" fillId="0" borderId="4" xfId="0" applyNumberFormat="1" applyFont="1" applyBorder="1" applyAlignment="1">
      <alignment wrapText="1"/>
    </xf>
    <xf numFmtId="49" fontId="18" fillId="0" borderId="2" xfId="0" applyNumberFormat="1" applyFont="1" applyBorder="1" applyAlignment="1">
      <alignment wrapText="1"/>
    </xf>
    <xf numFmtId="0" fontId="18" fillId="0" borderId="8" xfId="0" applyFont="1" applyBorder="1" applyAlignment="1">
      <alignment horizontal="center"/>
    </xf>
    <xf numFmtId="0" fontId="18" fillId="0" borderId="6" xfId="0" applyFont="1" applyBorder="1" applyAlignment="1">
      <alignment horizontal="left" wrapText="1"/>
    </xf>
    <xf numFmtId="0" fontId="18" fillId="0" borderId="4" xfId="0" quotePrefix="1" applyFont="1" applyBorder="1"/>
    <xf numFmtId="2" fontId="18" fillId="0" borderId="5" xfId="0" applyNumberFormat="1" applyFont="1" applyBorder="1"/>
    <xf numFmtId="2" fontId="18" fillId="0" borderId="2" xfId="0" applyNumberFormat="1" applyFont="1" applyBorder="1"/>
    <xf numFmtId="49" fontId="18" fillId="0" borderId="4" xfId="0" applyNumberFormat="1" applyFont="1" applyBorder="1"/>
    <xf numFmtId="49" fontId="18" fillId="0" borderId="2" xfId="0" applyNumberFormat="1" applyFont="1" applyBorder="1"/>
    <xf numFmtId="0" fontId="18" fillId="0" borderId="4" xfId="0" applyFont="1" applyBorder="1" applyAlignment="1">
      <alignment horizontal="center"/>
    </xf>
    <xf numFmtId="0" fontId="19" fillId="0" borderId="1" xfId="0" applyFont="1" applyBorder="1"/>
    <xf numFmtId="0" fontId="20" fillId="0" borderId="4" xfId="0" applyFont="1" applyBorder="1"/>
    <xf numFmtId="0" fontId="20" fillId="0" borderId="5" xfId="0" applyFont="1" applyBorder="1"/>
    <xf numFmtId="0" fontId="20" fillId="0" borderId="2" xfId="0" applyFont="1" applyBorder="1"/>
    <xf numFmtId="2" fontId="19" fillId="0" borderId="4" xfId="0" applyNumberFormat="1" applyFont="1" applyBorder="1" applyAlignment="1">
      <alignment horizontal="right" vertical="center"/>
    </xf>
    <xf numFmtId="2" fontId="19" fillId="0" borderId="2" xfId="0" applyNumberFormat="1" applyFont="1" applyBorder="1" applyAlignment="1">
      <alignment horizontal="right" vertical="center"/>
    </xf>
    <xf numFmtId="0" fontId="19" fillId="0" borderId="4" xfId="0" applyFont="1" applyBorder="1" applyAlignment="1">
      <alignment horizontal="right"/>
    </xf>
    <xf numFmtId="2" fontId="19" fillId="0" borderId="4" xfId="0" applyNumberFormat="1" applyFont="1" applyBorder="1" applyAlignment="1">
      <alignment horizontal="right"/>
    </xf>
    <xf numFmtId="0" fontId="19" fillId="0" borderId="5" xfId="0" applyFont="1" applyBorder="1" applyAlignment="1">
      <alignment horizontal="right"/>
    </xf>
    <xf numFmtId="0" fontId="19" fillId="0" borderId="2" xfId="0" applyFont="1" applyBorder="1" applyAlignment="1">
      <alignment horizontal="right"/>
    </xf>
    <xf numFmtId="0" fontId="19" fillId="0" borderId="7" xfId="0" applyFont="1" applyBorder="1"/>
    <xf numFmtId="0" fontId="19" fillId="0" borderId="8" xfId="0" applyFont="1" applyBorder="1"/>
    <xf numFmtId="0" fontId="19" fillId="0" borderId="9" xfId="0" applyFont="1" applyBorder="1"/>
    <xf numFmtId="0" fontId="19" fillId="0" borderId="10" xfId="0" applyFont="1" applyBorder="1"/>
    <xf numFmtId="0" fontId="19" fillId="0" borderId="11" xfId="0" applyFont="1" applyBorder="1"/>
    <xf numFmtId="0" fontId="19" fillId="0" borderId="6" xfId="0" applyFont="1" applyBorder="1"/>
    <xf numFmtId="0" fontId="19" fillId="0" borderId="3" xfId="0" applyFont="1" applyBorder="1"/>
    <xf numFmtId="0" fontId="18" fillId="0" borderId="0" xfId="1" applyFont="1" applyAlignment="1">
      <alignment horizontal="left" wrapText="1"/>
    </xf>
    <xf numFmtId="2" fontId="19" fillId="0" borderId="4" xfId="0" applyNumberFormat="1" applyFont="1" applyBorder="1" applyAlignment="1">
      <alignment vertical="center"/>
    </xf>
    <xf numFmtId="2" fontId="19" fillId="0" borderId="2" xfId="0" applyNumberFormat="1" applyFont="1" applyBorder="1" applyAlignment="1">
      <alignment vertical="center"/>
    </xf>
    <xf numFmtId="0" fontId="19" fillId="0" borderId="4" xfId="0" applyFont="1" applyBorder="1"/>
    <xf numFmtId="2" fontId="19" fillId="0" borderId="4" xfId="0" applyNumberFormat="1" applyFont="1" applyBorder="1"/>
    <xf numFmtId="0" fontId="19" fillId="0" borderId="2" xfId="0" applyFont="1" applyBorder="1"/>
    <xf numFmtId="0" fontId="19" fillId="0" borderId="15" xfId="0" applyFont="1" applyBorder="1"/>
    <xf numFmtId="0" fontId="19" fillId="0" borderId="5" xfId="0" applyFont="1" applyBorder="1"/>
    <xf numFmtId="20" fontId="19" fillId="0" borderId="7" xfId="0" applyNumberFormat="1" applyFont="1" applyBorder="1"/>
    <xf numFmtId="20" fontId="19" fillId="0" borderId="12" xfId="0" applyNumberFormat="1" applyFont="1" applyBorder="1"/>
    <xf numFmtId="20" fontId="19" fillId="0" borderId="11" xfId="0" applyNumberFormat="1" applyFont="1" applyBorder="1"/>
    <xf numFmtId="0" fontId="20" fillId="0" borderId="4" xfId="0" applyFont="1" applyBorder="1" applyAlignment="1">
      <alignment horizontal="right"/>
    </xf>
    <xf numFmtId="0" fontId="20" fillId="0" borderId="5" xfId="0" applyFont="1" applyBorder="1" applyAlignment="1">
      <alignment horizontal="right"/>
    </xf>
    <xf numFmtId="0" fontId="20" fillId="0" borderId="2" xfId="0" applyFont="1" applyBorder="1" applyAlignment="1">
      <alignment horizontal="right"/>
    </xf>
    <xf numFmtId="2" fontId="19" fillId="0" borderId="4" xfId="0" applyNumberFormat="1" applyFont="1" applyBorder="1" applyAlignment="1">
      <alignment horizontal="right" vertical="center" wrapText="1"/>
    </xf>
    <xf numFmtId="2" fontId="19" fillId="0" borderId="2" xfId="0" applyNumberFormat="1" applyFont="1" applyBorder="1" applyAlignment="1">
      <alignment horizontal="right" vertical="center" wrapText="1"/>
    </xf>
    <xf numFmtId="0" fontId="18" fillId="0" borderId="11" xfId="1" applyFont="1" applyBorder="1"/>
    <xf numFmtId="0" fontId="18" fillId="0" borderId="16" xfId="1" applyFont="1" applyBorder="1"/>
    <xf numFmtId="0" fontId="18" fillId="0" borderId="4" xfId="1" applyFont="1" applyBorder="1" applyAlignment="1">
      <alignment horizontal="center"/>
    </xf>
    <xf numFmtId="0" fontId="18" fillId="0" borderId="4" xfId="1" applyFont="1" applyBorder="1"/>
    <xf numFmtId="2" fontId="18" fillId="0" borderId="4" xfId="1" applyNumberFormat="1" applyFont="1" applyBorder="1"/>
    <xf numFmtId="166" fontId="18" fillId="0" borderId="4" xfId="1" applyNumberFormat="1" applyFont="1" applyBorder="1"/>
    <xf numFmtId="166" fontId="18" fillId="0" borderId="4" xfId="1" applyNumberFormat="1" applyFont="1" applyBorder="1" applyAlignment="1">
      <alignment horizontal="right"/>
    </xf>
    <xf numFmtId="0" fontId="18" fillId="0" borderId="4" xfId="1" applyFont="1" applyBorder="1" applyAlignment="1">
      <alignment horizontal="right" wrapText="1"/>
    </xf>
    <xf numFmtId="0" fontId="18" fillId="0" borderId="4" xfId="1" applyFont="1" applyBorder="1" applyAlignment="1">
      <alignment horizontal="right"/>
    </xf>
    <xf numFmtId="0" fontId="18" fillId="0" borderId="15" xfId="1" applyFont="1" applyBorder="1" applyAlignment="1">
      <alignment horizontal="center"/>
    </xf>
    <xf numFmtId="0" fontId="18" fillId="0" borderId="7" xfId="1" applyFont="1" applyBorder="1" applyAlignment="1">
      <alignment wrapText="1"/>
    </xf>
    <xf numFmtId="0" fontId="18" fillId="0" borderId="8" xfId="1" applyFont="1" applyBorder="1" applyAlignment="1">
      <alignment wrapText="1"/>
    </xf>
    <xf numFmtId="0" fontId="18" fillId="0" borderId="12" xfId="1" applyFont="1" applyBorder="1" applyAlignment="1">
      <alignment horizontal="left"/>
    </xf>
    <xf numFmtId="0" fontId="18" fillId="0" borderId="11" xfId="1" applyFont="1" applyBorder="1" applyAlignment="1">
      <alignment horizontal="left" wrapText="1"/>
    </xf>
    <xf numFmtId="0" fontId="18" fillId="0" borderId="6" xfId="1" applyFont="1" applyBorder="1" applyAlignment="1">
      <alignment horizontal="left" wrapText="1"/>
    </xf>
    <xf numFmtId="0" fontId="5" fillId="0" borderId="9" xfId="1" applyFont="1" applyBorder="1"/>
    <xf numFmtId="0" fontId="5" fillId="0" borderId="4" xfId="1" applyFont="1" applyBorder="1" applyAlignment="1">
      <alignment horizontal="center"/>
    </xf>
    <xf numFmtId="2" fontId="18" fillId="0" borderId="4" xfId="1" applyNumberFormat="1" applyFont="1" applyBorder="1" applyAlignment="1">
      <alignment horizontal="right"/>
    </xf>
    <xf numFmtId="49" fontId="18" fillId="0" borderId="4" xfId="1" applyNumberFormat="1" applyFont="1" applyBorder="1" applyAlignment="1">
      <alignment horizontal="right"/>
    </xf>
    <xf numFmtId="0" fontId="18" fillId="0" borderId="0" xfId="1" applyFont="1" applyAlignment="1">
      <alignment wrapText="1"/>
    </xf>
    <xf numFmtId="0" fontId="5" fillId="0" borderId="16" xfId="1" applyFont="1" applyBorder="1" applyAlignment="1">
      <alignment horizontal="center"/>
    </xf>
    <xf numFmtId="2" fontId="6" fillId="0" borderId="4" xfId="1" applyNumberFormat="1" applyFont="1" applyBorder="1" applyProtection="1">
      <protection locked="0"/>
    </xf>
    <xf numFmtId="0" fontId="5" fillId="0" borderId="16" xfId="0" applyFont="1" applyBorder="1" applyAlignment="1">
      <alignment horizontal="center"/>
    </xf>
    <xf numFmtId="2" fontId="18" fillId="0" borderId="4" xfId="1" applyNumberFormat="1" applyFont="1" applyBorder="1" applyProtection="1">
      <protection locked="0"/>
    </xf>
    <xf numFmtId="0" fontId="18" fillId="0" borderId="4" xfId="1" applyFont="1" applyBorder="1" applyAlignment="1" applyProtection="1">
      <alignment horizontal="right"/>
      <protection locked="0"/>
    </xf>
    <xf numFmtId="2" fontId="18" fillId="0" borderId="4" xfId="1" applyNumberFormat="1" applyFont="1" applyBorder="1" applyAlignment="1" applyProtection="1">
      <alignment horizontal="center" vertical="center" wrapText="1"/>
      <protection locked="0"/>
    </xf>
    <xf numFmtId="0" fontId="18" fillId="0" borderId="4" xfId="0" applyFont="1" applyBorder="1" applyAlignment="1">
      <alignment horizontal="center" vertical="center" wrapText="1"/>
    </xf>
    <xf numFmtId="2" fontId="18" fillId="0" borderId="1" xfId="0" applyNumberFormat="1" applyFont="1" applyBorder="1"/>
    <xf numFmtId="0" fontId="5" fillId="0" borderId="8" xfId="0" applyFont="1" applyBorder="1" applyAlignment="1">
      <alignment horizontal="center"/>
    </xf>
    <xf numFmtId="0" fontId="5" fillId="0" borderId="0" xfId="0" applyFont="1" applyAlignment="1">
      <alignment horizontal="center"/>
    </xf>
    <xf numFmtId="0" fontId="18" fillId="0" borderId="6" xfId="0" applyFont="1" applyBorder="1" applyAlignment="1">
      <alignment wrapText="1"/>
    </xf>
    <xf numFmtId="2" fontId="18" fillId="0" borderId="4" xfId="1" applyNumberFormat="1" applyFont="1" applyBorder="1" applyAlignment="1" applyProtection="1">
      <alignment horizontal="right"/>
      <protection locked="0"/>
    </xf>
    <xf numFmtId="0" fontId="18" fillId="0" borderId="4" xfId="0" applyFont="1" applyBorder="1" applyAlignment="1">
      <alignment horizontal="center" wrapText="1"/>
    </xf>
    <xf numFmtId="0" fontId="5" fillId="0" borderId="9" xfId="0" applyFont="1" applyBorder="1" applyAlignment="1">
      <alignment horizontal="center"/>
    </xf>
    <xf numFmtId="0" fontId="5" fillId="0" borderId="10" xfId="0" applyFont="1" applyBorder="1" applyAlignment="1">
      <alignment horizontal="center"/>
    </xf>
    <xf numFmtId="0" fontId="18" fillId="0" borderId="11" xfId="0" applyFont="1" applyBorder="1" applyAlignment="1">
      <alignment vertical="center"/>
    </xf>
    <xf numFmtId="0" fontId="18" fillId="0" borderId="6" xfId="0" applyFont="1" applyBorder="1" applyAlignment="1">
      <alignment vertical="center" wrapText="1"/>
    </xf>
    <xf numFmtId="2" fontId="18" fillId="0" borderId="4" xfId="1" applyNumberFormat="1" applyFont="1" applyBorder="1" applyAlignment="1" applyProtection="1">
      <alignment horizontal="right" vertical="center" wrapText="1"/>
      <protection locked="0"/>
    </xf>
    <xf numFmtId="0" fontId="18" fillId="0" borderId="0" xfId="0" applyFont="1" applyAlignment="1">
      <alignment horizontal="left" vertical="center" wrapText="1"/>
    </xf>
    <xf numFmtId="0" fontId="5" fillId="3" borderId="1" xfId="0" applyFont="1" applyFill="1" applyBorder="1"/>
    <xf numFmtId="0" fontId="5" fillId="0" borderId="0" xfId="0" applyFont="1"/>
    <xf numFmtId="0" fontId="5" fillId="0" borderId="11" xfId="0" applyFont="1" applyBorder="1"/>
    <xf numFmtId="0" fontId="5" fillId="0" borderId="3" xfId="0" applyFont="1" applyBorder="1"/>
    <xf numFmtId="1" fontId="18" fillId="0" borderId="5" xfId="0" applyNumberFormat="1" applyFont="1" applyBorder="1"/>
    <xf numFmtId="1" fontId="18" fillId="0" borderId="2" xfId="0" applyNumberFormat="1" applyFont="1" applyBorder="1"/>
    <xf numFmtId="0" fontId="5" fillId="0" borderId="1" xfId="0" applyFont="1" applyBorder="1" applyAlignment="1">
      <alignment wrapText="1"/>
    </xf>
    <xf numFmtId="0" fontId="5" fillId="0" borderId="2" xfId="0" applyFont="1" applyBorder="1" applyAlignment="1">
      <alignment wrapText="1"/>
    </xf>
    <xf numFmtId="0" fontId="5" fillId="0" borderId="4" xfId="0" applyFont="1" applyBorder="1" applyAlignment="1">
      <alignment wrapText="1"/>
    </xf>
    <xf numFmtId="0" fontId="18" fillId="0" borderId="0" xfId="0" applyFont="1" applyAlignment="1">
      <alignment wrapText="1"/>
    </xf>
    <xf numFmtId="0" fontId="18"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18" fillId="0" borderId="4" xfId="0" applyNumberFormat="1" applyFont="1" applyBorder="1" applyAlignment="1">
      <alignment wrapText="1"/>
    </xf>
    <xf numFmtId="2" fontId="18" fillId="0" borderId="5" xfId="0" applyNumberFormat="1" applyFont="1" applyBorder="1" applyAlignment="1">
      <alignment wrapText="1"/>
    </xf>
    <xf numFmtId="2" fontId="18" fillId="0" borderId="2" xfId="0" applyNumberFormat="1" applyFont="1" applyBorder="1" applyAlignment="1">
      <alignment wrapText="1"/>
    </xf>
    <xf numFmtId="0" fontId="18" fillId="0" borderId="5" xfId="0" applyFont="1" applyBorder="1" applyAlignment="1">
      <alignment wrapText="1"/>
    </xf>
    <xf numFmtId="0" fontId="18" fillId="0" borderId="2" xfId="0" applyFont="1" applyBorder="1" applyAlignment="1">
      <alignment wrapText="1"/>
    </xf>
    <xf numFmtId="0" fontId="18" fillId="0" borderId="7" xfId="0" applyFont="1" applyBorder="1" applyAlignment="1">
      <alignment wrapText="1"/>
    </xf>
    <xf numFmtId="0" fontId="18" fillId="0" borderId="15" xfId="0" applyFont="1" applyBorder="1" applyAlignment="1">
      <alignment wrapText="1"/>
    </xf>
    <xf numFmtId="0" fontId="18" fillId="0" borderId="8" xfId="0" applyFont="1" applyBorder="1" applyAlignment="1">
      <alignment wrapText="1"/>
    </xf>
    <xf numFmtId="0" fontId="18" fillId="0" borderId="9" xfId="0" applyFont="1" applyBorder="1" applyAlignment="1">
      <alignment wrapText="1"/>
    </xf>
    <xf numFmtId="0" fontId="18" fillId="0" borderId="10" xfId="0" applyFont="1" applyBorder="1" applyAlignment="1">
      <alignment wrapText="1"/>
    </xf>
    <xf numFmtId="0" fontId="18" fillId="0" borderId="3" xfId="0" applyFont="1" applyBorder="1" applyAlignment="1">
      <alignment wrapText="1"/>
    </xf>
    <xf numFmtId="0" fontId="5" fillId="4" borderId="4" xfId="0" applyFont="1" applyFill="1" applyBorder="1" applyAlignment="1">
      <alignment horizontal="center"/>
    </xf>
    <xf numFmtId="0" fontId="5" fillId="4" borderId="5" xfId="0" applyFont="1" applyFill="1" applyBorder="1" applyAlignment="1">
      <alignment horizontal="center"/>
    </xf>
    <xf numFmtId="2" fontId="18" fillId="4" borderId="4" xfId="0" applyNumberFormat="1" applyFont="1" applyFill="1" applyBorder="1"/>
    <xf numFmtId="2" fontId="18" fillId="4" borderId="5" xfId="0" applyNumberFormat="1" applyFont="1" applyFill="1" applyBorder="1"/>
    <xf numFmtId="2" fontId="18" fillId="4" borderId="2" xfId="0" applyNumberFormat="1" applyFont="1" applyFill="1" applyBorder="1"/>
    <xf numFmtId="0" fontId="18" fillId="4" borderId="4" xfId="0" applyFont="1" applyFill="1" applyBorder="1"/>
    <xf numFmtId="0" fontId="18" fillId="4" borderId="5" xfId="0" applyFont="1" applyFill="1" applyBorder="1"/>
    <xf numFmtId="0" fontId="18" fillId="4" borderId="2" xfId="0" applyFont="1" applyFill="1" applyBorder="1"/>
    <xf numFmtId="0" fontId="18" fillId="4" borderId="15" xfId="0" applyFont="1" applyFill="1" applyBorder="1"/>
    <xf numFmtId="0" fontId="5" fillId="2" borderId="1" xfId="1" applyFont="1" applyFill="1" applyBorder="1"/>
    <xf numFmtId="0" fontId="18" fillId="0" borderId="0" xfId="2" applyFont="1"/>
    <xf numFmtId="0" fontId="5" fillId="0" borderId="5" xfId="1" applyFont="1" applyBorder="1" applyAlignment="1">
      <alignment horizontal="center"/>
    </xf>
    <xf numFmtId="2" fontId="18" fillId="0" borderId="0" xfId="0" applyNumberFormat="1" applyFont="1"/>
    <xf numFmtId="0" fontId="18" fillId="0" borderId="7" xfId="0" applyFont="1" applyBorder="1" applyAlignment="1">
      <alignment horizontal="left" vertical="center" wrapText="1"/>
    </xf>
    <xf numFmtId="0" fontId="18" fillId="0" borderId="8" xfId="0" applyFont="1" applyBorder="1" applyAlignment="1">
      <alignment vertical="center" wrapText="1"/>
    </xf>
    <xf numFmtId="0" fontId="18" fillId="0" borderId="0" xfId="0" applyFont="1" applyAlignment="1">
      <alignment vertical="center" wrapText="1"/>
    </xf>
    <xf numFmtId="2" fontId="18" fillId="0" borderId="15" xfId="1" applyNumberFormat="1" applyFont="1" applyBorder="1"/>
    <xf numFmtId="0" fontId="18" fillId="0" borderId="1" xfId="1" applyFont="1" applyBorder="1" applyAlignment="1">
      <alignment wrapText="1"/>
    </xf>
    <xf numFmtId="0" fontId="18" fillId="0" borderId="5" xfId="1" applyFont="1" applyBorder="1" applyAlignment="1">
      <alignment wrapText="1"/>
    </xf>
    <xf numFmtId="0" fontId="18" fillId="0" borderId="2" xfId="1" applyFont="1" applyBorder="1" applyAlignment="1">
      <alignment wrapText="1"/>
    </xf>
    <xf numFmtId="0" fontId="18" fillId="0" borderId="6" xfId="1" applyFont="1" applyBorder="1"/>
    <xf numFmtId="0" fontId="18" fillId="0" borderId="3" xfId="1" applyFont="1" applyBorder="1" applyAlignment="1">
      <alignment wrapText="1"/>
    </xf>
    <xf numFmtId="0" fontId="6" fillId="0" borderId="11" xfId="3" applyFont="1" applyBorder="1"/>
    <xf numFmtId="0" fontId="5" fillId="0" borderId="1" xfId="2" applyFont="1" applyBorder="1"/>
    <xf numFmtId="0" fontId="5" fillId="0" borderId="2" xfId="2" applyFont="1" applyBorder="1"/>
    <xf numFmtId="0" fontId="5" fillId="0" borderId="4" xfId="2" applyFont="1" applyBorder="1"/>
    <xf numFmtId="0" fontId="18" fillId="0" borderId="1" xfId="2" applyFont="1" applyBorder="1"/>
    <xf numFmtId="1" fontId="5" fillId="0" borderId="4" xfId="2" applyNumberFormat="1" applyFont="1" applyBorder="1" applyAlignment="1">
      <alignment horizontal="center" vertical="top"/>
    </xf>
    <xf numFmtId="2" fontId="18" fillId="0" borderId="4" xfId="2" applyNumberFormat="1" applyFont="1" applyBorder="1" applyAlignment="1">
      <alignment horizontal="right"/>
    </xf>
    <xf numFmtId="0" fontId="18" fillId="0" borderId="7" xfId="2" applyFont="1" applyBorder="1"/>
    <xf numFmtId="0" fontId="18" fillId="0" borderId="15" xfId="2" applyFont="1" applyBorder="1"/>
    <xf numFmtId="0" fontId="18" fillId="0" borderId="12" xfId="2" applyFont="1" applyBorder="1"/>
    <xf numFmtId="0" fontId="18" fillId="0" borderId="10" xfId="2" applyFont="1" applyBorder="1"/>
    <xf numFmtId="0" fontId="18" fillId="0" borderId="12" xfId="3" applyFont="1" applyBorder="1" applyAlignment="1">
      <alignment horizontal="left"/>
    </xf>
    <xf numFmtId="0" fontId="18" fillId="0" borderId="11" xfId="2" applyFont="1" applyBorder="1" applyAlignment="1">
      <alignment horizontal="left"/>
    </xf>
    <xf numFmtId="0" fontId="18" fillId="0" borderId="6" xfId="2" applyFont="1" applyBorder="1" applyAlignment="1">
      <alignment horizontal="left"/>
    </xf>
    <xf numFmtId="0" fontId="18" fillId="0" borderId="3" xfId="2" applyFont="1" applyBorder="1" applyAlignment="1">
      <alignment horizontal="left"/>
    </xf>
    <xf numFmtId="0" fontId="18" fillId="0" borderId="8" xfId="1" applyFont="1" applyBorder="1" applyAlignment="1">
      <alignment horizontal="center"/>
    </xf>
    <xf numFmtId="0" fontId="18" fillId="0" borderId="12" xfId="1" applyFont="1" applyBorder="1"/>
    <xf numFmtId="1" fontId="18" fillId="0" borderId="15" xfId="0" applyNumberFormat="1" applyFont="1" applyBorder="1" applyAlignment="1">
      <alignment horizontal="center"/>
    </xf>
    <xf numFmtId="0" fontId="22" fillId="0" borderId="0" xfId="0" applyFont="1"/>
    <xf numFmtId="0" fontId="5" fillId="0" borderId="1" xfId="0" applyFont="1" applyBorder="1" applyAlignment="1">
      <alignment horizontal="center"/>
    </xf>
    <xf numFmtId="2" fontId="18" fillId="0" borderId="4" xfId="0" applyNumberFormat="1" applyFont="1" applyBorder="1" applyAlignment="1">
      <alignment horizontal="right" vertical="center" wrapText="1"/>
    </xf>
    <xf numFmtId="2" fontId="18" fillId="0" borderId="1" xfId="0" applyNumberFormat="1" applyFont="1" applyBorder="1" applyAlignment="1">
      <alignment horizontal="right" vertical="center" wrapText="1"/>
    </xf>
    <xf numFmtId="2" fontId="18" fillId="0" borderId="1" xfId="0" applyNumberFormat="1" applyFont="1" applyBorder="1" applyAlignment="1">
      <alignment horizontal="right"/>
    </xf>
    <xf numFmtId="0" fontId="18" fillId="0" borderId="7" xfId="0" applyFont="1" applyBorder="1" applyAlignment="1">
      <alignment horizontal="center"/>
    </xf>
    <xf numFmtId="2" fontId="18" fillId="0" borderId="2" xfId="1" applyNumberFormat="1" applyFont="1" applyBorder="1"/>
    <xf numFmtId="2" fontId="18" fillId="0" borderId="4" xfId="1" quotePrefix="1" applyNumberFormat="1" applyFont="1" applyBorder="1" applyAlignment="1">
      <alignment horizontal="right"/>
    </xf>
    <xf numFmtId="166" fontId="18" fillId="0" borderId="4" xfId="1" applyNumberFormat="1" applyFont="1" applyBorder="1" applyAlignment="1">
      <alignment horizontal="right" vertical="center"/>
    </xf>
    <xf numFmtId="0" fontId="18" fillId="0" borderId="7" xfId="1" applyFont="1" applyBorder="1" applyAlignment="1">
      <alignment horizontal="left"/>
    </xf>
    <xf numFmtId="0" fontId="18" fillId="0" borderId="8" xfId="1" applyFont="1" applyBorder="1" applyAlignment="1">
      <alignment horizontal="left"/>
    </xf>
    <xf numFmtId="0" fontId="5" fillId="0" borderId="2" xfId="0" applyFont="1" applyBorder="1" applyAlignment="1">
      <alignment horizontal="left"/>
    </xf>
    <xf numFmtId="0" fontId="18" fillId="0" borderId="16" xfId="0" applyFont="1" applyBorder="1"/>
    <xf numFmtId="49" fontId="18" fillId="0" borderId="4" xfId="1" applyNumberFormat="1"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49" fontId="18" fillId="0" borderId="4" xfId="0" applyNumberFormat="1" applyFont="1" applyBorder="1" applyAlignment="1">
      <alignment horizontal="center"/>
    </xf>
    <xf numFmtId="164" fontId="18" fillId="0" borderId="4" xfId="1" applyNumberFormat="1" applyFont="1" applyBorder="1"/>
    <xf numFmtId="1" fontId="18" fillId="0" borderId="15" xfId="1" applyNumberFormat="1" applyFont="1" applyBorder="1"/>
    <xf numFmtId="0" fontId="18" fillId="0" borderId="7" xfId="1" applyFont="1" applyBorder="1" applyAlignment="1">
      <alignment horizontal="left" vertical="top"/>
    </xf>
    <xf numFmtId="0" fontId="18" fillId="0" borderId="8" xfId="1" applyFont="1" applyBorder="1" applyAlignment="1">
      <alignment horizontal="left" vertical="top"/>
    </xf>
    <xf numFmtId="0" fontId="18" fillId="0" borderId="9" xfId="1" applyFont="1" applyBorder="1" applyAlignment="1">
      <alignment horizontal="left" vertical="top"/>
    </xf>
    <xf numFmtId="0" fontId="18" fillId="0" borderId="0" xfId="0" applyFont="1" applyAlignment="1">
      <alignment horizontal="left"/>
    </xf>
    <xf numFmtId="0" fontId="5" fillId="0" borderId="16" xfId="0" applyFont="1" applyBorder="1"/>
    <xf numFmtId="0" fontId="5" fillId="0" borderId="15" xfId="0" applyFont="1" applyBorder="1"/>
    <xf numFmtId="0" fontId="5" fillId="0" borderId="8" xfId="0" applyFont="1" applyBorder="1"/>
    <xf numFmtId="0" fontId="5" fillId="0" borderId="8" xfId="0" applyFont="1" applyBorder="1" applyAlignment="1">
      <alignment horizontal="right"/>
    </xf>
    <xf numFmtId="0" fontId="5" fillId="0" borderId="6" xfId="0" applyFont="1" applyBorder="1"/>
    <xf numFmtId="0" fontId="5" fillId="0" borderId="6" xfId="0" applyFont="1" applyBorder="1" applyAlignment="1">
      <alignment horizontal="right"/>
    </xf>
    <xf numFmtId="0" fontId="5" fillId="0" borderId="2" xfId="0" applyFont="1" applyBorder="1" applyAlignment="1">
      <alignment horizontal="center" vertical="top" wrapText="1"/>
    </xf>
    <xf numFmtId="0" fontId="5" fillId="0" borderId="13" xfId="0" applyFont="1" applyBorder="1" applyAlignment="1">
      <alignment horizontal="center" vertical="top" wrapText="1"/>
    </xf>
    <xf numFmtId="2" fontId="18" fillId="0" borderId="14" xfId="0" applyNumberFormat="1" applyFont="1" applyBorder="1"/>
    <xf numFmtId="0" fontId="5" fillId="2" borderId="17" xfId="4" applyFont="1" applyFill="1" applyBorder="1"/>
    <xf numFmtId="0" fontId="18" fillId="0" borderId="0" xfId="4" applyFont="1"/>
    <xf numFmtId="0" fontId="5" fillId="0" borderId="17" xfId="4" applyFont="1" applyBorder="1"/>
    <xf numFmtId="0" fontId="5" fillId="0" borderId="20" xfId="4" applyFont="1" applyBorder="1"/>
    <xf numFmtId="0" fontId="5" fillId="0" borderId="4" xfId="4" applyFont="1" applyBorder="1"/>
    <xf numFmtId="0" fontId="18" fillId="0" borderId="17" xfId="4" applyFont="1" applyBorder="1"/>
    <xf numFmtId="0" fontId="18" fillId="0" borderId="19" xfId="4" applyFont="1" applyBorder="1"/>
    <xf numFmtId="0" fontId="5" fillId="0" borderId="26" xfId="4" applyFont="1" applyBorder="1" applyAlignment="1">
      <alignment horizontal="center"/>
    </xf>
    <xf numFmtId="0" fontId="5" fillId="0" borderId="18" xfId="4" applyFont="1" applyBorder="1" applyAlignment="1">
      <alignment horizontal="center"/>
    </xf>
    <xf numFmtId="0" fontId="5" fillId="0" borderId="19" xfId="4" applyFont="1" applyBorder="1" applyAlignment="1">
      <alignment horizontal="center"/>
    </xf>
    <xf numFmtId="2" fontId="18" fillId="0" borderId="19" xfId="4" applyNumberFormat="1" applyFont="1" applyBorder="1" applyAlignment="1">
      <alignment horizontal="right"/>
    </xf>
    <xf numFmtId="2" fontId="18" fillId="0" borderId="19" xfId="4" applyNumberFormat="1" applyFont="1" applyBorder="1"/>
    <xf numFmtId="2" fontId="18" fillId="0" borderId="22" xfId="4" applyNumberFormat="1" applyFont="1" applyBorder="1"/>
    <xf numFmtId="0" fontId="18" fillId="0" borderId="27" xfId="4" applyFont="1" applyBorder="1"/>
    <xf numFmtId="0" fontId="18" fillId="0" borderId="28" xfId="4" applyFont="1" applyBorder="1"/>
    <xf numFmtId="0" fontId="18" fillId="0" borderId="28" xfId="4" applyFont="1" applyBorder="1" applyAlignment="1">
      <alignment horizontal="center"/>
    </xf>
    <xf numFmtId="0" fontId="18" fillId="0" borderId="23" xfId="4" applyFont="1" applyBorder="1" applyAlignment="1">
      <alignment horizontal="center"/>
    </xf>
    <xf numFmtId="0" fontId="18" fillId="0" borderId="0" xfId="4" applyFont="1" applyAlignment="1">
      <alignment horizontal="left" wrapText="1"/>
    </xf>
    <xf numFmtId="0" fontId="18" fillId="0" borderId="6" xfId="4" applyFont="1" applyBorder="1" applyAlignment="1">
      <alignment horizontal="left" wrapText="1"/>
    </xf>
    <xf numFmtId="2" fontId="18" fillId="0" borderId="19" xfId="4" quotePrefix="1" applyNumberFormat="1" applyFont="1" applyBorder="1"/>
    <xf numFmtId="2" fontId="18" fillId="0" borderId="19" xfId="4" applyNumberFormat="1" applyFont="1" applyBorder="1" applyAlignment="1">
      <alignment wrapText="1"/>
    </xf>
    <xf numFmtId="0" fontId="5" fillId="0" borderId="20" xfId="4" applyFont="1" applyBorder="1" applyAlignment="1">
      <alignment horizontal="center"/>
    </xf>
    <xf numFmtId="0" fontId="5" fillId="0" borderId="4" xfId="4" applyFont="1" applyBorder="1" applyAlignment="1">
      <alignment horizontal="center"/>
    </xf>
    <xf numFmtId="2" fontId="18" fillId="0" borderId="20" xfId="4" applyNumberFormat="1" applyFont="1" applyBorder="1"/>
    <xf numFmtId="0" fontId="18" fillId="0" borderId="29" xfId="4" applyFont="1" applyBorder="1" applyAlignment="1">
      <alignment horizontal="center"/>
    </xf>
    <xf numFmtId="0" fontId="18" fillId="0" borderId="15" xfId="4" applyFont="1" applyBorder="1" applyAlignment="1">
      <alignment horizontal="center"/>
    </xf>
    <xf numFmtId="0" fontId="18" fillId="0" borderId="7" xfId="4" applyFont="1" applyBorder="1"/>
    <xf numFmtId="0" fontId="18" fillId="0" borderId="8" xfId="4" applyFont="1" applyBorder="1"/>
    <xf numFmtId="0" fontId="18" fillId="0" borderId="9" xfId="4" applyFont="1" applyBorder="1"/>
    <xf numFmtId="0" fontId="18" fillId="0" borderId="12" xfId="4" applyFont="1" applyBorder="1"/>
    <xf numFmtId="0" fontId="18" fillId="0" borderId="10" xfId="4" applyFont="1" applyBorder="1"/>
    <xf numFmtId="0" fontId="18" fillId="0" borderId="11" xfId="4" applyFont="1" applyBorder="1"/>
    <xf numFmtId="0" fontId="18" fillId="0" borderId="6" xfId="4" applyFont="1" applyBorder="1"/>
    <xf numFmtId="0" fontId="18" fillId="0" borderId="3" xfId="4" applyFont="1" applyBorder="1"/>
    <xf numFmtId="0" fontId="5" fillId="0" borderId="21" xfId="4" applyFont="1" applyBorder="1" applyAlignment="1">
      <alignment horizontal="center"/>
    </xf>
    <xf numFmtId="2" fontId="18" fillId="0" borderId="21" xfId="4" applyNumberFormat="1" applyFont="1" applyBorder="1"/>
    <xf numFmtId="2" fontId="18" fillId="0" borderId="22" xfId="4" applyNumberFormat="1" applyFont="1" applyBorder="1" applyAlignment="1">
      <alignment horizontal="right"/>
    </xf>
    <xf numFmtId="0" fontId="18" fillId="0" borderId="0" xfId="4" applyFont="1" applyAlignment="1">
      <alignment horizontal="center"/>
    </xf>
    <xf numFmtId="0" fontId="5" fillId="0" borderId="0" xfId="4" applyFont="1" applyAlignment="1">
      <alignment horizontal="center"/>
    </xf>
    <xf numFmtId="0" fontId="5" fillId="0" borderId="28" xfId="4" applyFont="1" applyBorder="1" applyAlignment="1">
      <alignment horizontal="center"/>
    </xf>
    <xf numFmtId="0" fontId="5" fillId="0" borderId="29" xfId="4" applyFont="1" applyBorder="1" applyAlignment="1">
      <alignment horizontal="center"/>
    </xf>
    <xf numFmtId="2" fontId="18" fillId="0" borderId="4" xfId="4" applyNumberFormat="1" applyFont="1" applyBorder="1" applyAlignment="1">
      <alignment horizontal="right"/>
    </xf>
    <xf numFmtId="2" fontId="18" fillId="0" borderId="26" xfId="4" applyNumberFormat="1" applyFont="1" applyBorder="1" applyAlignment="1">
      <alignment horizontal="right"/>
    </xf>
    <xf numFmtId="0" fontId="18" fillId="0" borderId="19" xfId="4" applyFont="1" applyBorder="1" applyAlignment="1">
      <alignment horizontal="right"/>
    </xf>
    <xf numFmtId="0" fontId="18" fillId="0" borderId="20" xfId="4" applyFont="1" applyBorder="1"/>
    <xf numFmtId="0" fontId="18" fillId="0" borderId="8" xfId="4" applyFont="1" applyBorder="1" applyAlignment="1">
      <alignment horizontal="center"/>
    </xf>
    <xf numFmtId="49" fontId="18" fillId="0" borderId="4" xfId="1" quotePrefix="1" applyNumberFormat="1" applyFont="1" applyBorder="1" applyAlignment="1">
      <alignment horizontal="center" wrapText="1"/>
    </xf>
    <xf numFmtId="0" fontId="18" fillId="0" borderId="6" xfId="0" applyFont="1" applyBorder="1" applyAlignment="1">
      <alignment horizontal="center"/>
    </xf>
    <xf numFmtId="0" fontId="7" fillId="0" borderId="6" xfId="0" applyFont="1" applyBorder="1" applyAlignment="1">
      <alignment horizontal="left" vertical="center" wrapText="1"/>
    </xf>
    <xf numFmtId="0" fontId="7" fillId="0" borderId="11" xfId="0" applyFont="1" applyBorder="1" applyAlignment="1">
      <alignment horizontal="left" vertical="center"/>
    </xf>
    <xf numFmtId="0" fontId="7" fillId="0" borderId="0" xfId="0" applyFont="1" applyAlignment="1">
      <alignment horizontal="left" vertical="center"/>
    </xf>
    <xf numFmtId="0" fontId="16" fillId="0" borderId="5" xfId="0" applyFont="1" applyBorder="1"/>
    <xf numFmtId="0" fontId="18" fillId="0" borderId="5" xfId="0" applyFont="1" applyBorder="1"/>
    <xf numFmtId="2" fontId="6" fillId="0" borderId="4" xfId="0" applyNumberFormat="1" applyFont="1" applyBorder="1" applyAlignment="1">
      <alignment horizontal="right" vertical="center"/>
    </xf>
    <xf numFmtId="0" fontId="18" fillId="0" borderId="0" xfId="0" applyFont="1" applyAlignment="1">
      <alignment horizontal="left" wrapText="1"/>
    </xf>
    <xf numFmtId="0" fontId="19" fillId="0" borderId="15" xfId="0" applyFont="1" applyBorder="1" applyAlignment="1">
      <alignment horizontal="right"/>
    </xf>
    <xf numFmtId="0" fontId="19" fillId="0" borderId="8" xfId="0" applyFont="1" applyBorder="1" applyAlignment="1">
      <alignment horizontal="right"/>
    </xf>
    <xf numFmtId="0" fontId="19" fillId="0" borderId="9" xfId="0" applyFont="1" applyBorder="1" applyAlignment="1">
      <alignment horizontal="right"/>
    </xf>
    <xf numFmtId="0" fontId="18" fillId="0" borderId="1" xfId="1" applyFont="1" applyBorder="1" applyAlignment="1">
      <alignment horizontal="left"/>
    </xf>
    <xf numFmtId="0" fontId="18" fillId="0" borderId="5" xfId="1" applyFont="1" applyBorder="1" applyAlignment="1">
      <alignment horizontal="left"/>
    </xf>
    <xf numFmtId="0" fontId="18" fillId="0" borderId="15" xfId="1" applyFont="1" applyBorder="1" applyAlignment="1">
      <alignment wrapText="1"/>
    </xf>
    <xf numFmtId="0" fontId="18" fillId="0" borderId="9" xfId="1" applyFont="1" applyBorder="1" applyAlignment="1">
      <alignment wrapText="1"/>
    </xf>
    <xf numFmtId="0" fontId="7" fillId="0" borderId="9" xfId="1" applyFont="1" applyBorder="1" applyAlignment="1">
      <alignment wrapText="1"/>
    </xf>
    <xf numFmtId="0" fontId="18" fillId="0" borderId="12" xfId="0" applyFont="1" applyBorder="1" applyAlignment="1">
      <alignment wrapText="1"/>
    </xf>
    <xf numFmtId="0" fontId="18" fillId="0" borderId="6" xfId="1" applyFont="1" applyBorder="1" applyAlignment="1">
      <alignment wrapText="1"/>
    </xf>
    <xf numFmtId="167" fontId="7" fillId="0" borderId="15" xfId="2" applyNumberFormat="1" applyFont="1" applyBorder="1"/>
    <xf numFmtId="40" fontId="7" fillId="0" borderId="5" xfId="2" applyNumberFormat="1" applyFont="1" applyBorder="1"/>
    <xf numFmtId="40" fontId="7" fillId="0" borderId="2" xfId="2" applyNumberFormat="1" applyFont="1" applyBorder="1"/>
    <xf numFmtId="166" fontId="7" fillId="0" borderId="0" xfId="2" applyNumberFormat="1" applyFont="1" applyAlignment="1">
      <alignment horizontal="center"/>
    </xf>
    <xf numFmtId="0" fontId="7" fillId="0" borderId="0" xfId="3" applyFont="1" applyAlignment="1">
      <alignment wrapText="1"/>
    </xf>
    <xf numFmtId="0" fontId="18" fillId="0" borderId="8" xfId="2" applyFont="1" applyBorder="1"/>
    <xf numFmtId="0" fontId="18" fillId="0" borderId="9" xfId="2" applyFont="1" applyBorder="1"/>
    <xf numFmtId="0" fontId="18" fillId="0" borderId="0" xfId="2" applyFont="1" applyAlignment="1">
      <alignment horizontal="left"/>
    </xf>
    <xf numFmtId="0" fontId="18" fillId="0" borderId="0" xfId="2" applyFont="1" applyAlignment="1">
      <alignment horizontal="center"/>
    </xf>
    <xf numFmtId="168" fontId="18" fillId="0" borderId="0" xfId="2" applyNumberFormat="1" applyFont="1"/>
    <xf numFmtId="166" fontId="18" fillId="0" borderId="0" xfId="2" applyNumberFormat="1" applyFont="1" applyAlignment="1">
      <alignment horizontal="center"/>
    </xf>
    <xf numFmtId="0" fontId="7" fillId="0" borderId="0" xfId="1" applyFont="1" applyAlignment="1">
      <alignment horizontal="center"/>
    </xf>
    <xf numFmtId="0" fontId="5" fillId="0" borderId="0" xfId="0" applyFont="1" applyAlignment="1">
      <alignment horizontal="right"/>
    </xf>
    <xf numFmtId="0" fontId="18" fillId="0" borderId="8" xfId="4" applyFont="1" applyBorder="1" applyAlignment="1">
      <alignment wrapText="1"/>
    </xf>
    <xf numFmtId="0" fontId="18" fillId="0" borderId="6" xfId="4" applyFont="1" applyBorder="1" applyAlignment="1">
      <alignment wrapText="1"/>
    </xf>
    <xf numFmtId="0" fontId="18" fillId="0" borderId="12" xfId="4" applyFont="1" applyBorder="1" applyAlignment="1">
      <alignment horizontal="left"/>
    </xf>
    <xf numFmtId="0" fontId="18" fillId="0" borderId="0" xfId="4" applyFont="1" applyAlignment="1">
      <alignment wrapText="1"/>
    </xf>
    <xf numFmtId="0" fontId="18" fillId="0" borderId="9" xfId="4" applyFont="1" applyBorder="1" applyAlignment="1">
      <alignment horizontal="center"/>
    </xf>
    <xf numFmtId="2" fontId="6" fillId="0" borderId="19" xfId="4" applyNumberFormat="1" applyFont="1" applyBorder="1" applyAlignment="1">
      <alignment horizontal="right"/>
    </xf>
    <xf numFmtId="0" fontId="6" fillId="0" borderId="1" xfId="4" applyFont="1" applyBorder="1"/>
    <xf numFmtId="2" fontId="18" fillId="0" borderId="7" xfId="0" applyNumberFormat="1" applyFont="1" applyBorder="1"/>
    <xf numFmtId="2" fontId="18" fillId="0" borderId="15" xfId="0" applyNumberFormat="1" applyFont="1" applyBorder="1"/>
    <xf numFmtId="0" fontId="5" fillId="0" borderId="6" xfId="0" applyFont="1" applyBorder="1" applyAlignment="1">
      <alignment horizontal="center"/>
    </xf>
    <xf numFmtId="0" fontId="18" fillId="0" borderId="9" xfId="1" applyFont="1" applyBorder="1" applyAlignment="1">
      <alignment horizontal="center"/>
    </xf>
    <xf numFmtId="0" fontId="18" fillId="0" borderId="11" xfId="1" applyFont="1" applyBorder="1" applyAlignment="1">
      <alignment horizontal="left" vertical="center"/>
    </xf>
    <xf numFmtId="0" fontId="18" fillId="0" borderId="6" xfId="1" applyFont="1" applyBorder="1" applyAlignment="1">
      <alignment horizontal="left" vertical="center"/>
    </xf>
    <xf numFmtId="0" fontId="18" fillId="0" borderId="3" xfId="1" applyFont="1" applyBorder="1" applyAlignment="1">
      <alignment horizontal="left" vertical="center"/>
    </xf>
    <xf numFmtId="0" fontId="18" fillId="0" borderId="12" xfId="1" applyFont="1" applyBorder="1" applyAlignment="1">
      <alignment horizontal="left" wrapText="1"/>
    </xf>
    <xf numFmtId="0" fontId="8" fillId="2" borderId="2" xfId="0" applyFont="1" applyFill="1" applyBorder="1"/>
    <xf numFmtId="0" fontId="8" fillId="2" borderId="2" xfId="1" applyFont="1" applyFill="1" applyBorder="1"/>
    <xf numFmtId="0" fontId="5" fillId="2" borderId="2" xfId="0" applyFont="1" applyFill="1" applyBorder="1"/>
    <xf numFmtId="0" fontId="5" fillId="2" borderId="2" xfId="1" applyFont="1" applyFill="1" applyBorder="1"/>
    <xf numFmtId="0" fontId="8" fillId="2" borderId="2" xfId="0" applyFont="1" applyFill="1" applyBorder="1" applyAlignment="1">
      <alignment wrapText="1"/>
    </xf>
    <xf numFmtId="0" fontId="5" fillId="2" borderId="18" xfId="4" applyFont="1" applyFill="1" applyBorder="1"/>
    <xf numFmtId="0" fontId="5" fillId="0" borderId="11" xfId="1" applyFont="1" applyBorder="1"/>
    <xf numFmtId="0" fontId="5" fillId="0" borderId="3" xfId="1" applyFont="1" applyBorder="1"/>
    <xf numFmtId="0" fontId="5" fillId="2" borderId="1" xfId="0" applyFont="1" applyFill="1" applyBorder="1"/>
    <xf numFmtId="0" fontId="5" fillId="2" borderId="2" xfId="0" applyFont="1" applyFill="1" applyBorder="1" applyAlignment="1">
      <alignment horizontal="center"/>
    </xf>
    <xf numFmtId="0" fontId="5" fillId="0" borderId="12" xfId="1" applyFont="1" applyBorder="1"/>
    <xf numFmtId="0" fontId="5" fillId="0" borderId="10" xfId="1" applyFont="1" applyBorder="1"/>
    <xf numFmtId="0" fontId="8" fillId="0" borderId="11" xfId="1" applyFont="1" applyBorder="1"/>
    <xf numFmtId="0" fontId="8" fillId="0" borderId="3" xfId="0" applyFont="1" applyBorder="1" applyAlignment="1">
      <alignment horizontal="center"/>
    </xf>
    <xf numFmtId="0" fontId="8" fillId="2" borderId="2" xfId="0" applyFont="1" applyFill="1" applyBorder="1" applyAlignment="1">
      <alignment horizontal="center"/>
    </xf>
    <xf numFmtId="0" fontId="8" fillId="0" borderId="11" xfId="2" applyFont="1" applyBorder="1"/>
    <xf numFmtId="0" fontId="8" fillId="0" borderId="3" xfId="2" applyFont="1" applyBorder="1"/>
    <xf numFmtId="0" fontId="8" fillId="0" borderId="3" xfId="1" applyFont="1" applyBorder="1"/>
    <xf numFmtId="0" fontId="8" fillId="5" borderId="1" xfId="1" applyFont="1" applyFill="1" applyBorder="1"/>
    <xf numFmtId="0" fontId="18" fillId="0" borderId="10" xfId="0" applyFont="1" applyBorder="1" applyAlignment="1">
      <alignment horizontal="left" wrapText="1"/>
    </xf>
    <xf numFmtId="1" fontId="18" fillId="0" borderId="4" xfId="0" applyNumberFormat="1" applyFont="1" applyBorder="1" applyAlignment="1">
      <alignment wrapText="1"/>
    </xf>
    <xf numFmtId="0" fontId="23" fillId="0" borderId="0" xfId="0" applyFont="1"/>
    <xf numFmtId="0" fontId="23" fillId="0" borderId="4" xfId="0" applyFont="1" applyBorder="1"/>
    <xf numFmtId="0" fontId="5" fillId="2" borderId="24" xfId="1" applyFont="1" applyFill="1" applyBorder="1"/>
    <xf numFmtId="0" fontId="5" fillId="0" borderId="24" xfId="1" applyFont="1" applyBorder="1"/>
    <xf numFmtId="0" fontId="5" fillId="0" borderId="0" xfId="1" applyFont="1"/>
    <xf numFmtId="2" fontId="18" fillId="0" borderId="5" xfId="1" applyNumberFormat="1" applyFont="1" applyBorder="1"/>
    <xf numFmtId="2" fontId="18" fillId="0" borderId="0" xfId="1" applyNumberFormat="1" applyFont="1"/>
    <xf numFmtId="0" fontId="19" fillId="0" borderId="12" xfId="0" applyFont="1" applyBorder="1" applyAlignment="1">
      <alignment horizontal="left"/>
    </xf>
    <xf numFmtId="0" fontId="19" fillId="0" borderId="0" xfId="0" applyFont="1" applyAlignment="1">
      <alignment horizontal="left"/>
    </xf>
    <xf numFmtId="0" fontId="18" fillId="0" borderId="0" xfId="1" applyFont="1" applyAlignment="1">
      <alignment horizontal="left"/>
    </xf>
    <xf numFmtId="0" fontId="18" fillId="0" borderId="24" xfId="1" applyFont="1" applyBorder="1"/>
    <xf numFmtId="0" fontId="18" fillId="0" borderId="25" xfId="1" applyFont="1" applyBorder="1"/>
    <xf numFmtId="39" fontId="18" fillId="0" borderId="4" xfId="1" applyNumberFormat="1" applyFont="1" applyBorder="1"/>
    <xf numFmtId="39" fontId="18" fillId="0" borderId="2" xfId="1" applyNumberFormat="1" applyFont="1" applyBorder="1"/>
    <xf numFmtId="0" fontId="18" fillId="0" borderId="5" xfId="1" applyFont="1" applyBorder="1"/>
    <xf numFmtId="170" fontId="18" fillId="0" borderId="2" xfId="1" applyNumberFormat="1" applyFont="1" applyBorder="1"/>
    <xf numFmtId="164" fontId="18" fillId="0" borderId="4" xfId="1" applyNumberFormat="1" applyFont="1" applyBorder="1" applyAlignment="1">
      <alignment wrapText="1"/>
    </xf>
    <xf numFmtId="0" fontId="5" fillId="0" borderId="16" xfId="1" applyFont="1" applyBorder="1"/>
    <xf numFmtId="0" fontId="18" fillId="0" borderId="7" xfId="1" applyFont="1" applyBorder="1" applyAlignment="1">
      <alignment vertical="top" wrapText="1"/>
    </xf>
    <xf numFmtId="0" fontId="18" fillId="0" borderId="8" xfId="1" applyFont="1" applyBorder="1" applyAlignment="1">
      <alignment vertical="top" wrapText="1"/>
    </xf>
    <xf numFmtId="0" fontId="18" fillId="0" borderId="9" xfId="1" applyFont="1" applyBorder="1" applyAlignment="1">
      <alignment vertical="top" wrapText="1"/>
    </xf>
    <xf numFmtId="0" fontId="18" fillId="0" borderId="1" xfId="1" applyFont="1" applyBorder="1" applyAlignment="1">
      <alignment vertical="top"/>
    </xf>
    <xf numFmtId="0" fontId="18" fillId="0" borderId="5" xfId="1" applyFont="1" applyBorder="1" applyAlignment="1">
      <alignment vertical="top" wrapText="1"/>
    </xf>
    <xf numFmtId="164" fontId="18" fillId="0" borderId="2" xfId="1" applyNumberFormat="1" applyFont="1" applyBorder="1"/>
    <xf numFmtId="1" fontId="18" fillId="0" borderId="8" xfId="1" applyNumberFormat="1" applyFont="1" applyBorder="1"/>
    <xf numFmtId="1" fontId="18" fillId="0" borderId="9" xfId="1" applyNumberFormat="1" applyFont="1" applyBorder="1"/>
    <xf numFmtId="0" fontId="18" fillId="0" borderId="2" xfId="1" applyFont="1" applyBorder="1"/>
    <xf numFmtId="0" fontId="18" fillId="2" borderId="1" xfId="0" applyFont="1" applyFill="1" applyBorder="1"/>
    <xf numFmtId="0" fontId="18" fillId="0" borderId="6" xfId="0" applyFont="1" applyBorder="1" applyAlignment="1" applyProtection="1">
      <alignment wrapText="1"/>
      <protection locked="0"/>
    </xf>
    <xf numFmtId="0" fontId="5" fillId="0" borderId="15" xfId="0" applyFont="1" applyBorder="1" applyAlignment="1">
      <alignment horizontal="center"/>
    </xf>
    <xf numFmtId="0" fontId="18" fillId="0" borderId="11" xfId="0" applyFont="1" applyBorder="1" applyAlignment="1">
      <alignment vertical="top"/>
    </xf>
    <xf numFmtId="0" fontId="18" fillId="0" borderId="6" xfId="0" applyFont="1" applyBorder="1" applyAlignment="1">
      <alignment vertical="top" wrapText="1"/>
    </xf>
    <xf numFmtId="0" fontId="18" fillId="0" borderId="3" xfId="0" applyFont="1" applyBorder="1" applyAlignment="1">
      <alignment vertical="top" wrapText="1"/>
    </xf>
    <xf numFmtId="0" fontId="5" fillId="2" borderId="1" xfId="2" applyFont="1" applyFill="1" applyBorder="1"/>
    <xf numFmtId="0" fontId="5" fillId="2" borderId="2" xfId="2" applyFont="1" applyFill="1" applyBorder="1"/>
    <xf numFmtId="40" fontId="6" fillId="0" borderId="4" xfId="2" applyNumberFormat="1" applyFont="1" applyBorder="1"/>
    <xf numFmtId="168" fontId="6" fillId="0" borderId="4" xfId="2" applyNumberFormat="1" applyFont="1" applyBorder="1"/>
    <xf numFmtId="0" fontId="6" fillId="0" borderId="4" xfId="2" applyFont="1" applyBorder="1" applyAlignment="1">
      <alignment horizontal="center"/>
    </xf>
    <xf numFmtId="40" fontId="6" fillId="0" borderId="15" xfId="2" applyNumberFormat="1" applyFont="1" applyBorder="1"/>
    <xf numFmtId="1" fontId="17" fillId="0" borderId="4" xfId="2" applyNumberFormat="1" applyFont="1" applyBorder="1" applyAlignment="1">
      <alignment horizontal="center" vertical="top"/>
    </xf>
    <xf numFmtId="0" fontId="6" fillId="0" borderId="15" xfId="2" applyFont="1" applyBorder="1" applyAlignment="1">
      <alignment horizontal="center"/>
    </xf>
    <xf numFmtId="0" fontId="18" fillId="0" borderId="12" xfId="3" applyFont="1" applyBorder="1"/>
    <xf numFmtId="0" fontId="15" fillId="0" borderId="0" xfId="2" applyFont="1"/>
    <xf numFmtId="0" fontId="15" fillId="0" borderId="0" xfId="2" applyFont="1" applyAlignment="1">
      <alignment horizontal="center"/>
    </xf>
    <xf numFmtId="166" fontId="15" fillId="0" borderId="0" xfId="2" applyNumberFormat="1" applyFont="1" applyAlignment="1">
      <alignment horizontal="center"/>
    </xf>
    <xf numFmtId="0" fontId="7" fillId="0" borderId="0" xfId="3" applyFont="1"/>
    <xf numFmtId="0" fontId="6" fillId="0" borderId="15" xfId="0" applyFont="1" applyBorder="1"/>
    <xf numFmtId="0" fontId="6" fillId="0" borderId="10" xfId="0" applyFont="1" applyBorder="1"/>
    <xf numFmtId="0" fontId="6" fillId="0" borderId="11" xfId="2" applyFont="1" applyBorder="1"/>
    <xf numFmtId="0" fontId="6" fillId="0" borderId="9" xfId="0" applyFont="1" applyBorder="1"/>
    <xf numFmtId="0" fontId="18" fillId="0" borderId="2" xfId="0" applyFont="1" applyBorder="1" applyAlignment="1">
      <alignment horizontal="left"/>
    </xf>
    <xf numFmtId="49" fontId="18" fillId="0" borderId="4" xfId="1" applyNumberFormat="1" applyFont="1" applyBorder="1" applyAlignment="1">
      <alignment horizontal="right" wrapText="1"/>
    </xf>
    <xf numFmtId="2" fontId="18" fillId="0" borderId="19" xfId="4" applyNumberFormat="1" applyFont="1" applyBorder="1" applyAlignment="1">
      <alignment horizontal="left"/>
    </xf>
    <xf numFmtId="2" fontId="18" fillId="0" borderId="22" xfId="4" applyNumberFormat="1" applyFont="1" applyBorder="1" applyAlignment="1">
      <alignment horizontal="center"/>
    </xf>
    <xf numFmtId="0" fontId="18" fillId="0" borderId="1" xfId="4" applyFont="1" applyBorder="1"/>
    <xf numFmtId="0" fontId="18" fillId="0" borderId="5" xfId="4" applyFont="1" applyBorder="1"/>
    <xf numFmtId="0" fontId="18" fillId="0" borderId="5" xfId="4" applyFont="1" applyBorder="1" applyAlignment="1">
      <alignment horizontal="center"/>
    </xf>
    <xf numFmtId="0" fontId="18" fillId="0" borderId="2" xfId="4" applyFont="1" applyBorder="1" applyAlignment="1">
      <alignment horizontal="center"/>
    </xf>
    <xf numFmtId="2" fontId="18" fillId="0" borderId="19" xfId="4" applyNumberFormat="1" applyFont="1" applyBorder="1" applyAlignment="1">
      <alignment horizontal="center"/>
    </xf>
    <xf numFmtId="0" fontId="18" fillId="0" borderId="10" xfId="0" applyFont="1" applyBorder="1" applyAlignment="1">
      <alignment horizontal="left"/>
    </xf>
    <xf numFmtId="0" fontId="18" fillId="0" borderId="6" xfId="0" applyFont="1" applyBorder="1" applyAlignment="1">
      <alignment horizontal="left"/>
    </xf>
    <xf numFmtId="0" fontId="18" fillId="0" borderId="3" xfId="0" applyFont="1" applyBorder="1" applyAlignment="1">
      <alignment horizontal="left"/>
    </xf>
    <xf numFmtId="2" fontId="18" fillId="0" borderId="4" xfId="1" quotePrefix="1" applyNumberFormat="1" applyFont="1" applyBorder="1" applyAlignment="1">
      <alignment horizontal="right" wrapText="1"/>
    </xf>
    <xf numFmtId="0" fontId="18" fillId="0" borderId="2" xfId="1" applyFont="1" applyBorder="1" applyAlignment="1">
      <alignment horizontal="left"/>
    </xf>
    <xf numFmtId="0" fontId="6" fillId="0" borderId="11" xfId="0" applyFont="1" applyBorder="1" applyProtection="1">
      <protection locked="0"/>
    </xf>
    <xf numFmtId="2" fontId="6" fillId="0" borderId="4" xfId="0" applyNumberFormat="1" applyFont="1" applyBorder="1" applyAlignment="1">
      <alignment wrapText="1"/>
    </xf>
    <xf numFmtId="2" fontId="6" fillId="0" borderId="22" xfId="4" applyNumberFormat="1" applyFont="1" applyBorder="1"/>
    <xf numFmtId="0" fontId="6" fillId="0" borderId="11" xfId="4" applyFont="1" applyBorder="1"/>
    <xf numFmtId="0" fontId="18" fillId="0" borderId="11" xfId="1" applyFont="1" applyBorder="1" applyAlignment="1">
      <alignment horizontal="left" wrapText="1"/>
    </xf>
    <xf numFmtId="0" fontId="18" fillId="0" borderId="6" xfId="1" applyFont="1" applyBorder="1" applyAlignment="1">
      <alignment horizontal="left" wrapText="1"/>
    </xf>
    <xf numFmtId="0" fontId="18" fillId="0" borderId="12" xfId="0" applyFont="1" applyBorder="1" applyAlignment="1">
      <alignment horizontal="left" wrapText="1"/>
    </xf>
    <xf numFmtId="0" fontId="18" fillId="0" borderId="0" xfId="0" applyFont="1" applyAlignment="1">
      <alignment horizontal="left" wrapText="1"/>
    </xf>
    <xf numFmtId="0" fontId="18" fillId="0" borderId="7" xfId="0" applyFont="1" applyBorder="1" applyAlignment="1">
      <alignment horizontal="left" wrapText="1"/>
    </xf>
    <xf numFmtId="0" fontId="18" fillId="0" borderId="8" xfId="0" applyFont="1" applyBorder="1" applyAlignment="1">
      <alignment horizontal="left" wrapText="1"/>
    </xf>
    <xf numFmtId="0" fontId="7" fillId="0" borderId="12" xfId="0" applyFont="1" applyBorder="1" applyAlignment="1">
      <alignment horizontal="left" wrapText="1"/>
    </xf>
    <xf numFmtId="0" fontId="7" fillId="0" borderId="0" xfId="0" applyFont="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18" fillId="0" borderId="11" xfId="0" applyFont="1" applyBorder="1" applyAlignment="1">
      <alignment horizontal="left" wrapText="1"/>
    </xf>
    <xf numFmtId="0" fontId="18" fillId="0" borderId="6"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18" fillId="0" borderId="7" xfId="1" applyFont="1" applyBorder="1" applyAlignment="1">
      <alignment horizontal="left"/>
    </xf>
    <xf numFmtId="0" fontId="18" fillId="0" borderId="8" xfId="1" applyFont="1" applyBorder="1" applyAlignment="1">
      <alignment horizontal="left"/>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7" xfId="1" applyFont="1" applyBorder="1" applyAlignment="1">
      <alignment horizontal="left" wrapText="1"/>
    </xf>
    <xf numFmtId="0" fontId="7" fillId="0" borderId="8" xfId="1" applyFont="1" applyBorder="1" applyAlignment="1">
      <alignment horizontal="left" wrapText="1"/>
    </xf>
    <xf numFmtId="0" fontId="18" fillId="0" borderId="11" xfId="1" applyFont="1" applyBorder="1" applyAlignment="1">
      <alignment horizontal="left" vertical="top" wrapText="1"/>
    </xf>
    <xf numFmtId="0" fontId="18" fillId="0" borderId="6" xfId="1" applyFont="1" applyBorder="1" applyAlignment="1">
      <alignment horizontal="left" vertical="top" wrapText="1"/>
    </xf>
    <xf numFmtId="0" fontId="18" fillId="0" borderId="1" xfId="0" applyFont="1" applyBorder="1" applyAlignment="1">
      <alignment horizontal="left" wrapText="1"/>
    </xf>
    <xf numFmtId="0" fontId="18" fillId="0" borderId="5" xfId="0" applyFont="1" applyBorder="1" applyAlignment="1">
      <alignment horizontal="lef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18" fillId="0" borderId="10" xfId="0" applyFont="1" applyBorder="1" applyAlignment="1">
      <alignment horizontal="left" wrapText="1"/>
    </xf>
    <xf numFmtId="0" fontId="18" fillId="0" borderId="4" xfId="0" applyFont="1" applyBorder="1" applyAlignment="1">
      <alignment horizontal="left" wrapText="1"/>
    </xf>
    <xf numFmtId="0" fontId="18" fillId="0" borderId="16" xfId="0" applyFont="1" applyBorder="1" applyAlignment="1">
      <alignment horizontal="left" wrapText="1"/>
    </xf>
    <xf numFmtId="0" fontId="7" fillId="0" borderId="12" xfId="3" applyFont="1" applyBorder="1" applyAlignment="1">
      <alignment horizontal="left" wrapText="1"/>
    </xf>
    <xf numFmtId="0" fontId="7" fillId="0" borderId="0" xfId="3" applyFont="1" applyAlignment="1">
      <alignment horizontal="left" wrapText="1"/>
    </xf>
    <xf numFmtId="0" fontId="7" fillId="0" borderId="3" xfId="0" applyFont="1" applyBorder="1" applyAlignment="1">
      <alignment horizontal="left" wrapText="1"/>
    </xf>
    <xf numFmtId="2" fontId="18" fillId="0" borderId="1" xfId="1" applyNumberFormat="1" applyFont="1" applyBorder="1" applyAlignment="1">
      <alignment horizontal="center"/>
    </xf>
    <xf numFmtId="2" fontId="18" fillId="0" borderId="5" xfId="1" applyNumberFormat="1" applyFont="1" applyBorder="1" applyAlignment="1">
      <alignment horizontal="center"/>
    </xf>
    <xf numFmtId="2" fontId="18" fillId="0" borderId="2" xfId="1" applyNumberFormat="1" applyFont="1" applyBorder="1" applyAlignment="1">
      <alignment horizontal="center"/>
    </xf>
    <xf numFmtId="0" fontId="18" fillId="0" borderId="7" xfId="1" applyFont="1" applyBorder="1" applyAlignment="1">
      <alignment horizontal="left" wrapText="1"/>
    </xf>
    <xf numFmtId="0" fontId="18" fillId="0" borderId="8" xfId="1" applyFont="1" applyBorder="1" applyAlignment="1">
      <alignment horizontal="left" wrapText="1"/>
    </xf>
    <xf numFmtId="0" fontId="18" fillId="0" borderId="4" xfId="1" applyFont="1" applyBorder="1" applyAlignment="1">
      <alignment horizontal="left"/>
    </xf>
    <xf numFmtId="0" fontId="18" fillId="0" borderId="1" xfId="1" applyFont="1" applyBorder="1" applyAlignment="1">
      <alignment horizontal="left"/>
    </xf>
    <xf numFmtId="0" fontId="18" fillId="0" borderId="5" xfId="1" applyFont="1" applyBorder="1" applyAlignment="1">
      <alignment horizontal="left"/>
    </xf>
    <xf numFmtId="0" fontId="19" fillId="0" borderId="7" xfId="0" applyFont="1" applyBorder="1" applyAlignment="1">
      <alignment horizontal="left"/>
    </xf>
    <xf numFmtId="0" fontId="19" fillId="0" borderId="8" xfId="0" applyFont="1" applyBorder="1" applyAlignment="1">
      <alignment horizontal="left"/>
    </xf>
    <xf numFmtId="0" fontId="18" fillId="0" borderId="1" xfId="1" applyFont="1" applyBorder="1" applyAlignment="1">
      <alignment horizontal="left" wrapText="1"/>
    </xf>
    <xf numFmtId="0" fontId="18" fillId="0" borderId="5" xfId="1" applyFont="1" applyBorder="1" applyAlignment="1">
      <alignment horizontal="left" wrapText="1"/>
    </xf>
    <xf numFmtId="0" fontId="18" fillId="0" borderId="2" xfId="1" applyFont="1" applyBorder="1" applyAlignment="1">
      <alignment horizontal="left" wrapText="1"/>
    </xf>
    <xf numFmtId="0" fontId="7" fillId="0" borderId="7"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865"/>
  <sheetViews>
    <sheetView tabSelected="1" zoomScale="70" zoomScaleNormal="70" workbookViewId="0">
      <selection activeCell="O1321" sqref="O1321"/>
    </sheetView>
  </sheetViews>
  <sheetFormatPr defaultColWidth="9.109375" defaultRowHeight="13.2" x14ac:dyDescent="0.25"/>
  <cols>
    <col min="1" max="1" width="19.88671875" style="19" customWidth="1"/>
    <col min="2" max="9" width="28.5546875" style="19" customWidth="1"/>
    <col min="10" max="10" width="29.44140625" style="19" customWidth="1"/>
    <col min="11" max="11" width="20.6640625" style="19" customWidth="1"/>
    <col min="12" max="12" width="15.88671875" style="19" customWidth="1"/>
    <col min="13" max="16" width="10.33203125" style="19" customWidth="1"/>
    <col min="17" max="16384" width="9.109375" style="19"/>
  </cols>
  <sheetData>
    <row r="1" spans="1:7" ht="13.8" x14ac:dyDescent="0.3">
      <c r="A1" s="24" t="s">
        <v>969</v>
      </c>
      <c r="B1" s="18"/>
      <c r="C1" s="18"/>
      <c r="D1" s="18"/>
      <c r="E1" s="18"/>
      <c r="F1" s="24"/>
      <c r="G1" s="18"/>
    </row>
    <row r="2" spans="1:7" ht="13.8" x14ac:dyDescent="0.3">
      <c r="A2" s="25" t="s">
        <v>970</v>
      </c>
      <c r="B2" s="18"/>
      <c r="C2" s="18"/>
      <c r="D2" s="18"/>
      <c r="E2" s="18"/>
      <c r="F2" s="24"/>
      <c r="G2" s="18"/>
    </row>
    <row r="3" spans="1:7" ht="13.8" x14ac:dyDescent="0.3">
      <c r="A3" s="24" t="s">
        <v>971</v>
      </c>
      <c r="B3" s="18"/>
      <c r="C3" s="18"/>
      <c r="D3" s="18"/>
      <c r="E3" s="18"/>
      <c r="F3" s="24"/>
      <c r="G3" s="18"/>
    </row>
    <row r="4" spans="1:7" ht="13.8" x14ac:dyDescent="0.3">
      <c r="A4" s="24"/>
      <c r="B4" s="18"/>
      <c r="C4" s="18"/>
      <c r="D4" s="18"/>
      <c r="E4" s="18"/>
      <c r="F4" s="24"/>
      <c r="G4" s="18"/>
    </row>
    <row r="5" spans="1:7" ht="13.8" x14ac:dyDescent="0.3">
      <c r="A5" s="115" t="s">
        <v>12</v>
      </c>
      <c r="B5" s="551" t="s">
        <v>792</v>
      </c>
      <c r="C5" s="7"/>
      <c r="F5" s="24"/>
      <c r="G5" s="18"/>
    </row>
    <row r="6" spans="1:7" ht="13.8" x14ac:dyDescent="0.3">
      <c r="A6" s="91" t="s">
        <v>14</v>
      </c>
      <c r="B6" s="55" t="s">
        <v>661</v>
      </c>
      <c r="C6" s="40" t="s">
        <v>15</v>
      </c>
      <c r="F6" s="24"/>
      <c r="G6" s="18"/>
    </row>
    <row r="7" spans="1:7" ht="13.8" x14ac:dyDescent="0.3">
      <c r="A7" s="46" t="s">
        <v>16</v>
      </c>
      <c r="B7" s="22"/>
      <c r="C7" s="22">
        <v>2021</v>
      </c>
      <c r="D7" s="22">
        <v>2022</v>
      </c>
      <c r="E7" s="22">
        <v>2023</v>
      </c>
      <c r="F7" s="24"/>
      <c r="G7" s="18"/>
    </row>
    <row r="8" spans="1:7" ht="13.8" x14ac:dyDescent="0.3">
      <c r="A8" s="46" t="s">
        <v>17</v>
      </c>
      <c r="B8" s="23"/>
      <c r="C8" s="23">
        <v>170</v>
      </c>
      <c r="D8" s="23">
        <v>170</v>
      </c>
      <c r="E8" s="23">
        <v>264</v>
      </c>
      <c r="F8" s="24"/>
      <c r="G8" s="18"/>
    </row>
    <row r="9" spans="1:7" ht="13.8" x14ac:dyDescent="0.3">
      <c r="A9" s="46" t="s">
        <v>18</v>
      </c>
      <c r="B9" s="23"/>
      <c r="C9" s="23"/>
      <c r="D9" s="23">
        <f>D8+0.05*C8</f>
        <v>178.5</v>
      </c>
      <c r="E9" s="23"/>
      <c r="F9" s="24"/>
      <c r="G9" s="18"/>
    </row>
    <row r="10" spans="1:7" ht="13.8" x14ac:dyDescent="0.3">
      <c r="A10" s="46" t="s">
        <v>19</v>
      </c>
      <c r="B10" s="116"/>
      <c r="C10" s="117"/>
      <c r="D10" s="117" t="s">
        <v>793</v>
      </c>
      <c r="E10" s="117"/>
      <c r="F10" s="24"/>
      <c r="G10" s="18"/>
    </row>
    <row r="11" spans="1:7" ht="13.8" x14ac:dyDescent="0.3">
      <c r="A11" s="46" t="s">
        <v>20</v>
      </c>
      <c r="B11" s="23"/>
      <c r="C11" s="23">
        <v>148.4</v>
      </c>
      <c r="D11" s="23">
        <v>177.5</v>
      </c>
      <c r="E11" s="23"/>
      <c r="F11" s="24"/>
      <c r="G11" s="18"/>
    </row>
    <row r="12" spans="1:7" ht="13.8" x14ac:dyDescent="0.3">
      <c r="A12" s="46" t="s">
        <v>21</v>
      </c>
      <c r="B12" s="23"/>
      <c r="C12" s="23">
        <f>C8-C11</f>
        <v>21.599999999999994</v>
      </c>
      <c r="D12" s="23">
        <f>D9-D11</f>
        <v>1</v>
      </c>
      <c r="E12" s="23"/>
      <c r="F12" s="24"/>
      <c r="G12" s="18"/>
    </row>
    <row r="13" spans="1:7" ht="13.8" x14ac:dyDescent="0.3">
      <c r="A13" s="49" t="s">
        <v>22</v>
      </c>
      <c r="B13" s="36"/>
      <c r="C13" s="36">
        <v>2022</v>
      </c>
      <c r="D13" s="36"/>
      <c r="E13" s="36"/>
      <c r="F13" s="24"/>
      <c r="G13" s="18"/>
    </row>
    <row r="14" spans="1:7" ht="13.8" x14ac:dyDescent="0.3">
      <c r="A14" s="49" t="s">
        <v>23</v>
      </c>
      <c r="B14" s="30"/>
      <c r="C14" s="30"/>
      <c r="D14" s="30"/>
      <c r="E14" s="31"/>
      <c r="F14" s="24"/>
      <c r="G14" s="18"/>
    </row>
    <row r="15" spans="1:7" ht="31.95" customHeight="1" x14ac:dyDescent="0.3">
      <c r="A15" s="664" t="s">
        <v>794</v>
      </c>
      <c r="B15" s="665"/>
      <c r="C15" s="665"/>
      <c r="D15" s="665"/>
      <c r="E15" s="671"/>
      <c r="F15" s="24"/>
      <c r="G15" s="18"/>
    </row>
    <row r="16" spans="1:7" ht="13.8" x14ac:dyDescent="0.3">
      <c r="A16" s="24"/>
      <c r="B16" s="18"/>
      <c r="C16" s="18"/>
      <c r="D16" s="18"/>
      <c r="E16" s="18"/>
      <c r="F16" s="24"/>
      <c r="G16" s="18"/>
    </row>
    <row r="17" spans="1:12" ht="13.8" x14ac:dyDescent="0.3">
      <c r="A17" s="24"/>
      <c r="B17" s="18"/>
      <c r="C17" s="18"/>
      <c r="D17" s="18"/>
      <c r="E17" s="18"/>
      <c r="F17" s="24"/>
      <c r="G17" s="18"/>
    </row>
    <row r="18" spans="1:12" x14ac:dyDescent="0.25">
      <c r="A18" s="559" t="s">
        <v>12</v>
      </c>
      <c r="B18" s="553" t="s">
        <v>202</v>
      </c>
      <c r="C18" s="254"/>
      <c r="D18" s="222"/>
      <c r="E18" s="222"/>
      <c r="F18" s="222"/>
      <c r="G18" s="222"/>
      <c r="H18" s="222"/>
      <c r="I18" s="222"/>
      <c r="J18" s="222"/>
      <c r="K18" s="222"/>
      <c r="L18" s="222"/>
    </row>
    <row r="19" spans="1:12" x14ac:dyDescent="0.25">
      <c r="A19" s="262" t="s">
        <v>14</v>
      </c>
      <c r="B19" s="276" t="s">
        <v>638</v>
      </c>
      <c r="C19" s="264" t="s">
        <v>15</v>
      </c>
      <c r="D19" s="222"/>
      <c r="E19" s="222"/>
      <c r="F19" s="222"/>
      <c r="G19" s="222"/>
      <c r="H19" s="222"/>
      <c r="I19" s="222"/>
      <c r="J19" s="222"/>
      <c r="K19" s="222"/>
      <c r="L19" s="222"/>
    </row>
    <row r="20" spans="1:12" x14ac:dyDescent="0.25">
      <c r="A20" s="265" t="s">
        <v>16</v>
      </c>
      <c r="B20" s="227"/>
      <c r="C20" s="227">
        <v>2019</v>
      </c>
      <c r="D20" s="227">
        <v>2020</v>
      </c>
      <c r="E20" s="227">
        <v>2021</v>
      </c>
      <c r="F20" s="227">
        <v>2022</v>
      </c>
      <c r="G20" s="227">
        <v>2023</v>
      </c>
      <c r="H20" s="222"/>
      <c r="I20" s="222"/>
      <c r="J20" s="222"/>
      <c r="K20" s="222"/>
      <c r="L20" s="222"/>
    </row>
    <row r="21" spans="1:12" x14ac:dyDescent="0.25">
      <c r="A21" s="265" t="s">
        <v>17</v>
      </c>
      <c r="B21" s="216"/>
      <c r="C21" s="216">
        <v>215</v>
      </c>
      <c r="D21" s="216">
        <v>215</v>
      </c>
      <c r="E21" s="216">
        <v>242</v>
      </c>
      <c r="F21" s="216">
        <v>242</v>
      </c>
      <c r="G21" s="216">
        <v>242</v>
      </c>
      <c r="H21" s="222"/>
      <c r="I21" s="222"/>
      <c r="J21" s="222"/>
      <c r="K21" s="222"/>
      <c r="L21" s="222"/>
    </row>
    <row r="22" spans="1:12" x14ac:dyDescent="0.25">
      <c r="A22" s="265" t="s">
        <v>18</v>
      </c>
      <c r="B22" s="216"/>
      <c r="C22" s="216">
        <v>265</v>
      </c>
      <c r="D22" s="216">
        <v>265</v>
      </c>
      <c r="E22" s="216">
        <f>E21+0.25*C21</f>
        <v>295.75</v>
      </c>
      <c r="F22" s="216">
        <f>F21+0.25*D21</f>
        <v>295.75</v>
      </c>
      <c r="G22" s="216">
        <f>G21+0.25*E21</f>
        <v>302.5</v>
      </c>
      <c r="H22" s="222"/>
      <c r="I22" s="222"/>
      <c r="J22" s="222"/>
      <c r="K22" s="222"/>
      <c r="L22" s="222"/>
    </row>
    <row r="23" spans="1:12" x14ac:dyDescent="0.25">
      <c r="A23" s="265" t="s">
        <v>19</v>
      </c>
      <c r="B23" s="215"/>
      <c r="C23" s="571">
        <v>1</v>
      </c>
      <c r="D23" s="571">
        <v>2</v>
      </c>
      <c r="E23" s="571">
        <v>3</v>
      </c>
      <c r="F23" s="571">
        <v>4</v>
      </c>
      <c r="G23" s="571">
        <v>5</v>
      </c>
      <c r="H23" s="222"/>
      <c r="I23" s="222"/>
      <c r="J23" s="222"/>
      <c r="K23" s="222"/>
      <c r="L23" s="222"/>
    </row>
    <row r="24" spans="1:12" x14ac:dyDescent="0.25">
      <c r="A24" s="265" t="s">
        <v>20</v>
      </c>
      <c r="B24" s="216"/>
      <c r="C24" s="216">
        <v>7.12</v>
      </c>
      <c r="D24" s="216">
        <v>10.18</v>
      </c>
      <c r="E24" s="216">
        <v>12.5</v>
      </c>
      <c r="F24" s="216">
        <v>11.74</v>
      </c>
      <c r="G24" s="216"/>
      <c r="H24" s="222"/>
      <c r="I24" s="222"/>
      <c r="J24" s="222"/>
      <c r="K24" s="222"/>
      <c r="L24" s="222"/>
    </row>
    <row r="25" spans="1:12" x14ac:dyDescent="0.25">
      <c r="A25" s="265" t="s">
        <v>21</v>
      </c>
      <c r="B25" s="216"/>
      <c r="C25" s="216">
        <f>C22-C24</f>
        <v>257.88</v>
      </c>
      <c r="D25" s="216">
        <f>D22-D24</f>
        <v>254.82</v>
      </c>
      <c r="E25" s="216">
        <f>E22-E24</f>
        <v>283.25</v>
      </c>
      <c r="F25" s="216">
        <f>F22-F24</f>
        <v>284.01</v>
      </c>
      <c r="G25" s="216"/>
      <c r="H25" s="222"/>
      <c r="I25" s="222"/>
      <c r="J25" s="222"/>
      <c r="K25" s="222"/>
      <c r="L25" s="222"/>
    </row>
    <row r="26" spans="1:12" x14ac:dyDescent="0.25">
      <c r="A26" s="219" t="s">
        <v>22</v>
      </c>
      <c r="B26" s="228"/>
      <c r="C26" s="228">
        <v>2021</v>
      </c>
      <c r="D26" s="228">
        <v>2022</v>
      </c>
      <c r="E26" s="228">
        <v>2023</v>
      </c>
      <c r="F26" s="228">
        <v>2024</v>
      </c>
      <c r="G26" s="228">
        <v>2025</v>
      </c>
      <c r="H26" s="222"/>
      <c r="I26" s="222"/>
      <c r="J26" s="222"/>
      <c r="K26" s="222"/>
      <c r="L26" s="222"/>
    </row>
    <row r="27" spans="1:12" x14ac:dyDescent="0.25">
      <c r="A27" s="219" t="s">
        <v>23</v>
      </c>
      <c r="B27" s="220"/>
      <c r="C27" s="220"/>
      <c r="D27" s="220"/>
      <c r="E27" s="220"/>
      <c r="F27" s="220"/>
      <c r="G27" s="218"/>
      <c r="H27" s="222"/>
      <c r="I27" s="222"/>
      <c r="J27" s="222"/>
      <c r="K27" s="222"/>
      <c r="L27" s="222"/>
    </row>
    <row r="28" spans="1:12" x14ac:dyDescent="0.25">
      <c r="A28" s="221" t="s">
        <v>795</v>
      </c>
      <c r="B28" s="222"/>
      <c r="C28" s="222"/>
      <c r="D28" s="222"/>
      <c r="E28" s="222"/>
      <c r="F28" s="222"/>
      <c r="G28" s="223"/>
      <c r="H28" s="222"/>
      <c r="I28" s="222"/>
      <c r="J28" s="222"/>
      <c r="K28" s="222"/>
      <c r="L28" s="222"/>
    </row>
    <row r="29" spans="1:12" x14ac:dyDescent="0.25">
      <c r="A29" s="219">
        <v>1</v>
      </c>
      <c r="B29" s="220" t="s">
        <v>796</v>
      </c>
      <c r="C29" s="220"/>
      <c r="D29" s="220"/>
      <c r="E29" s="220"/>
      <c r="F29" s="220"/>
      <c r="G29" s="218"/>
      <c r="H29" s="222"/>
      <c r="I29" s="222"/>
      <c r="J29" s="222"/>
      <c r="K29" s="222"/>
      <c r="L29" s="222"/>
    </row>
    <row r="30" spans="1:12" x14ac:dyDescent="0.25">
      <c r="A30" s="221">
        <v>2</v>
      </c>
      <c r="B30" s="222" t="s">
        <v>797</v>
      </c>
      <c r="C30" s="222"/>
      <c r="D30" s="222"/>
      <c r="E30" s="222"/>
      <c r="F30" s="222"/>
      <c r="G30" s="223"/>
      <c r="H30" s="222"/>
      <c r="I30" s="222"/>
      <c r="J30" s="222"/>
      <c r="K30" s="222"/>
      <c r="L30" s="222"/>
    </row>
    <row r="31" spans="1:12" x14ac:dyDescent="0.25">
      <c r="A31" s="221">
        <v>3</v>
      </c>
      <c r="B31" s="222" t="s">
        <v>798</v>
      </c>
      <c r="C31" s="222"/>
      <c r="D31" s="222"/>
      <c r="E31" s="222"/>
      <c r="F31" s="222"/>
      <c r="G31" s="223"/>
      <c r="H31" s="222"/>
      <c r="I31" s="222"/>
      <c r="J31" s="222"/>
      <c r="K31" s="222"/>
      <c r="L31" s="222"/>
    </row>
    <row r="32" spans="1:12" x14ac:dyDescent="0.25">
      <c r="A32" s="221">
        <v>4</v>
      </c>
      <c r="B32" s="222" t="s">
        <v>799</v>
      </c>
      <c r="C32" s="222"/>
      <c r="D32" s="222"/>
      <c r="E32" s="222"/>
      <c r="F32" s="222"/>
      <c r="G32" s="223"/>
      <c r="H32" s="222"/>
      <c r="I32" s="222"/>
      <c r="J32" s="222"/>
      <c r="K32" s="222"/>
      <c r="L32" s="222"/>
    </row>
    <row r="33" spans="1:12" x14ac:dyDescent="0.25">
      <c r="A33" s="212">
        <v>5</v>
      </c>
      <c r="B33" s="224" t="s">
        <v>800</v>
      </c>
      <c r="C33" s="224"/>
      <c r="D33" s="224"/>
      <c r="E33" s="224"/>
      <c r="F33" s="224"/>
      <c r="G33" s="225"/>
      <c r="H33" s="222"/>
      <c r="I33" s="222"/>
      <c r="J33" s="222"/>
      <c r="K33" s="222"/>
      <c r="L33" s="222"/>
    </row>
    <row r="34" spans="1:12" x14ac:dyDescent="0.25">
      <c r="A34" s="222"/>
      <c r="B34" s="222"/>
      <c r="C34" s="222"/>
      <c r="D34" s="222"/>
      <c r="E34" s="222"/>
      <c r="F34" s="222"/>
      <c r="G34" s="222"/>
      <c r="H34" s="222"/>
      <c r="I34" s="222"/>
      <c r="J34" s="222"/>
      <c r="K34" s="222"/>
      <c r="L34" s="222"/>
    </row>
    <row r="35" spans="1:12" x14ac:dyDescent="0.25">
      <c r="A35" s="262" t="s">
        <v>14</v>
      </c>
      <c r="B35" s="276" t="s">
        <v>637</v>
      </c>
      <c r="C35" s="264" t="s">
        <v>15</v>
      </c>
      <c r="D35" s="222"/>
      <c r="E35" s="222"/>
      <c r="F35" s="222"/>
      <c r="G35" s="222"/>
      <c r="H35" s="222"/>
      <c r="I35" s="222"/>
      <c r="J35" s="222"/>
      <c r="K35" s="222"/>
      <c r="L35" s="222"/>
    </row>
    <row r="36" spans="1:12" x14ac:dyDescent="0.25">
      <c r="A36" s="265" t="s">
        <v>16</v>
      </c>
      <c r="B36" s="227">
        <v>2018</v>
      </c>
      <c r="C36" s="227">
        <v>2019</v>
      </c>
      <c r="D36" s="227">
        <v>2020</v>
      </c>
      <c r="E36" s="227">
        <v>2021</v>
      </c>
      <c r="F36" s="227">
        <v>2022</v>
      </c>
      <c r="G36" s="227">
        <v>2023</v>
      </c>
      <c r="H36" s="222"/>
      <c r="I36" s="222"/>
      <c r="J36" s="222"/>
      <c r="K36" s="222"/>
      <c r="L36" s="222"/>
    </row>
    <row r="37" spans="1:12" x14ac:dyDescent="0.25">
      <c r="A37" s="265" t="s">
        <v>17</v>
      </c>
      <c r="B37" s="216">
        <v>45</v>
      </c>
      <c r="C37" s="216">
        <v>45</v>
      </c>
      <c r="D37" s="216">
        <v>45</v>
      </c>
      <c r="E37" s="216">
        <v>45</v>
      </c>
      <c r="F37" s="216">
        <v>45</v>
      </c>
      <c r="G37" s="216">
        <v>45</v>
      </c>
      <c r="H37" s="222"/>
      <c r="I37" s="222"/>
      <c r="J37" s="222"/>
      <c r="K37" s="222"/>
      <c r="L37" s="222"/>
    </row>
    <row r="38" spans="1:12" x14ac:dyDescent="0.25">
      <c r="A38" s="265" t="s">
        <v>18</v>
      </c>
      <c r="B38" s="216">
        <v>63</v>
      </c>
      <c r="C38" s="216">
        <v>63</v>
      </c>
      <c r="D38" s="216">
        <v>63</v>
      </c>
      <c r="E38" s="216">
        <v>63</v>
      </c>
      <c r="F38" s="216">
        <v>63</v>
      </c>
      <c r="G38" s="216">
        <v>63</v>
      </c>
      <c r="H38" s="222"/>
      <c r="I38" s="222"/>
      <c r="J38" s="222"/>
      <c r="K38" s="222"/>
      <c r="L38" s="222"/>
    </row>
    <row r="39" spans="1:12" x14ac:dyDescent="0.25">
      <c r="A39" s="265" t="s">
        <v>19</v>
      </c>
      <c r="B39" s="227" t="s">
        <v>301</v>
      </c>
      <c r="C39" s="227" t="s">
        <v>301</v>
      </c>
      <c r="D39" s="227" t="s">
        <v>301</v>
      </c>
      <c r="E39" s="227" t="s">
        <v>301</v>
      </c>
      <c r="F39" s="227" t="s">
        <v>301</v>
      </c>
      <c r="G39" s="227" t="s">
        <v>301</v>
      </c>
      <c r="H39" s="222"/>
      <c r="I39" s="222"/>
      <c r="J39" s="222"/>
      <c r="K39" s="222"/>
      <c r="L39" s="222"/>
    </row>
    <row r="40" spans="1:12" x14ac:dyDescent="0.25">
      <c r="A40" s="265" t="s">
        <v>20</v>
      </c>
      <c r="B40" s="216">
        <v>18.100000000000001</v>
      </c>
      <c r="C40" s="216">
        <v>9.9499999999999993</v>
      </c>
      <c r="D40" s="216">
        <v>11.79</v>
      </c>
      <c r="E40" s="216">
        <v>13.29</v>
      </c>
      <c r="F40" s="216">
        <v>8.1999999999999993</v>
      </c>
      <c r="G40" s="216"/>
      <c r="H40" s="222"/>
      <c r="I40" s="222"/>
      <c r="J40" s="222"/>
      <c r="K40" s="222"/>
      <c r="L40" s="222"/>
    </row>
    <row r="41" spans="1:12" x14ac:dyDescent="0.25">
      <c r="A41" s="265" t="s">
        <v>21</v>
      </c>
      <c r="B41" s="216">
        <f>B38-B40</f>
        <v>44.9</v>
      </c>
      <c r="C41" s="216">
        <f>C38-C40</f>
        <v>53.05</v>
      </c>
      <c r="D41" s="216">
        <f>D38-D40</f>
        <v>51.21</v>
      </c>
      <c r="E41" s="216">
        <f>E38-E40</f>
        <v>49.71</v>
      </c>
      <c r="F41" s="216">
        <f>F38-F40</f>
        <v>54.8</v>
      </c>
      <c r="G41" s="216"/>
      <c r="H41" s="222"/>
      <c r="I41" s="222"/>
      <c r="J41" s="222"/>
      <c r="K41" s="222"/>
      <c r="L41" s="222"/>
    </row>
    <row r="42" spans="1:12" x14ac:dyDescent="0.25">
      <c r="A42" s="219" t="s">
        <v>22</v>
      </c>
      <c r="B42" s="228">
        <v>2020</v>
      </c>
      <c r="C42" s="228">
        <v>2021</v>
      </c>
      <c r="D42" s="228">
        <v>2022</v>
      </c>
      <c r="E42" s="228">
        <v>2023</v>
      </c>
      <c r="F42" s="228">
        <v>2024</v>
      </c>
      <c r="G42" s="228">
        <v>2025</v>
      </c>
      <c r="H42" s="222"/>
      <c r="I42" s="222"/>
      <c r="J42" s="222"/>
      <c r="K42" s="222"/>
      <c r="L42" s="222"/>
    </row>
    <row r="43" spans="1:12" x14ac:dyDescent="0.25">
      <c r="A43" s="219" t="s">
        <v>154</v>
      </c>
      <c r="B43" s="220"/>
      <c r="C43" s="220"/>
      <c r="D43" s="220"/>
      <c r="E43" s="218"/>
      <c r="F43" s="218"/>
      <c r="G43" s="218"/>
      <c r="H43" s="222"/>
      <c r="I43" s="222"/>
      <c r="J43" s="222"/>
      <c r="K43" s="222"/>
      <c r="L43" s="222"/>
    </row>
    <row r="44" spans="1:12" x14ac:dyDescent="0.25">
      <c r="A44" s="212" t="s">
        <v>801</v>
      </c>
      <c r="B44" s="224"/>
      <c r="C44" s="224"/>
      <c r="D44" s="224"/>
      <c r="E44" s="225"/>
      <c r="F44" s="225"/>
      <c r="G44" s="225"/>
      <c r="H44" s="222"/>
      <c r="I44" s="222"/>
      <c r="J44" s="222"/>
      <c r="K44" s="222"/>
      <c r="L44" s="222"/>
    </row>
    <row r="45" spans="1:12" x14ac:dyDescent="0.25">
      <c r="A45" s="222"/>
      <c r="B45" s="222"/>
      <c r="C45" s="222"/>
      <c r="D45" s="222"/>
      <c r="E45" s="222"/>
      <c r="F45" s="222"/>
      <c r="G45" s="222"/>
      <c r="H45" s="222"/>
      <c r="I45" s="222"/>
      <c r="J45" s="222"/>
      <c r="K45" s="222"/>
      <c r="L45" s="222"/>
    </row>
    <row r="46" spans="1:12" customFormat="1" ht="14.4" x14ac:dyDescent="0.3">
      <c r="A46" s="262" t="s">
        <v>14</v>
      </c>
      <c r="B46" s="276" t="s">
        <v>74</v>
      </c>
      <c r="C46" s="264" t="s">
        <v>15</v>
      </c>
      <c r="D46" s="222"/>
      <c r="E46" s="222"/>
      <c r="F46" s="222"/>
      <c r="G46" s="572"/>
      <c r="H46" s="572"/>
      <c r="I46" s="572"/>
      <c r="J46" s="572"/>
      <c r="K46" s="572"/>
      <c r="L46" s="572"/>
    </row>
    <row r="47" spans="1:12" customFormat="1" ht="14.4" x14ac:dyDescent="0.3">
      <c r="A47" s="265" t="s">
        <v>16</v>
      </c>
      <c r="B47" s="227">
        <v>2015</v>
      </c>
      <c r="C47" s="227">
        <v>2016</v>
      </c>
      <c r="D47" s="227">
        <v>2017</v>
      </c>
      <c r="E47" s="227">
        <v>2018</v>
      </c>
      <c r="F47" s="227">
        <v>2019</v>
      </c>
      <c r="G47" s="227">
        <v>2020</v>
      </c>
      <c r="H47" s="227">
        <v>2021</v>
      </c>
      <c r="I47" s="227">
        <v>2022</v>
      </c>
      <c r="J47" s="227">
        <v>2023</v>
      </c>
      <c r="K47" s="572"/>
      <c r="L47" s="572"/>
    </row>
    <row r="48" spans="1:12" customFormat="1" ht="14.4" x14ac:dyDescent="0.3">
      <c r="A48" s="265" t="s">
        <v>17</v>
      </c>
      <c r="B48" s="216">
        <v>10</v>
      </c>
      <c r="C48" s="216">
        <v>10</v>
      </c>
      <c r="D48" s="216">
        <v>10</v>
      </c>
      <c r="E48" s="216">
        <v>10</v>
      </c>
      <c r="F48" s="216">
        <v>10</v>
      </c>
      <c r="G48" s="216">
        <v>10</v>
      </c>
      <c r="H48" s="216">
        <v>10</v>
      </c>
      <c r="I48" s="216">
        <v>10</v>
      </c>
      <c r="J48" s="216">
        <v>10</v>
      </c>
      <c r="K48" s="572"/>
      <c r="L48" s="572"/>
    </row>
    <row r="49" spans="1:12" customFormat="1" ht="14.4" x14ac:dyDescent="0.3">
      <c r="A49" s="227" t="s">
        <v>18</v>
      </c>
      <c r="B49" s="572"/>
      <c r="C49" s="227">
        <v>-13.719999999999999</v>
      </c>
      <c r="D49" s="227">
        <v>-14.919999999999998</v>
      </c>
      <c r="E49" s="227">
        <v>-28.950000000000003</v>
      </c>
      <c r="F49" s="227">
        <v>-32.5</v>
      </c>
      <c r="G49" s="227">
        <v>-35.980000000000004</v>
      </c>
      <c r="H49" s="227">
        <v>-47.510000000000005</v>
      </c>
      <c r="I49" s="227">
        <v>-49.740000000000009</v>
      </c>
      <c r="J49" s="216">
        <f>J48+I52</f>
        <v>-49.240000000000009</v>
      </c>
      <c r="K49" s="572"/>
      <c r="L49" s="572"/>
    </row>
    <row r="50" spans="1:12" customFormat="1" ht="14.4" x14ac:dyDescent="0.3">
      <c r="A50" s="265" t="s">
        <v>19</v>
      </c>
      <c r="B50" s="265"/>
      <c r="C50" s="265">
        <v>1</v>
      </c>
      <c r="D50" s="265">
        <v>2</v>
      </c>
      <c r="E50" s="265">
        <v>3</v>
      </c>
      <c r="F50" s="265">
        <v>4</v>
      </c>
      <c r="G50" s="265">
        <v>5</v>
      </c>
      <c r="H50" s="265">
        <v>6</v>
      </c>
      <c r="I50" s="265">
        <v>7</v>
      </c>
      <c r="J50" s="227">
        <v>8</v>
      </c>
      <c r="K50" s="572"/>
      <c r="L50" s="572"/>
    </row>
    <row r="51" spans="1:12" customFormat="1" ht="14.4" x14ac:dyDescent="0.3">
      <c r="A51" s="265" t="s">
        <v>20</v>
      </c>
      <c r="B51" s="265">
        <v>33.72</v>
      </c>
      <c r="C51" s="265">
        <v>11.2</v>
      </c>
      <c r="D51" s="265">
        <v>24.03</v>
      </c>
      <c r="E51" s="216">
        <v>13.55</v>
      </c>
      <c r="F51" s="216">
        <v>13.48</v>
      </c>
      <c r="G51" s="216">
        <v>21.53</v>
      </c>
      <c r="H51" s="216">
        <v>12.23</v>
      </c>
      <c r="I51" s="216">
        <v>9.5</v>
      </c>
      <c r="J51" s="216"/>
      <c r="K51" s="572"/>
      <c r="L51" s="572"/>
    </row>
    <row r="52" spans="1:12" customFormat="1" ht="14.4" x14ac:dyDescent="0.3">
      <c r="A52" s="265" t="s">
        <v>21</v>
      </c>
      <c r="B52" s="265">
        <v>-23.72</v>
      </c>
      <c r="C52" s="265">
        <v>-24.919999999999998</v>
      </c>
      <c r="D52" s="265">
        <v>-38.950000000000003</v>
      </c>
      <c r="E52" s="216">
        <v>-42.5</v>
      </c>
      <c r="F52" s="216">
        <v>-45.980000000000004</v>
      </c>
      <c r="G52" s="216">
        <v>-57.510000000000005</v>
      </c>
      <c r="H52" s="216">
        <v>-59.740000000000009</v>
      </c>
      <c r="I52" s="216">
        <f>I49-I51</f>
        <v>-59.240000000000009</v>
      </c>
      <c r="J52" s="573"/>
      <c r="K52" s="572"/>
      <c r="L52" s="572"/>
    </row>
    <row r="53" spans="1:12" customFormat="1" ht="14.4" x14ac:dyDescent="0.3">
      <c r="A53" s="219" t="s">
        <v>22</v>
      </c>
      <c r="B53" s="219">
        <v>2016</v>
      </c>
      <c r="C53" s="219">
        <v>2017</v>
      </c>
      <c r="D53" s="219">
        <v>2018</v>
      </c>
      <c r="E53" s="228">
        <v>2019</v>
      </c>
      <c r="F53" s="228">
        <v>2020</v>
      </c>
      <c r="G53" s="227">
        <v>2021</v>
      </c>
      <c r="H53" s="227">
        <v>2022</v>
      </c>
      <c r="I53" s="227">
        <v>2023</v>
      </c>
      <c r="J53" s="227">
        <v>2024</v>
      </c>
      <c r="K53" s="572"/>
      <c r="L53" s="572"/>
    </row>
    <row r="54" spans="1:12" customFormat="1" ht="14.4" x14ac:dyDescent="0.3">
      <c r="A54" s="219" t="s">
        <v>23</v>
      </c>
      <c r="B54" s="220"/>
      <c r="C54" s="220"/>
      <c r="D54" s="220"/>
      <c r="E54" s="220"/>
      <c r="F54" s="218"/>
      <c r="G54" s="218"/>
      <c r="H54" s="218"/>
      <c r="I54" s="218"/>
      <c r="J54" s="218"/>
      <c r="K54" s="572"/>
      <c r="L54" s="572"/>
    </row>
    <row r="55" spans="1:12" customFormat="1" ht="14.4" x14ac:dyDescent="0.3">
      <c r="A55" s="265" t="s">
        <v>416</v>
      </c>
      <c r="B55" s="510"/>
      <c r="C55" s="510"/>
      <c r="D55" s="510"/>
      <c r="E55" s="510"/>
      <c r="F55" s="510"/>
      <c r="G55" s="510"/>
      <c r="H55" s="510"/>
      <c r="I55" s="510"/>
      <c r="J55" s="233"/>
      <c r="K55" s="572"/>
      <c r="L55" s="572"/>
    </row>
    <row r="56" spans="1:12" x14ac:dyDescent="0.25">
      <c r="A56" s="219">
        <v>1</v>
      </c>
      <c r="B56" s="220" t="s">
        <v>803</v>
      </c>
      <c r="C56" s="220"/>
      <c r="D56" s="220"/>
      <c r="E56" s="220"/>
      <c r="F56" s="220"/>
      <c r="G56" s="220"/>
      <c r="H56" s="220"/>
      <c r="I56" s="220"/>
      <c r="J56" s="218"/>
      <c r="K56" s="222"/>
      <c r="L56" s="222"/>
    </row>
    <row r="57" spans="1:12" x14ac:dyDescent="0.25">
      <c r="A57" s="221">
        <v>2</v>
      </c>
      <c r="B57" s="222" t="s">
        <v>804</v>
      </c>
      <c r="C57" s="222"/>
      <c r="D57" s="222"/>
      <c r="E57" s="222"/>
      <c r="F57" s="222"/>
      <c r="G57" s="222"/>
      <c r="H57" s="222"/>
      <c r="I57" s="222"/>
      <c r="J57" s="223"/>
      <c r="K57" s="222"/>
      <c r="L57" s="222"/>
    </row>
    <row r="58" spans="1:12" x14ac:dyDescent="0.25">
      <c r="A58" s="221">
        <v>3</v>
      </c>
      <c r="B58" s="222" t="s">
        <v>805</v>
      </c>
      <c r="C58" s="222"/>
      <c r="D58" s="222"/>
      <c r="E58" s="222"/>
      <c r="F58" s="222"/>
      <c r="G58" s="222"/>
      <c r="H58" s="222"/>
      <c r="I58" s="222"/>
      <c r="J58" s="223"/>
      <c r="K58" s="222"/>
      <c r="L58" s="222"/>
    </row>
    <row r="59" spans="1:12" x14ac:dyDescent="0.25">
      <c r="A59" s="221">
        <v>4</v>
      </c>
      <c r="B59" s="222" t="s">
        <v>806</v>
      </c>
      <c r="C59" s="222"/>
      <c r="D59" s="222"/>
      <c r="E59" s="222"/>
      <c r="F59" s="222"/>
      <c r="G59" s="222"/>
      <c r="H59" s="222"/>
      <c r="I59" s="222"/>
      <c r="J59" s="223"/>
      <c r="K59" s="222"/>
      <c r="L59" s="222"/>
    </row>
    <row r="60" spans="1:12" x14ac:dyDescent="0.25">
      <c r="A60" s="221">
        <v>5</v>
      </c>
      <c r="B60" s="222" t="s">
        <v>807</v>
      </c>
      <c r="C60" s="222"/>
      <c r="D60" s="222"/>
      <c r="E60" s="222"/>
      <c r="F60" s="222"/>
      <c r="G60" s="222"/>
      <c r="H60" s="222"/>
      <c r="I60" s="222"/>
      <c r="J60" s="223"/>
      <c r="K60" s="222"/>
      <c r="L60" s="222"/>
    </row>
    <row r="61" spans="1:12" x14ac:dyDescent="0.25">
      <c r="A61" s="221">
        <v>6</v>
      </c>
      <c r="B61" s="222" t="s">
        <v>808</v>
      </c>
      <c r="C61" s="222"/>
      <c r="D61" s="222"/>
      <c r="E61" s="222"/>
      <c r="F61" s="222"/>
      <c r="G61" s="222"/>
      <c r="H61" s="222"/>
      <c r="I61" s="222"/>
      <c r="J61" s="223"/>
      <c r="K61" s="222"/>
      <c r="L61" s="222"/>
    </row>
    <row r="62" spans="1:12" x14ac:dyDescent="0.25">
      <c r="A62" s="221">
        <v>7</v>
      </c>
      <c r="B62" s="222" t="s">
        <v>809</v>
      </c>
      <c r="C62" s="222"/>
      <c r="D62" s="222"/>
      <c r="E62" s="222"/>
      <c r="F62" s="222"/>
      <c r="G62" s="222"/>
      <c r="H62" s="222"/>
      <c r="I62" s="222"/>
      <c r="J62" s="223"/>
      <c r="K62" s="222"/>
      <c r="L62" s="222"/>
    </row>
    <row r="63" spans="1:12" x14ac:dyDescent="0.25">
      <c r="A63" s="212">
        <v>8</v>
      </c>
      <c r="B63" s="224" t="s">
        <v>810</v>
      </c>
      <c r="C63" s="224"/>
      <c r="D63" s="224"/>
      <c r="E63" s="224"/>
      <c r="F63" s="224"/>
      <c r="G63" s="224"/>
      <c r="H63" s="224"/>
      <c r="I63" s="224"/>
      <c r="J63" s="225"/>
      <c r="K63" s="222"/>
      <c r="L63" s="222"/>
    </row>
    <row r="64" spans="1:12" x14ac:dyDescent="0.25">
      <c r="A64" s="222"/>
      <c r="B64" s="222"/>
      <c r="C64" s="222"/>
      <c r="D64" s="222"/>
      <c r="E64" s="222"/>
      <c r="F64" s="222"/>
      <c r="G64" s="222"/>
      <c r="H64" s="222"/>
      <c r="I64" s="222"/>
      <c r="J64" s="222"/>
      <c r="K64" s="222"/>
      <c r="L64" s="222"/>
    </row>
    <row r="65" spans="1:12" customFormat="1" ht="14.4" x14ac:dyDescent="0.3">
      <c r="A65" s="262" t="s">
        <v>14</v>
      </c>
      <c r="B65" s="276" t="s">
        <v>79</v>
      </c>
      <c r="C65" s="264" t="s">
        <v>15</v>
      </c>
      <c r="D65" s="222"/>
      <c r="E65" s="222"/>
      <c r="F65" s="222"/>
      <c r="G65" s="222"/>
      <c r="H65" s="222"/>
      <c r="I65" s="222"/>
      <c r="J65" s="222"/>
      <c r="K65" s="572"/>
      <c r="L65" s="572"/>
    </row>
    <row r="66" spans="1:12" customFormat="1" ht="14.4" x14ac:dyDescent="0.3">
      <c r="A66" s="265" t="s">
        <v>16</v>
      </c>
      <c r="B66" s="227">
        <v>2015</v>
      </c>
      <c r="C66" s="227">
        <v>2016</v>
      </c>
      <c r="D66" s="227">
        <v>2017</v>
      </c>
      <c r="E66" s="227">
        <v>2018</v>
      </c>
      <c r="F66" s="227">
        <v>2019</v>
      </c>
      <c r="G66" s="227">
        <v>2020</v>
      </c>
      <c r="H66" s="227">
        <v>2021</v>
      </c>
      <c r="I66" s="227">
        <v>2022</v>
      </c>
      <c r="J66" s="227">
        <v>2023</v>
      </c>
      <c r="K66" s="572"/>
      <c r="L66" s="572"/>
    </row>
    <row r="67" spans="1:12" customFormat="1" ht="14.4" x14ac:dyDescent="0.3">
      <c r="A67" s="265" t="s">
        <v>17</v>
      </c>
      <c r="B67" s="216">
        <v>10</v>
      </c>
      <c r="C67" s="216">
        <v>10</v>
      </c>
      <c r="D67" s="216">
        <v>10</v>
      </c>
      <c r="E67" s="216">
        <v>10</v>
      </c>
      <c r="F67" s="216">
        <v>10</v>
      </c>
      <c r="G67" s="216">
        <v>10</v>
      </c>
      <c r="H67" s="216">
        <v>10</v>
      </c>
      <c r="I67" s="216">
        <v>10</v>
      </c>
      <c r="J67" s="216">
        <v>10</v>
      </c>
      <c r="K67" s="572"/>
      <c r="L67" s="572"/>
    </row>
    <row r="68" spans="1:12" customFormat="1" ht="14.4" x14ac:dyDescent="0.3">
      <c r="A68" s="265" t="s">
        <v>18</v>
      </c>
      <c r="B68" s="265"/>
      <c r="C68" s="350">
        <f>C67+B71</f>
        <v>10.3</v>
      </c>
      <c r="D68" s="265">
        <v>6.07</v>
      </c>
      <c r="E68" s="216">
        <v>-1.3299999999999983</v>
      </c>
      <c r="F68" s="216">
        <v>-8.8299999999999983</v>
      </c>
      <c r="G68" s="216">
        <v>-10.39</v>
      </c>
      <c r="H68" s="216">
        <v>-14.75</v>
      </c>
      <c r="I68" s="216">
        <v>-14.75</v>
      </c>
      <c r="J68" s="227">
        <v>-14.45</v>
      </c>
      <c r="K68" s="572"/>
      <c r="L68" s="572"/>
    </row>
    <row r="69" spans="1:12" customFormat="1" ht="14.4" x14ac:dyDescent="0.3">
      <c r="A69" s="265" t="s">
        <v>19</v>
      </c>
      <c r="B69" s="265"/>
      <c r="C69" s="265">
        <v>1</v>
      </c>
      <c r="D69" s="265">
        <v>2</v>
      </c>
      <c r="E69" s="265">
        <v>3</v>
      </c>
      <c r="F69" s="265">
        <v>4</v>
      </c>
      <c r="G69" s="265">
        <v>5</v>
      </c>
      <c r="H69" s="265">
        <v>6</v>
      </c>
      <c r="I69" s="265">
        <v>7</v>
      </c>
      <c r="J69" s="227">
        <v>8</v>
      </c>
      <c r="K69" s="572"/>
      <c r="L69" s="572"/>
    </row>
    <row r="70" spans="1:12" customFormat="1" ht="14.4" x14ac:dyDescent="0.3">
      <c r="A70" s="265" t="s">
        <v>20</v>
      </c>
      <c r="B70" s="350">
        <v>9.6999999999999993</v>
      </c>
      <c r="C70" s="350">
        <v>14.23</v>
      </c>
      <c r="D70" s="350">
        <v>17.399999999999999</v>
      </c>
      <c r="E70" s="216">
        <v>17.5</v>
      </c>
      <c r="F70" s="216">
        <v>11.56</v>
      </c>
      <c r="G70" s="216">
        <v>14.36</v>
      </c>
      <c r="H70" s="216">
        <v>10</v>
      </c>
      <c r="I70" s="216">
        <v>9.6999999999999993</v>
      </c>
      <c r="J70" s="216" t="s">
        <v>802</v>
      </c>
      <c r="K70" s="572"/>
      <c r="L70" s="572"/>
    </row>
    <row r="71" spans="1:12" customFormat="1" ht="14.4" x14ac:dyDescent="0.3">
      <c r="A71" s="265" t="s">
        <v>21</v>
      </c>
      <c r="B71" s="350">
        <v>0.30000000000000071</v>
      </c>
      <c r="C71" s="350">
        <f>C68-C70</f>
        <v>-3.9299999999999997</v>
      </c>
      <c r="D71" s="350">
        <f t="shared" ref="D71:I71" si="0">D68-D70</f>
        <v>-11.329999999999998</v>
      </c>
      <c r="E71" s="350">
        <f t="shared" si="0"/>
        <v>-18.829999999999998</v>
      </c>
      <c r="F71" s="350">
        <f t="shared" si="0"/>
        <v>-20.39</v>
      </c>
      <c r="G71" s="350">
        <f t="shared" si="0"/>
        <v>-24.75</v>
      </c>
      <c r="H71" s="350">
        <f t="shared" si="0"/>
        <v>-24.75</v>
      </c>
      <c r="I71" s="350">
        <f t="shared" si="0"/>
        <v>-24.45</v>
      </c>
      <c r="J71" s="216"/>
      <c r="K71" s="572"/>
      <c r="L71" s="572"/>
    </row>
    <row r="72" spans="1:12" customFormat="1" ht="14.4" x14ac:dyDescent="0.3">
      <c r="A72" s="219" t="s">
        <v>22</v>
      </c>
      <c r="B72" s="219">
        <v>2016</v>
      </c>
      <c r="C72" s="219">
        <v>2017</v>
      </c>
      <c r="D72" s="219">
        <v>2018</v>
      </c>
      <c r="E72" s="228">
        <v>2019</v>
      </c>
      <c r="F72" s="228">
        <v>2020</v>
      </c>
      <c r="G72" s="228">
        <v>2021</v>
      </c>
      <c r="H72" s="228">
        <v>2022</v>
      </c>
      <c r="I72" s="228">
        <v>2023</v>
      </c>
      <c r="J72" s="228">
        <v>2024</v>
      </c>
      <c r="K72" s="572"/>
      <c r="L72" s="572"/>
    </row>
    <row r="73" spans="1:12" customFormat="1" ht="14.4" x14ac:dyDescent="0.3">
      <c r="A73" s="219" t="s">
        <v>23</v>
      </c>
      <c r="B73" s="220"/>
      <c r="C73" s="220"/>
      <c r="D73" s="220"/>
      <c r="E73" s="220"/>
      <c r="F73" s="220"/>
      <c r="G73" s="220"/>
      <c r="H73" s="220"/>
      <c r="I73" s="220"/>
      <c r="J73" s="218"/>
      <c r="K73" s="572"/>
      <c r="L73" s="572"/>
    </row>
    <row r="74" spans="1:12" customFormat="1" ht="14.4" x14ac:dyDescent="0.3">
      <c r="A74" s="265" t="s">
        <v>416</v>
      </c>
      <c r="B74" s="510"/>
      <c r="C74" s="510"/>
      <c r="D74" s="510"/>
      <c r="E74" s="510"/>
      <c r="F74" s="510"/>
      <c r="G74" s="510"/>
      <c r="H74" s="510"/>
      <c r="I74" s="510"/>
      <c r="J74" s="233"/>
      <c r="K74" s="572"/>
      <c r="L74" s="572"/>
    </row>
    <row r="75" spans="1:12" customFormat="1" ht="14.4" x14ac:dyDescent="0.3">
      <c r="A75" s="219">
        <v>1</v>
      </c>
      <c r="B75" s="220" t="s">
        <v>803</v>
      </c>
      <c r="C75" s="220"/>
      <c r="D75" s="220"/>
      <c r="E75" s="220"/>
      <c r="F75" s="220"/>
      <c r="G75" s="220"/>
      <c r="H75" s="220"/>
      <c r="I75" s="220"/>
      <c r="J75" s="218"/>
      <c r="K75" s="572"/>
      <c r="L75" s="572"/>
    </row>
    <row r="76" spans="1:12" customFormat="1" ht="14.4" x14ac:dyDescent="0.3">
      <c r="A76" s="221">
        <v>2</v>
      </c>
      <c r="B76" s="222" t="s">
        <v>804</v>
      </c>
      <c r="C76" s="222"/>
      <c r="D76" s="222"/>
      <c r="E76" s="222"/>
      <c r="F76" s="222"/>
      <c r="G76" s="222"/>
      <c r="H76" s="222"/>
      <c r="I76" s="222"/>
      <c r="J76" s="223"/>
      <c r="K76" s="572"/>
      <c r="L76" s="572"/>
    </row>
    <row r="77" spans="1:12" customFormat="1" ht="14.4" x14ac:dyDescent="0.3">
      <c r="A77" s="221">
        <v>3</v>
      </c>
      <c r="B77" s="222" t="s">
        <v>805</v>
      </c>
      <c r="C77" s="222"/>
      <c r="D77" s="222"/>
      <c r="E77" s="222"/>
      <c r="F77" s="222"/>
      <c r="G77" s="222"/>
      <c r="H77" s="222"/>
      <c r="I77" s="222"/>
      <c r="J77" s="223"/>
      <c r="K77" s="572"/>
      <c r="L77" s="572"/>
    </row>
    <row r="78" spans="1:12" customFormat="1" ht="14.4" x14ac:dyDescent="0.3">
      <c r="A78" s="221">
        <v>4</v>
      </c>
      <c r="B78" s="222" t="s">
        <v>806</v>
      </c>
      <c r="C78" s="222"/>
      <c r="D78" s="222"/>
      <c r="E78" s="222"/>
      <c r="F78" s="222"/>
      <c r="G78" s="222"/>
      <c r="H78" s="222"/>
      <c r="I78" s="222"/>
      <c r="J78" s="223"/>
      <c r="K78" s="572"/>
      <c r="L78" s="572"/>
    </row>
    <row r="79" spans="1:12" customFormat="1" ht="14.4" x14ac:dyDescent="0.3">
      <c r="A79" s="221">
        <v>5</v>
      </c>
      <c r="B79" s="222" t="s">
        <v>807</v>
      </c>
      <c r="C79" s="222"/>
      <c r="D79" s="222"/>
      <c r="E79" s="222"/>
      <c r="F79" s="222"/>
      <c r="G79" s="222"/>
      <c r="H79" s="222"/>
      <c r="I79" s="222"/>
      <c r="J79" s="223"/>
      <c r="K79" s="572"/>
      <c r="L79" s="572"/>
    </row>
    <row r="80" spans="1:12" customFormat="1" ht="14.4" x14ac:dyDescent="0.3">
      <c r="A80" s="221">
        <v>6</v>
      </c>
      <c r="B80" s="222" t="s">
        <v>808</v>
      </c>
      <c r="C80" s="222"/>
      <c r="D80" s="222"/>
      <c r="E80" s="222"/>
      <c r="F80" s="222"/>
      <c r="G80" s="222"/>
      <c r="H80" s="222"/>
      <c r="I80" s="222"/>
      <c r="J80" s="223"/>
      <c r="K80" s="572"/>
      <c r="L80" s="572"/>
    </row>
    <row r="81" spans="1:12" customFormat="1" ht="14.4" x14ac:dyDescent="0.3">
      <c r="A81" s="221">
        <v>7</v>
      </c>
      <c r="B81" s="222" t="s">
        <v>809</v>
      </c>
      <c r="C81" s="222"/>
      <c r="D81" s="222"/>
      <c r="E81" s="222"/>
      <c r="F81" s="222"/>
      <c r="G81" s="222"/>
      <c r="H81" s="222"/>
      <c r="I81" s="222"/>
      <c r="J81" s="223"/>
      <c r="K81" s="572"/>
      <c r="L81" s="572"/>
    </row>
    <row r="82" spans="1:12" customFormat="1" ht="14.4" x14ac:dyDescent="0.3">
      <c r="A82" s="212">
        <v>8</v>
      </c>
      <c r="B82" s="224" t="s">
        <v>810</v>
      </c>
      <c r="C82" s="224"/>
      <c r="D82" s="224"/>
      <c r="E82" s="224"/>
      <c r="F82" s="224"/>
      <c r="G82" s="224"/>
      <c r="H82" s="224"/>
      <c r="I82" s="224"/>
      <c r="J82" s="225"/>
      <c r="K82" s="572"/>
      <c r="L82" s="572"/>
    </row>
    <row r="83" spans="1:12" x14ac:dyDescent="0.25">
      <c r="A83" s="222"/>
      <c r="B83" s="222"/>
      <c r="C83" s="222"/>
      <c r="D83" s="222"/>
      <c r="E83" s="222"/>
      <c r="F83" s="222"/>
      <c r="G83" s="222"/>
      <c r="H83" s="222"/>
      <c r="I83" s="222"/>
      <c r="J83" s="222"/>
      <c r="K83" s="222"/>
      <c r="L83" s="222"/>
    </row>
    <row r="84" spans="1:12" x14ac:dyDescent="0.25">
      <c r="A84" s="222"/>
      <c r="B84" s="222"/>
      <c r="C84" s="222"/>
      <c r="D84" s="222"/>
      <c r="E84" s="222"/>
      <c r="F84" s="222"/>
      <c r="G84" s="222"/>
      <c r="H84" s="222"/>
      <c r="I84" s="222"/>
      <c r="J84" s="222"/>
      <c r="K84" s="222"/>
      <c r="L84" s="222"/>
    </row>
    <row r="85" spans="1:12" x14ac:dyDescent="0.25">
      <c r="A85" s="574" t="s">
        <v>12</v>
      </c>
      <c r="B85" s="554" t="s">
        <v>166</v>
      </c>
      <c r="C85" s="254"/>
      <c r="D85" s="254"/>
      <c r="E85" s="254"/>
      <c r="F85" s="254"/>
      <c r="G85" s="222"/>
      <c r="H85" s="222"/>
      <c r="I85" s="222"/>
      <c r="J85" s="222"/>
      <c r="K85" s="222"/>
      <c r="L85" s="222"/>
    </row>
    <row r="86" spans="1:12" x14ac:dyDescent="0.25">
      <c r="A86" s="575" t="s">
        <v>14</v>
      </c>
      <c r="B86" s="252" t="s">
        <v>638</v>
      </c>
      <c r="C86" s="253" t="s">
        <v>15</v>
      </c>
      <c r="D86" s="254"/>
      <c r="E86" s="254"/>
      <c r="F86" s="254"/>
      <c r="G86" s="222"/>
      <c r="H86" s="222"/>
      <c r="I86" s="222"/>
      <c r="J86" s="222"/>
      <c r="K86" s="222"/>
      <c r="L86" s="222"/>
    </row>
    <row r="87" spans="1:12" x14ac:dyDescent="0.25">
      <c r="A87" s="255" t="s">
        <v>16</v>
      </c>
      <c r="B87" s="326"/>
      <c r="C87" s="256">
        <v>2017</v>
      </c>
      <c r="D87" s="253">
        <v>2018</v>
      </c>
      <c r="E87" s="253">
        <v>2019</v>
      </c>
      <c r="F87" s="253">
        <v>2020</v>
      </c>
      <c r="G87" s="253">
        <v>2021</v>
      </c>
      <c r="H87" s="253">
        <v>2022</v>
      </c>
      <c r="I87" s="253">
        <v>2023</v>
      </c>
      <c r="J87" s="576"/>
      <c r="K87" s="222"/>
      <c r="L87" s="222"/>
    </row>
    <row r="88" spans="1:12" x14ac:dyDescent="0.25">
      <c r="A88" s="255" t="s">
        <v>17</v>
      </c>
      <c r="B88" s="326"/>
      <c r="C88" s="577">
        <v>200</v>
      </c>
      <c r="D88" s="327">
        <v>200</v>
      </c>
      <c r="E88" s="327">
        <v>215</v>
      </c>
      <c r="F88" s="327">
        <v>215</v>
      </c>
      <c r="G88" s="327">
        <v>242</v>
      </c>
      <c r="H88" s="327">
        <v>242</v>
      </c>
      <c r="I88" s="327">
        <v>242</v>
      </c>
      <c r="J88" s="578"/>
      <c r="K88" s="222"/>
      <c r="L88" s="222"/>
    </row>
    <row r="89" spans="1:12" x14ac:dyDescent="0.25">
      <c r="A89" s="255" t="s">
        <v>18</v>
      </c>
      <c r="B89" s="326"/>
      <c r="C89" s="577">
        <v>450</v>
      </c>
      <c r="D89" s="327">
        <v>450</v>
      </c>
      <c r="E89" s="327">
        <f>E88+C92+200</f>
        <v>416.56</v>
      </c>
      <c r="F89" s="327">
        <v>465</v>
      </c>
      <c r="G89" s="327">
        <f>G88+0.25*E88+200</f>
        <v>495.75</v>
      </c>
      <c r="H89" s="327">
        <f>H88+0.25*F88+200</f>
        <v>495.75</v>
      </c>
      <c r="I89" s="327">
        <f>I88+0.25*G88+200</f>
        <v>502.5</v>
      </c>
      <c r="J89" s="578"/>
      <c r="K89" s="222"/>
      <c r="L89" s="222"/>
    </row>
    <row r="90" spans="1:12" x14ac:dyDescent="0.25">
      <c r="A90" s="255" t="s">
        <v>19</v>
      </c>
      <c r="B90" s="326"/>
      <c r="C90" s="577"/>
      <c r="D90" s="327"/>
      <c r="E90" s="672" t="s">
        <v>167</v>
      </c>
      <c r="F90" s="673"/>
      <c r="G90" s="673"/>
      <c r="H90" s="673"/>
      <c r="I90" s="674"/>
      <c r="J90" s="578"/>
      <c r="K90" s="222"/>
      <c r="L90" s="222"/>
    </row>
    <row r="91" spans="1:12" x14ac:dyDescent="0.25">
      <c r="A91" s="255" t="s">
        <v>20</v>
      </c>
      <c r="B91" s="326"/>
      <c r="C91" s="327">
        <v>448.44</v>
      </c>
      <c r="D91" s="327">
        <v>385.14</v>
      </c>
      <c r="E91" s="327">
        <v>216.09</v>
      </c>
      <c r="F91" s="327">
        <v>326.05</v>
      </c>
      <c r="G91" s="327">
        <v>200.65</v>
      </c>
      <c r="H91" s="202">
        <v>214.33</v>
      </c>
      <c r="I91" s="327"/>
      <c r="J91" s="578"/>
      <c r="K91" s="222"/>
      <c r="L91" s="222"/>
    </row>
    <row r="92" spans="1:12" x14ac:dyDescent="0.25">
      <c r="A92" s="255" t="s">
        <v>21</v>
      </c>
      <c r="B92" s="326"/>
      <c r="C92" s="327">
        <f t="shared" ref="C92:H92" si="1">C89-C91</f>
        <v>1.5600000000000023</v>
      </c>
      <c r="D92" s="327">
        <f t="shared" si="1"/>
        <v>64.860000000000014</v>
      </c>
      <c r="E92" s="327">
        <f t="shared" si="1"/>
        <v>200.47</v>
      </c>
      <c r="F92" s="327">
        <f t="shared" si="1"/>
        <v>138.94999999999999</v>
      </c>
      <c r="G92" s="327">
        <f t="shared" si="1"/>
        <v>295.10000000000002</v>
      </c>
      <c r="H92" s="202">
        <f t="shared" si="1"/>
        <v>281.41999999999996</v>
      </c>
      <c r="I92" s="327"/>
      <c r="J92" s="578"/>
      <c r="K92" s="222"/>
      <c r="L92" s="222"/>
    </row>
    <row r="93" spans="1:12" x14ac:dyDescent="0.25">
      <c r="A93" s="258" t="s">
        <v>22</v>
      </c>
      <c r="B93" s="259"/>
      <c r="C93" s="260">
        <v>2019</v>
      </c>
      <c r="D93" s="259">
        <v>2020</v>
      </c>
      <c r="E93" s="259">
        <v>2021</v>
      </c>
      <c r="F93" s="259">
        <v>2022</v>
      </c>
      <c r="G93" s="259">
        <v>2023</v>
      </c>
      <c r="H93" s="259">
        <v>2024</v>
      </c>
      <c r="I93" s="259">
        <v>2025</v>
      </c>
      <c r="J93" s="254"/>
      <c r="K93" s="222"/>
      <c r="L93" s="222"/>
    </row>
    <row r="94" spans="1:12" x14ac:dyDescent="0.25">
      <c r="A94" s="678" t="s">
        <v>206</v>
      </c>
      <c r="B94" s="679"/>
      <c r="C94" s="679"/>
      <c r="D94" s="679"/>
      <c r="E94" s="679"/>
      <c r="F94" s="679"/>
      <c r="G94" s="510"/>
      <c r="H94" s="510"/>
      <c r="I94" s="233"/>
      <c r="J94" s="222"/>
      <c r="K94" s="222"/>
      <c r="L94" s="222"/>
    </row>
    <row r="95" spans="1:12" x14ac:dyDescent="0.25">
      <c r="A95" s="680" t="s">
        <v>374</v>
      </c>
      <c r="B95" s="681"/>
      <c r="C95" s="681"/>
      <c r="D95" s="681"/>
      <c r="E95" s="681"/>
      <c r="F95" s="681"/>
      <c r="G95" s="220"/>
      <c r="H95" s="220"/>
      <c r="I95" s="218"/>
      <c r="J95" s="222"/>
      <c r="K95" s="222"/>
      <c r="L95" s="222"/>
    </row>
    <row r="96" spans="1:12" x14ac:dyDescent="0.25">
      <c r="A96" s="579" t="s">
        <v>250</v>
      </c>
      <c r="B96" s="580"/>
      <c r="C96" s="580"/>
      <c r="D96" s="581"/>
      <c r="E96" s="581"/>
      <c r="F96" s="581"/>
      <c r="G96" s="222"/>
      <c r="H96" s="222"/>
      <c r="I96" s="223"/>
      <c r="J96" s="222"/>
      <c r="K96" s="222"/>
      <c r="L96" s="222"/>
    </row>
    <row r="97" spans="1:12" x14ac:dyDescent="0.25">
      <c r="A97" s="579" t="s">
        <v>577</v>
      </c>
      <c r="B97" s="580"/>
      <c r="C97" s="580"/>
      <c r="D97" s="581"/>
      <c r="E97" s="581"/>
      <c r="F97" s="581"/>
      <c r="G97" s="222"/>
      <c r="H97" s="222"/>
      <c r="I97" s="223"/>
      <c r="J97" s="222"/>
      <c r="K97" s="222"/>
      <c r="L97" s="222"/>
    </row>
    <row r="98" spans="1:12" x14ac:dyDescent="0.25">
      <c r="A98" s="579" t="s">
        <v>417</v>
      </c>
      <c r="B98" s="580"/>
      <c r="C98" s="580"/>
      <c r="D98" s="581"/>
      <c r="E98" s="581"/>
      <c r="F98" s="581"/>
      <c r="G98" s="222"/>
      <c r="H98" s="222"/>
      <c r="I98" s="223"/>
      <c r="J98" s="222"/>
      <c r="K98" s="222"/>
      <c r="L98" s="222"/>
    </row>
    <row r="99" spans="1:12" x14ac:dyDescent="0.25">
      <c r="A99" s="243" t="s">
        <v>582</v>
      </c>
      <c r="B99" s="580"/>
      <c r="C99" s="580"/>
      <c r="D99" s="581"/>
      <c r="E99" s="581"/>
      <c r="F99" s="581"/>
      <c r="G99" s="222"/>
      <c r="H99" s="222"/>
      <c r="I99" s="223"/>
      <c r="J99" s="222"/>
      <c r="K99" s="222"/>
      <c r="L99" s="222"/>
    </row>
    <row r="100" spans="1:12" x14ac:dyDescent="0.25">
      <c r="A100" s="243" t="s">
        <v>695</v>
      </c>
      <c r="B100" s="580"/>
      <c r="C100" s="580"/>
      <c r="D100" s="581"/>
      <c r="E100" s="581"/>
      <c r="F100" s="581"/>
      <c r="G100" s="222"/>
      <c r="H100" s="222"/>
      <c r="I100" s="223"/>
      <c r="J100" s="222"/>
      <c r="K100" s="222"/>
      <c r="L100" s="222"/>
    </row>
    <row r="101" spans="1:12" x14ac:dyDescent="0.25">
      <c r="A101" s="243" t="s">
        <v>694</v>
      </c>
      <c r="B101" s="235"/>
      <c r="C101" s="235"/>
      <c r="D101" s="235"/>
      <c r="E101" s="235"/>
      <c r="F101" s="235"/>
      <c r="G101" s="222"/>
      <c r="H101" s="222"/>
      <c r="I101" s="223"/>
      <c r="J101" s="222"/>
      <c r="K101" s="222"/>
      <c r="L101" s="222"/>
    </row>
    <row r="102" spans="1:12" x14ac:dyDescent="0.25">
      <c r="A102" s="304" t="s">
        <v>811</v>
      </c>
      <c r="B102" s="406"/>
      <c r="C102" s="406"/>
      <c r="D102" s="406"/>
      <c r="E102" s="406"/>
      <c r="F102" s="406"/>
      <c r="G102" s="224"/>
      <c r="H102" s="224"/>
      <c r="I102" s="225"/>
      <c r="J102" s="222"/>
      <c r="K102" s="222"/>
      <c r="L102" s="222"/>
    </row>
    <row r="103" spans="1:12" x14ac:dyDescent="0.25">
      <c r="A103" s="222"/>
      <c r="B103" s="222"/>
      <c r="C103" s="222"/>
      <c r="D103" s="222"/>
      <c r="E103" s="222"/>
      <c r="F103" s="222"/>
      <c r="G103" s="222"/>
      <c r="H103" s="222"/>
      <c r="I103" s="222"/>
      <c r="J103" s="222"/>
      <c r="K103" s="222"/>
      <c r="L103" s="222"/>
    </row>
    <row r="104" spans="1:12" x14ac:dyDescent="0.25">
      <c r="A104" s="575" t="s">
        <v>14</v>
      </c>
      <c r="B104" s="252" t="s">
        <v>657</v>
      </c>
      <c r="C104" s="253" t="s">
        <v>15</v>
      </c>
      <c r="D104" s="254"/>
      <c r="E104" s="254"/>
      <c r="F104" s="254"/>
      <c r="G104" s="222"/>
      <c r="H104" s="222"/>
      <c r="I104" s="222"/>
      <c r="J104" s="222"/>
      <c r="K104" s="222"/>
      <c r="L104" s="222"/>
    </row>
    <row r="105" spans="1:12" x14ac:dyDescent="0.25">
      <c r="A105" s="582" t="s">
        <v>16</v>
      </c>
      <c r="B105" s="326"/>
      <c r="C105" s="253">
        <v>2017</v>
      </c>
      <c r="D105" s="253">
        <v>2018</v>
      </c>
      <c r="E105" s="253">
        <v>2019</v>
      </c>
      <c r="F105" s="253">
        <v>2020</v>
      </c>
      <c r="G105" s="253">
        <v>2021</v>
      </c>
      <c r="H105" s="253">
        <v>2022</v>
      </c>
      <c r="I105" s="253">
        <v>2023</v>
      </c>
      <c r="J105" s="253">
        <v>2024</v>
      </c>
      <c r="K105" s="222"/>
      <c r="L105" s="222"/>
    </row>
    <row r="106" spans="1:12" x14ac:dyDescent="0.25">
      <c r="A106" s="582" t="s">
        <v>17</v>
      </c>
      <c r="B106" s="326"/>
      <c r="C106" s="327">
        <v>250</v>
      </c>
      <c r="D106" s="327">
        <v>250</v>
      </c>
      <c r="E106" s="327">
        <v>250</v>
      </c>
      <c r="F106" s="327">
        <v>250</v>
      </c>
      <c r="G106" s="327">
        <v>250</v>
      </c>
      <c r="H106" s="327">
        <v>250</v>
      </c>
      <c r="I106" s="327">
        <v>300</v>
      </c>
      <c r="J106" s="327">
        <v>300</v>
      </c>
      <c r="K106" s="222"/>
      <c r="L106" s="222"/>
    </row>
    <row r="107" spans="1:12" x14ac:dyDescent="0.25">
      <c r="A107" s="582" t="s">
        <v>18</v>
      </c>
      <c r="B107" s="326"/>
      <c r="C107" s="327">
        <v>312.5</v>
      </c>
      <c r="D107" s="327">
        <v>312.5</v>
      </c>
      <c r="E107" s="327">
        <v>312.5</v>
      </c>
      <c r="F107" s="327">
        <f>F106+D110</f>
        <v>251.98000000000002</v>
      </c>
      <c r="G107" s="327">
        <f>G106+0.25*E106</f>
        <v>312.5</v>
      </c>
      <c r="H107" s="327">
        <f>H106+0.25*F106</f>
        <v>312.5</v>
      </c>
      <c r="I107" s="327">
        <f>I106+0.25*G106</f>
        <v>362.5</v>
      </c>
      <c r="J107" s="327">
        <f>J106+0.25*H106</f>
        <v>362.5</v>
      </c>
      <c r="K107" s="222"/>
      <c r="L107" s="222"/>
    </row>
    <row r="108" spans="1:12" ht="15" customHeight="1" x14ac:dyDescent="0.25">
      <c r="A108" s="582" t="s">
        <v>19</v>
      </c>
      <c r="B108" s="326"/>
      <c r="C108" s="672" t="s">
        <v>696</v>
      </c>
      <c r="D108" s="673"/>
      <c r="E108" s="673"/>
      <c r="F108" s="673"/>
      <c r="G108" s="673"/>
      <c r="H108" s="673"/>
      <c r="I108" s="673"/>
      <c r="J108" s="674"/>
      <c r="K108" s="222"/>
      <c r="L108" s="222"/>
    </row>
    <row r="109" spans="1:12" x14ac:dyDescent="0.25">
      <c r="A109" s="582" t="s">
        <v>20</v>
      </c>
      <c r="B109" s="326"/>
      <c r="C109" s="327">
        <v>219.03</v>
      </c>
      <c r="D109" s="327">
        <v>310.52</v>
      </c>
      <c r="E109" s="327">
        <v>158.13999999999999</v>
      </c>
      <c r="F109" s="327">
        <v>162.13</v>
      </c>
      <c r="G109" s="327">
        <v>30.84</v>
      </c>
      <c r="H109" s="327">
        <v>12.74</v>
      </c>
      <c r="I109" s="327"/>
      <c r="J109" s="327"/>
      <c r="K109" s="222"/>
      <c r="L109" s="222"/>
    </row>
    <row r="110" spans="1:12" x14ac:dyDescent="0.25">
      <c r="A110" s="582" t="s">
        <v>21</v>
      </c>
      <c r="B110" s="326"/>
      <c r="C110" s="327">
        <f>C107-C109</f>
        <v>93.47</v>
      </c>
      <c r="D110" s="327">
        <f t="shared" ref="D110:G110" si="2">D107-D109</f>
        <v>1.9800000000000182</v>
      </c>
      <c r="E110" s="327">
        <f t="shared" si="2"/>
        <v>154.36000000000001</v>
      </c>
      <c r="F110" s="327">
        <f t="shared" si="2"/>
        <v>89.850000000000023</v>
      </c>
      <c r="G110" s="327">
        <f t="shared" si="2"/>
        <v>281.66000000000003</v>
      </c>
      <c r="H110" s="327">
        <f>H107-H109</f>
        <v>299.76</v>
      </c>
      <c r="I110" s="327"/>
      <c r="J110" s="327"/>
      <c r="K110" s="222"/>
      <c r="L110" s="222"/>
    </row>
    <row r="111" spans="1:12" x14ac:dyDescent="0.25">
      <c r="A111" s="583" t="s">
        <v>22</v>
      </c>
      <c r="B111" s="259"/>
      <c r="C111" s="259">
        <v>2019</v>
      </c>
      <c r="D111" s="259">
        <v>2020</v>
      </c>
      <c r="E111" s="259">
        <v>2021</v>
      </c>
      <c r="F111" s="259">
        <v>2022</v>
      </c>
      <c r="G111" s="259">
        <v>2023</v>
      </c>
      <c r="H111" s="259">
        <v>2024</v>
      </c>
      <c r="I111" s="259">
        <v>2025</v>
      </c>
      <c r="J111" s="259">
        <v>2026</v>
      </c>
      <c r="K111" s="222"/>
      <c r="L111" s="222"/>
    </row>
    <row r="112" spans="1:12" x14ac:dyDescent="0.25">
      <c r="A112" s="258" t="s">
        <v>207</v>
      </c>
      <c r="B112" s="260"/>
      <c r="C112" s="260"/>
      <c r="D112" s="260"/>
      <c r="E112" s="260"/>
      <c r="F112" s="260"/>
      <c r="G112" s="220"/>
      <c r="H112" s="220"/>
      <c r="I112" s="220"/>
      <c r="J112" s="218"/>
      <c r="K112" s="222"/>
      <c r="L112" s="222"/>
    </row>
    <row r="113" spans="1:12" x14ac:dyDescent="0.25">
      <c r="A113" s="424" t="s">
        <v>252</v>
      </c>
      <c r="B113" s="254"/>
      <c r="C113" s="254"/>
      <c r="D113" s="254"/>
      <c r="E113" s="254"/>
      <c r="F113" s="254"/>
      <c r="G113" s="222"/>
      <c r="H113" s="222"/>
      <c r="I113" s="222"/>
      <c r="J113" s="223"/>
      <c r="K113" s="222"/>
      <c r="L113" s="222"/>
    </row>
    <row r="114" spans="1:12" x14ac:dyDescent="0.25">
      <c r="A114" s="424" t="s">
        <v>418</v>
      </c>
      <c r="B114" s="254"/>
      <c r="C114" s="254"/>
      <c r="D114" s="254"/>
      <c r="E114" s="254"/>
      <c r="F114" s="254"/>
      <c r="G114" s="222"/>
      <c r="H114" s="222"/>
      <c r="I114" s="222"/>
      <c r="J114" s="223"/>
      <c r="K114" s="222"/>
      <c r="L114" s="222"/>
    </row>
    <row r="115" spans="1:12" x14ac:dyDescent="0.25">
      <c r="A115" s="221" t="s">
        <v>583</v>
      </c>
      <c r="B115" s="254"/>
      <c r="C115" s="254"/>
      <c r="D115" s="254"/>
      <c r="E115" s="254"/>
      <c r="F115" s="254"/>
      <c r="G115" s="222"/>
      <c r="H115" s="222"/>
      <c r="I115" s="222"/>
      <c r="J115" s="223"/>
      <c r="K115" s="222"/>
      <c r="L115" s="222"/>
    </row>
    <row r="116" spans="1:12" x14ac:dyDescent="0.25">
      <c r="A116" s="221" t="s">
        <v>812</v>
      </c>
      <c r="B116" s="254"/>
      <c r="C116" s="254"/>
      <c r="D116" s="254"/>
      <c r="E116" s="254"/>
      <c r="F116" s="254"/>
      <c r="G116" s="222"/>
      <c r="H116" s="222"/>
      <c r="I116" s="222"/>
      <c r="J116" s="223"/>
      <c r="K116" s="222"/>
      <c r="L116" s="222"/>
    </row>
    <row r="117" spans="1:12" ht="12.75" customHeight="1" x14ac:dyDescent="0.25">
      <c r="A117" s="212" t="s">
        <v>813</v>
      </c>
      <c r="B117" s="406"/>
      <c r="C117" s="406"/>
      <c r="D117" s="406"/>
      <c r="E117" s="406"/>
      <c r="F117" s="406"/>
      <c r="G117" s="224"/>
      <c r="H117" s="224"/>
      <c r="I117" s="224"/>
      <c r="J117" s="225"/>
      <c r="K117" s="222"/>
      <c r="L117" s="222"/>
    </row>
    <row r="118" spans="1:12" x14ac:dyDescent="0.25">
      <c r="A118" s="222"/>
      <c r="B118" s="222"/>
      <c r="C118" s="222"/>
      <c r="D118" s="222"/>
      <c r="E118" s="222"/>
      <c r="F118" s="222"/>
      <c r="G118" s="222"/>
      <c r="H118" s="222"/>
      <c r="I118" s="222"/>
      <c r="J118" s="222"/>
      <c r="K118" s="222"/>
      <c r="L118" s="222"/>
    </row>
    <row r="119" spans="1:12" x14ac:dyDescent="0.25">
      <c r="A119" s="575" t="s">
        <v>14</v>
      </c>
      <c r="B119" s="252" t="s">
        <v>637</v>
      </c>
      <c r="C119" s="253" t="s">
        <v>15</v>
      </c>
      <c r="D119" s="254"/>
      <c r="E119" s="254"/>
      <c r="F119" s="254"/>
      <c r="G119" s="222"/>
      <c r="H119" s="222"/>
      <c r="I119" s="222"/>
      <c r="J119" s="222"/>
      <c r="K119" s="222"/>
      <c r="L119" s="222"/>
    </row>
    <row r="120" spans="1:12" x14ac:dyDescent="0.25">
      <c r="A120" s="582" t="s">
        <v>16</v>
      </c>
      <c r="B120" s="326"/>
      <c r="C120" s="253">
        <v>2017</v>
      </c>
      <c r="D120" s="253">
        <v>2018</v>
      </c>
      <c r="E120" s="253">
        <v>2019</v>
      </c>
      <c r="F120" s="253">
        <v>2020</v>
      </c>
      <c r="G120" s="253">
        <v>2021</v>
      </c>
      <c r="H120" s="253">
        <v>2022</v>
      </c>
      <c r="I120" s="253">
        <v>2023</v>
      </c>
      <c r="J120" s="253">
        <v>2024</v>
      </c>
      <c r="K120" s="222"/>
      <c r="L120" s="222"/>
    </row>
    <row r="121" spans="1:12" x14ac:dyDescent="0.25">
      <c r="A121" s="582" t="s">
        <v>17</v>
      </c>
      <c r="B121" s="326"/>
      <c r="C121" s="327">
        <v>130</v>
      </c>
      <c r="D121" s="327">
        <v>130</v>
      </c>
      <c r="E121" s="327">
        <v>130</v>
      </c>
      <c r="F121" s="327">
        <v>130</v>
      </c>
      <c r="G121" s="327">
        <v>130</v>
      </c>
      <c r="H121" s="327">
        <v>130</v>
      </c>
      <c r="I121" s="327">
        <v>130</v>
      </c>
      <c r="J121" s="327">
        <v>130</v>
      </c>
      <c r="K121" s="222"/>
      <c r="L121" s="222"/>
    </row>
    <row r="122" spans="1:12" x14ac:dyDescent="0.25">
      <c r="A122" s="582" t="s">
        <v>18</v>
      </c>
      <c r="B122" s="326"/>
      <c r="C122" s="327">
        <v>257</v>
      </c>
      <c r="D122" s="327">
        <v>257</v>
      </c>
      <c r="E122" s="327">
        <f>E121*1.4+75</f>
        <v>257</v>
      </c>
      <c r="F122" s="327">
        <f>F121*1.4+75</f>
        <v>257</v>
      </c>
      <c r="G122" s="327">
        <f>G121+0.4*E121+75</f>
        <v>257</v>
      </c>
      <c r="H122" s="327">
        <f>H121+0.4*F121+75</f>
        <v>257</v>
      </c>
      <c r="I122" s="327">
        <f>I121+0.4*G121+75</f>
        <v>257</v>
      </c>
      <c r="J122" s="327">
        <f>J121+0.4*H121+75</f>
        <v>257</v>
      </c>
      <c r="K122" s="222"/>
      <c r="L122" s="222"/>
    </row>
    <row r="123" spans="1:12" ht="14.4" customHeight="1" x14ac:dyDescent="0.25">
      <c r="A123" s="582" t="s">
        <v>19</v>
      </c>
      <c r="B123" s="326"/>
      <c r="C123" s="672" t="s">
        <v>167</v>
      </c>
      <c r="D123" s="673"/>
      <c r="E123" s="673"/>
      <c r="F123" s="673"/>
      <c r="G123" s="673"/>
      <c r="H123" s="673"/>
      <c r="I123" s="673"/>
      <c r="J123" s="674"/>
      <c r="K123" s="222"/>
      <c r="L123" s="222"/>
    </row>
    <row r="124" spans="1:12" x14ac:dyDescent="0.25">
      <c r="A124" s="582" t="s">
        <v>20</v>
      </c>
      <c r="B124" s="326"/>
      <c r="C124" s="327">
        <v>59.08</v>
      </c>
      <c r="D124" s="327">
        <v>145.32</v>
      </c>
      <c r="E124" s="327">
        <v>116.8</v>
      </c>
      <c r="F124" s="327">
        <v>110.73</v>
      </c>
      <c r="G124" s="327">
        <v>94</v>
      </c>
      <c r="H124" s="327">
        <v>69.739999999999995</v>
      </c>
      <c r="I124" s="327"/>
      <c r="J124" s="327"/>
      <c r="K124" s="222"/>
      <c r="L124" s="222"/>
    </row>
    <row r="125" spans="1:12" x14ac:dyDescent="0.25">
      <c r="A125" s="582" t="s">
        <v>21</v>
      </c>
      <c r="B125" s="326"/>
      <c r="C125" s="327">
        <f>C122-C124</f>
        <v>197.92000000000002</v>
      </c>
      <c r="D125" s="327">
        <f t="shared" ref="D125:G125" si="3">D122-D124</f>
        <v>111.68</v>
      </c>
      <c r="E125" s="327">
        <f t="shared" si="3"/>
        <v>140.19999999999999</v>
      </c>
      <c r="F125" s="327">
        <f t="shared" si="3"/>
        <v>146.26999999999998</v>
      </c>
      <c r="G125" s="327">
        <f t="shared" si="3"/>
        <v>163</v>
      </c>
      <c r="H125" s="327">
        <f>H122-H124</f>
        <v>187.26</v>
      </c>
      <c r="I125" s="327"/>
      <c r="J125" s="327"/>
      <c r="K125" s="222"/>
      <c r="L125" s="222"/>
    </row>
    <row r="126" spans="1:12" x14ac:dyDescent="0.25">
      <c r="A126" s="583" t="s">
        <v>22</v>
      </c>
      <c r="B126" s="259"/>
      <c r="C126" s="259">
        <v>2019</v>
      </c>
      <c r="D126" s="259">
        <v>2020</v>
      </c>
      <c r="E126" s="259">
        <v>2021</v>
      </c>
      <c r="F126" s="259">
        <v>2022</v>
      </c>
      <c r="G126" s="259">
        <v>2023</v>
      </c>
      <c r="H126" s="259">
        <v>2024</v>
      </c>
      <c r="I126" s="259">
        <v>2025</v>
      </c>
      <c r="J126" s="259">
        <v>2026</v>
      </c>
      <c r="K126" s="222"/>
      <c r="L126" s="222"/>
    </row>
    <row r="127" spans="1:12" x14ac:dyDescent="0.25">
      <c r="A127" s="258" t="s">
        <v>253</v>
      </c>
      <c r="B127" s="260"/>
      <c r="C127" s="260"/>
      <c r="D127" s="260"/>
      <c r="E127" s="260"/>
      <c r="F127" s="260"/>
      <c r="G127" s="260"/>
      <c r="H127" s="220"/>
      <c r="I127" s="220"/>
      <c r="J127" s="218"/>
      <c r="K127" s="222"/>
      <c r="L127" s="222"/>
    </row>
    <row r="128" spans="1:12" x14ac:dyDescent="0.25">
      <c r="A128" s="424" t="s">
        <v>208</v>
      </c>
      <c r="B128" s="254"/>
      <c r="C128" s="254"/>
      <c r="D128" s="254"/>
      <c r="E128" s="254"/>
      <c r="F128" s="254"/>
      <c r="G128" s="254"/>
      <c r="H128" s="222"/>
      <c r="I128" s="222"/>
      <c r="J128" s="223"/>
      <c r="K128" s="222"/>
      <c r="L128" s="222"/>
    </row>
    <row r="129" spans="1:12" x14ac:dyDescent="0.25">
      <c r="A129" s="424" t="s">
        <v>254</v>
      </c>
      <c r="B129" s="254"/>
      <c r="C129" s="254"/>
      <c r="D129" s="254"/>
      <c r="E129" s="254"/>
      <c r="F129" s="254"/>
      <c r="G129" s="254"/>
      <c r="H129" s="222"/>
      <c r="I129" s="222"/>
      <c r="J129" s="223"/>
      <c r="K129" s="222"/>
      <c r="L129" s="222"/>
    </row>
    <row r="130" spans="1:12" x14ac:dyDescent="0.25">
      <c r="A130" s="424" t="s">
        <v>419</v>
      </c>
      <c r="B130" s="254"/>
      <c r="C130" s="254"/>
      <c r="D130" s="254"/>
      <c r="E130" s="254"/>
      <c r="F130" s="254"/>
      <c r="G130" s="254"/>
      <c r="H130" s="222"/>
      <c r="I130" s="222"/>
      <c r="J130" s="223"/>
      <c r="K130" s="222"/>
      <c r="L130" s="222"/>
    </row>
    <row r="131" spans="1:12" x14ac:dyDescent="0.25">
      <c r="A131" s="424" t="s">
        <v>584</v>
      </c>
      <c r="B131" s="254"/>
      <c r="C131" s="254"/>
      <c r="D131" s="254"/>
      <c r="E131" s="254"/>
      <c r="F131" s="254"/>
      <c r="G131" s="254"/>
      <c r="H131" s="222"/>
      <c r="I131" s="222"/>
      <c r="J131" s="223"/>
      <c r="K131" s="222"/>
      <c r="L131" s="222"/>
    </row>
    <row r="132" spans="1:12" x14ac:dyDescent="0.25">
      <c r="A132" s="424" t="s">
        <v>814</v>
      </c>
      <c r="B132" s="254"/>
      <c r="C132" s="254"/>
      <c r="D132" s="254"/>
      <c r="E132" s="254"/>
      <c r="F132" s="254"/>
      <c r="G132" s="254"/>
      <c r="H132" s="222"/>
      <c r="I132" s="222"/>
      <c r="J132" s="223"/>
      <c r="K132" s="222"/>
      <c r="L132" s="222"/>
    </row>
    <row r="133" spans="1:12" x14ac:dyDescent="0.25">
      <c r="A133" s="323" t="s">
        <v>815</v>
      </c>
      <c r="B133" s="406"/>
      <c r="C133" s="406"/>
      <c r="D133" s="406"/>
      <c r="E133" s="406"/>
      <c r="F133" s="406"/>
      <c r="G133" s="406"/>
      <c r="H133" s="224"/>
      <c r="I133" s="224"/>
      <c r="J133" s="225"/>
      <c r="K133" s="222"/>
      <c r="L133" s="222"/>
    </row>
    <row r="134" spans="1:12" x14ac:dyDescent="0.25">
      <c r="A134" s="222"/>
      <c r="B134" s="222"/>
      <c r="C134" s="222"/>
      <c r="D134" s="222"/>
      <c r="E134" s="222"/>
      <c r="F134" s="222"/>
      <c r="G134" s="222"/>
      <c r="H134" s="222"/>
      <c r="I134" s="222"/>
      <c r="J134" s="222"/>
      <c r="K134" s="222"/>
      <c r="L134" s="222"/>
    </row>
    <row r="135" spans="1:12" x14ac:dyDescent="0.25">
      <c r="A135" s="575" t="s">
        <v>14</v>
      </c>
      <c r="B135" s="252" t="s">
        <v>660</v>
      </c>
      <c r="C135" s="253" t="s">
        <v>15</v>
      </c>
      <c r="D135" s="254"/>
      <c r="E135" s="254"/>
      <c r="F135" s="254"/>
      <c r="G135" s="222"/>
      <c r="H135" s="222"/>
      <c r="I135" s="222"/>
      <c r="J135" s="222"/>
      <c r="K135" s="222"/>
      <c r="L135" s="222"/>
    </row>
    <row r="136" spans="1:12" x14ac:dyDescent="0.25">
      <c r="A136" s="326" t="s">
        <v>16</v>
      </c>
      <c r="B136" s="326"/>
      <c r="C136" s="253">
        <v>2017</v>
      </c>
      <c r="D136" s="253">
        <v>2018</v>
      </c>
      <c r="E136" s="253">
        <v>2019</v>
      </c>
      <c r="F136" s="253">
        <v>2020</v>
      </c>
      <c r="G136" s="253">
        <v>2021</v>
      </c>
      <c r="H136" s="253">
        <v>2022</v>
      </c>
      <c r="I136" s="253">
        <v>2023</v>
      </c>
      <c r="J136" s="253">
        <v>2024</v>
      </c>
      <c r="K136" s="222"/>
      <c r="L136" s="222"/>
    </row>
    <row r="137" spans="1:12" x14ac:dyDescent="0.25">
      <c r="A137" s="326" t="s">
        <v>17</v>
      </c>
      <c r="B137" s="326"/>
      <c r="C137" s="327">
        <v>125</v>
      </c>
      <c r="D137" s="327">
        <v>125</v>
      </c>
      <c r="E137" s="327">
        <v>125</v>
      </c>
      <c r="F137" s="327">
        <v>125</v>
      </c>
      <c r="G137" s="327">
        <v>125</v>
      </c>
      <c r="H137" s="327">
        <v>125</v>
      </c>
      <c r="I137" s="327">
        <v>125</v>
      </c>
      <c r="J137" s="327">
        <v>125</v>
      </c>
      <c r="K137" s="222"/>
      <c r="L137" s="222"/>
    </row>
    <row r="138" spans="1:12" x14ac:dyDescent="0.25">
      <c r="A138" s="326" t="s">
        <v>18</v>
      </c>
      <c r="B138" s="326"/>
      <c r="C138" s="327">
        <v>275</v>
      </c>
      <c r="D138" s="327">
        <v>287.5</v>
      </c>
      <c r="E138" s="327">
        <f>E137*1.2+25+50+50</f>
        <v>275</v>
      </c>
      <c r="F138" s="327">
        <f>F137*1.2+25+50+50</f>
        <v>275</v>
      </c>
      <c r="G138" s="327">
        <f>G137+0.2*E137+25+50+50</f>
        <v>275</v>
      </c>
      <c r="H138" s="327">
        <f>H137+0.2*F137+24.94+50+50</f>
        <v>274.94</v>
      </c>
      <c r="I138" s="327">
        <f t="shared" ref="I138:J138" si="4">I137+0.2*G137+25+50+50</f>
        <v>275</v>
      </c>
      <c r="J138" s="327">
        <f t="shared" si="4"/>
        <v>275</v>
      </c>
      <c r="K138" s="222"/>
      <c r="L138" s="222"/>
    </row>
    <row r="139" spans="1:12" ht="14.4" customHeight="1" x14ac:dyDescent="0.25">
      <c r="A139" s="326" t="s">
        <v>19</v>
      </c>
      <c r="B139" s="326"/>
      <c r="C139" s="672" t="s">
        <v>167</v>
      </c>
      <c r="D139" s="673"/>
      <c r="E139" s="673"/>
      <c r="F139" s="673"/>
      <c r="G139" s="673"/>
      <c r="H139" s="673"/>
      <c r="I139" s="673"/>
      <c r="J139" s="674"/>
      <c r="K139" s="222"/>
      <c r="L139" s="222"/>
    </row>
    <row r="140" spans="1:12" x14ac:dyDescent="0.25">
      <c r="A140" s="326" t="s">
        <v>20</v>
      </c>
      <c r="B140" s="326"/>
      <c r="C140" s="327">
        <v>166.01</v>
      </c>
      <c r="D140" s="327">
        <v>115.22</v>
      </c>
      <c r="E140" s="327">
        <v>55.33</v>
      </c>
      <c r="F140" s="327">
        <v>2.12</v>
      </c>
      <c r="G140" s="327">
        <v>29.08</v>
      </c>
      <c r="H140" s="327">
        <v>0</v>
      </c>
      <c r="I140" s="327"/>
      <c r="J140" s="327"/>
      <c r="K140" s="222"/>
      <c r="L140" s="222"/>
    </row>
    <row r="141" spans="1:12" x14ac:dyDescent="0.25">
      <c r="A141" s="326" t="s">
        <v>21</v>
      </c>
      <c r="B141" s="326"/>
      <c r="C141" s="327">
        <f>C138-C140</f>
        <v>108.99000000000001</v>
      </c>
      <c r="D141" s="327">
        <f t="shared" ref="D141:G141" si="5">D138-D140</f>
        <v>172.28</v>
      </c>
      <c r="E141" s="327">
        <f t="shared" si="5"/>
        <v>219.67000000000002</v>
      </c>
      <c r="F141" s="327">
        <f t="shared" si="5"/>
        <v>272.88</v>
      </c>
      <c r="G141" s="327">
        <f t="shared" si="5"/>
        <v>245.92000000000002</v>
      </c>
      <c r="H141" s="327">
        <f>H138-H140</f>
        <v>274.94</v>
      </c>
      <c r="I141" s="327"/>
      <c r="J141" s="327"/>
      <c r="K141" s="222"/>
      <c r="L141" s="222"/>
    </row>
    <row r="142" spans="1:12" x14ac:dyDescent="0.25">
      <c r="A142" s="259" t="s">
        <v>22</v>
      </c>
      <c r="B142" s="259"/>
      <c r="C142" s="259">
        <v>2019</v>
      </c>
      <c r="D142" s="259">
        <v>2020</v>
      </c>
      <c r="E142" s="259">
        <v>2021</v>
      </c>
      <c r="F142" s="259">
        <v>2022</v>
      </c>
      <c r="G142" s="259">
        <v>2023</v>
      </c>
      <c r="H142" s="259">
        <v>2024</v>
      </c>
      <c r="I142" s="259">
        <v>2025</v>
      </c>
      <c r="J142" s="259">
        <v>2026</v>
      </c>
      <c r="K142" s="222"/>
      <c r="L142" s="222"/>
    </row>
    <row r="143" spans="1:12" x14ac:dyDescent="0.25">
      <c r="A143" s="258" t="s">
        <v>256</v>
      </c>
      <c r="B143" s="260"/>
      <c r="C143" s="260"/>
      <c r="D143" s="260"/>
      <c r="E143" s="260"/>
      <c r="F143" s="260"/>
      <c r="G143" s="220"/>
      <c r="H143" s="220"/>
      <c r="I143" s="220"/>
      <c r="J143" s="218"/>
      <c r="K143" s="222"/>
      <c r="L143" s="222"/>
    </row>
    <row r="144" spans="1:12" x14ac:dyDescent="0.25">
      <c r="A144" s="424" t="s">
        <v>257</v>
      </c>
      <c r="B144" s="254"/>
      <c r="C144" s="254"/>
      <c r="D144" s="254"/>
      <c r="E144" s="254"/>
      <c r="F144" s="254"/>
      <c r="G144" s="222"/>
      <c r="H144" s="222"/>
      <c r="I144" s="222"/>
      <c r="J144" s="223"/>
      <c r="K144" s="222"/>
      <c r="L144" s="222"/>
    </row>
    <row r="145" spans="1:12" x14ac:dyDescent="0.25">
      <c r="A145" s="424" t="s">
        <v>258</v>
      </c>
      <c r="B145" s="254"/>
      <c r="C145" s="254"/>
      <c r="D145" s="254"/>
      <c r="E145" s="254"/>
      <c r="F145" s="254"/>
      <c r="G145" s="222"/>
      <c r="H145" s="222"/>
      <c r="I145" s="222"/>
      <c r="J145" s="223"/>
      <c r="K145" s="222"/>
      <c r="L145" s="222"/>
    </row>
    <row r="146" spans="1:12" x14ac:dyDescent="0.25">
      <c r="A146" s="424" t="s">
        <v>209</v>
      </c>
      <c r="B146" s="254"/>
      <c r="C146" s="254"/>
      <c r="D146" s="254"/>
      <c r="E146" s="254"/>
      <c r="F146" s="254"/>
      <c r="G146" s="222"/>
      <c r="H146" s="222"/>
      <c r="I146" s="222"/>
      <c r="J146" s="223"/>
      <c r="K146" s="222"/>
      <c r="L146" s="222"/>
    </row>
    <row r="147" spans="1:12" x14ac:dyDescent="0.25">
      <c r="A147" s="424" t="s">
        <v>255</v>
      </c>
      <c r="B147" s="254"/>
      <c r="C147" s="254"/>
      <c r="D147" s="254"/>
      <c r="E147" s="254"/>
      <c r="F147" s="254"/>
      <c r="G147" s="222"/>
      <c r="H147" s="222"/>
      <c r="I147" s="222"/>
      <c r="J147" s="223"/>
      <c r="K147" s="222"/>
      <c r="L147" s="222"/>
    </row>
    <row r="148" spans="1:12" x14ac:dyDescent="0.25">
      <c r="A148" s="424" t="s">
        <v>420</v>
      </c>
      <c r="B148" s="254"/>
      <c r="C148" s="254"/>
      <c r="D148" s="254"/>
      <c r="E148" s="254"/>
      <c r="F148" s="254"/>
      <c r="G148" s="222"/>
      <c r="H148" s="222"/>
      <c r="I148" s="222"/>
      <c r="J148" s="223"/>
      <c r="K148" s="222"/>
      <c r="L148" s="222"/>
    </row>
    <row r="149" spans="1:12" x14ac:dyDescent="0.25">
      <c r="A149" s="221" t="s">
        <v>585</v>
      </c>
      <c r="B149" s="254"/>
      <c r="C149" s="254"/>
      <c r="D149" s="254"/>
      <c r="E149" s="254"/>
      <c r="F149" s="254"/>
      <c r="G149" s="222"/>
      <c r="H149" s="222"/>
      <c r="I149" s="222"/>
      <c r="J149" s="223"/>
      <c r="K149" s="222"/>
      <c r="L149" s="222"/>
    </row>
    <row r="150" spans="1:12" x14ac:dyDescent="0.25">
      <c r="A150" s="221" t="s">
        <v>816</v>
      </c>
      <c r="B150" s="254"/>
      <c r="C150" s="254"/>
      <c r="D150" s="254"/>
      <c r="E150" s="254"/>
      <c r="F150" s="254"/>
      <c r="G150" s="222"/>
      <c r="H150" s="222"/>
      <c r="I150" s="222"/>
      <c r="J150" s="223"/>
      <c r="K150" s="222"/>
      <c r="L150" s="222"/>
    </row>
    <row r="151" spans="1:12" x14ac:dyDescent="0.25">
      <c r="A151" s="212" t="s">
        <v>817</v>
      </c>
      <c r="B151" s="224"/>
      <c r="C151" s="224"/>
      <c r="D151" s="224"/>
      <c r="E151" s="224"/>
      <c r="F151" s="224"/>
      <c r="G151" s="224"/>
      <c r="H151" s="224"/>
      <c r="I151" s="224"/>
      <c r="J151" s="225"/>
      <c r="K151" s="222"/>
      <c r="L151" s="222"/>
    </row>
    <row r="152" spans="1:12" x14ac:dyDescent="0.25">
      <c r="A152" s="222"/>
      <c r="B152" s="222"/>
      <c r="C152" s="222"/>
      <c r="D152" s="222"/>
      <c r="E152" s="222"/>
      <c r="F152" s="222"/>
      <c r="G152" s="222"/>
      <c r="H152" s="222"/>
      <c r="I152" s="222"/>
      <c r="J152" s="222"/>
      <c r="K152" s="222"/>
      <c r="L152" s="222"/>
    </row>
    <row r="153" spans="1:12" x14ac:dyDescent="0.25">
      <c r="A153" s="222"/>
      <c r="B153" s="222"/>
      <c r="C153" s="222"/>
      <c r="D153" s="222"/>
      <c r="E153" s="222"/>
      <c r="F153" s="222"/>
      <c r="G153" s="222"/>
      <c r="H153" s="222"/>
      <c r="I153" s="222"/>
      <c r="J153" s="222"/>
      <c r="K153" s="222"/>
      <c r="L153" s="222"/>
    </row>
    <row r="154" spans="1:12" x14ac:dyDescent="0.25">
      <c r="A154" s="395" t="s">
        <v>12</v>
      </c>
      <c r="B154" s="554" t="s">
        <v>165</v>
      </c>
      <c r="C154" s="254"/>
      <c r="D154" s="254"/>
      <c r="E154" s="254"/>
      <c r="F154" s="254"/>
      <c r="G154" s="254"/>
      <c r="H154" s="222"/>
      <c r="I154" s="222"/>
      <c r="J154" s="222"/>
      <c r="K154" s="222"/>
      <c r="L154" s="222"/>
    </row>
    <row r="155" spans="1:12" x14ac:dyDescent="0.25">
      <c r="A155" s="251" t="s">
        <v>14</v>
      </c>
      <c r="B155" s="252" t="s">
        <v>638</v>
      </c>
      <c r="C155" s="253" t="s">
        <v>15</v>
      </c>
      <c r="D155" s="254"/>
      <c r="E155" s="254"/>
      <c r="F155" s="254"/>
      <c r="G155" s="254"/>
      <c r="H155" s="222"/>
      <c r="I155" s="222"/>
      <c r="J155" s="222"/>
      <c r="K155" s="222"/>
      <c r="L155" s="222"/>
    </row>
    <row r="156" spans="1:12" x14ac:dyDescent="0.25">
      <c r="A156" s="255" t="s">
        <v>16</v>
      </c>
      <c r="B156" s="253">
        <v>2014</v>
      </c>
      <c r="C156" s="253">
        <v>2015</v>
      </c>
      <c r="D156" s="256">
        <v>2016</v>
      </c>
      <c r="E156" s="253">
        <v>2017</v>
      </c>
      <c r="F156" s="252">
        <v>2018</v>
      </c>
      <c r="G156" s="252">
        <v>2019</v>
      </c>
      <c r="H156" s="252">
        <v>2020</v>
      </c>
      <c r="I156" s="252">
        <v>2021</v>
      </c>
      <c r="J156" s="252">
        <v>2022</v>
      </c>
      <c r="K156" s="252">
        <v>2023</v>
      </c>
      <c r="L156" s="222"/>
    </row>
    <row r="157" spans="1:12" x14ac:dyDescent="0.25">
      <c r="A157" s="255" t="s">
        <v>17</v>
      </c>
      <c r="B157" s="584">
        <v>200</v>
      </c>
      <c r="C157" s="584">
        <v>200</v>
      </c>
      <c r="D157" s="584">
        <v>200</v>
      </c>
      <c r="E157" s="584">
        <v>200</v>
      </c>
      <c r="F157" s="585">
        <v>200</v>
      </c>
      <c r="G157" s="585">
        <v>215</v>
      </c>
      <c r="H157" s="585">
        <v>215</v>
      </c>
      <c r="I157" s="585">
        <v>242</v>
      </c>
      <c r="J157" s="585">
        <v>242</v>
      </c>
      <c r="K157" s="585">
        <v>242</v>
      </c>
      <c r="L157" s="222"/>
    </row>
    <row r="158" spans="1:12" x14ac:dyDescent="0.25">
      <c r="A158" s="255" t="s">
        <v>18</v>
      </c>
      <c r="B158" s="584">
        <v>250</v>
      </c>
      <c r="C158" s="584">
        <v>250</v>
      </c>
      <c r="D158" s="584">
        <v>250</v>
      </c>
      <c r="E158" s="584">
        <v>250</v>
      </c>
      <c r="F158" s="585">
        <v>250</v>
      </c>
      <c r="G158" s="585">
        <f>E157*0.25+G157</f>
        <v>265</v>
      </c>
      <c r="H158" s="585">
        <f>H157+0.25*G157</f>
        <v>268.75</v>
      </c>
      <c r="I158" s="585">
        <f>I157+0.25*H157</f>
        <v>295.75</v>
      </c>
      <c r="J158" s="585">
        <f>J157+0.25*I157</f>
        <v>302.5</v>
      </c>
      <c r="K158" s="585">
        <f>K157+0.25*J157</f>
        <v>302.5</v>
      </c>
      <c r="L158" s="222"/>
    </row>
    <row r="159" spans="1:12" x14ac:dyDescent="0.25">
      <c r="A159" s="255" t="s">
        <v>19</v>
      </c>
      <c r="B159" s="443" t="s">
        <v>317</v>
      </c>
      <c r="C159" s="443" t="s">
        <v>317</v>
      </c>
      <c r="D159" s="443" t="s">
        <v>317</v>
      </c>
      <c r="E159" s="443" t="s">
        <v>317</v>
      </c>
      <c r="F159" s="443" t="s">
        <v>317</v>
      </c>
      <c r="G159" s="443" t="s">
        <v>375</v>
      </c>
      <c r="H159" s="443" t="s">
        <v>431</v>
      </c>
      <c r="I159" s="443" t="s">
        <v>671</v>
      </c>
      <c r="J159" s="443" t="s">
        <v>672</v>
      </c>
      <c r="K159" s="443" t="s">
        <v>672</v>
      </c>
      <c r="L159" s="222"/>
    </row>
    <row r="160" spans="1:12" x14ac:dyDescent="0.25">
      <c r="A160" s="255" t="s">
        <v>20</v>
      </c>
      <c r="B160" s="584">
        <v>0</v>
      </c>
      <c r="C160" s="584">
        <v>0</v>
      </c>
      <c r="D160" s="584">
        <v>0</v>
      </c>
      <c r="E160" s="584">
        <v>0</v>
      </c>
      <c r="F160" s="585">
        <v>0</v>
      </c>
      <c r="G160" s="585">
        <v>0</v>
      </c>
      <c r="H160" s="585">
        <v>0</v>
      </c>
      <c r="I160" s="585">
        <v>0</v>
      </c>
      <c r="J160" s="585">
        <v>0</v>
      </c>
      <c r="K160" s="585"/>
      <c r="L160" s="222"/>
    </row>
    <row r="161" spans="1:12" x14ac:dyDescent="0.25">
      <c r="A161" s="255" t="s">
        <v>21</v>
      </c>
      <c r="B161" s="584">
        <v>250</v>
      </c>
      <c r="C161" s="584">
        <v>250</v>
      </c>
      <c r="D161" s="584">
        <v>250</v>
      </c>
      <c r="E161" s="584">
        <v>250</v>
      </c>
      <c r="F161" s="585">
        <v>250</v>
      </c>
      <c r="G161" s="585">
        <f>G158</f>
        <v>265</v>
      </c>
      <c r="H161" s="585">
        <f>H158</f>
        <v>268.75</v>
      </c>
      <c r="I161" s="585">
        <f>I158</f>
        <v>295.75</v>
      </c>
      <c r="J161" s="585">
        <f>J158-J160</f>
        <v>302.5</v>
      </c>
      <c r="K161" s="585"/>
      <c r="L161" s="222"/>
    </row>
    <row r="162" spans="1:12" x14ac:dyDescent="0.25">
      <c r="A162" s="258" t="s">
        <v>22</v>
      </c>
      <c r="B162" s="444">
        <v>2015</v>
      </c>
      <c r="C162" s="444">
        <v>2016</v>
      </c>
      <c r="D162" s="444">
        <v>2017</v>
      </c>
      <c r="E162" s="444">
        <v>2018</v>
      </c>
      <c r="F162" s="444">
        <v>2019</v>
      </c>
      <c r="G162" s="444">
        <v>2020</v>
      </c>
      <c r="H162" s="444">
        <v>2021</v>
      </c>
      <c r="I162" s="444">
        <v>2022</v>
      </c>
      <c r="J162" s="444">
        <v>2023</v>
      </c>
      <c r="K162" s="444">
        <v>2024</v>
      </c>
      <c r="L162" s="222"/>
    </row>
    <row r="163" spans="1:12" x14ac:dyDescent="0.25">
      <c r="A163" s="255" t="s">
        <v>848</v>
      </c>
      <c r="B163" s="586"/>
      <c r="C163" s="586"/>
      <c r="D163" s="586"/>
      <c r="E163" s="586"/>
      <c r="F163" s="586"/>
      <c r="G163" s="586"/>
      <c r="H163" s="586"/>
      <c r="I163" s="586"/>
      <c r="J163" s="233"/>
      <c r="K163" s="233"/>
      <c r="L163" s="222"/>
    </row>
    <row r="164" spans="1:12" x14ac:dyDescent="0.25">
      <c r="A164" s="222"/>
      <c r="B164" s="222"/>
      <c r="C164" s="222"/>
      <c r="D164" s="222"/>
      <c r="E164" s="222"/>
      <c r="F164" s="222"/>
      <c r="G164" s="222"/>
      <c r="H164" s="222"/>
      <c r="I164" s="222"/>
      <c r="J164" s="222"/>
      <c r="K164" s="222"/>
      <c r="L164" s="222"/>
    </row>
    <row r="165" spans="1:12" x14ac:dyDescent="0.25">
      <c r="A165" s="251" t="s">
        <v>14</v>
      </c>
      <c r="B165" s="252" t="s">
        <v>657</v>
      </c>
      <c r="C165" s="253" t="s">
        <v>15</v>
      </c>
      <c r="D165" s="254"/>
      <c r="E165" s="254"/>
      <c r="F165" s="254"/>
      <c r="G165" s="254"/>
      <c r="H165" s="222"/>
      <c r="I165" s="222"/>
      <c r="J165" s="222"/>
      <c r="K165" s="222"/>
      <c r="L165" s="222"/>
    </row>
    <row r="166" spans="1:12" x14ac:dyDescent="0.25">
      <c r="A166" s="255" t="s">
        <v>16</v>
      </c>
      <c r="B166" s="253">
        <v>2014</v>
      </c>
      <c r="C166" s="253">
        <v>2015</v>
      </c>
      <c r="D166" s="256">
        <v>2016</v>
      </c>
      <c r="E166" s="253">
        <v>2017</v>
      </c>
      <c r="F166" s="252">
        <v>2018</v>
      </c>
      <c r="G166" s="252">
        <v>2019</v>
      </c>
      <c r="H166" s="252">
        <v>2020</v>
      </c>
      <c r="I166" s="252">
        <v>2021</v>
      </c>
      <c r="J166" s="252">
        <v>2022</v>
      </c>
      <c r="K166" s="252">
        <v>2023</v>
      </c>
      <c r="L166" s="222"/>
    </row>
    <row r="167" spans="1:12" x14ac:dyDescent="0.25">
      <c r="A167" s="255" t="s">
        <v>17</v>
      </c>
      <c r="B167" s="257">
        <v>2160</v>
      </c>
      <c r="C167" s="257">
        <v>2160</v>
      </c>
      <c r="D167" s="257">
        <v>2160</v>
      </c>
      <c r="E167" s="257">
        <v>2160</v>
      </c>
      <c r="F167" s="587">
        <v>2160</v>
      </c>
      <c r="G167" s="587">
        <v>2160</v>
      </c>
      <c r="H167" s="587">
        <v>2160</v>
      </c>
      <c r="I167" s="587">
        <v>2160</v>
      </c>
      <c r="J167" s="587">
        <v>2160</v>
      </c>
      <c r="K167" s="587">
        <v>2600</v>
      </c>
      <c r="L167" s="222"/>
    </row>
    <row r="168" spans="1:12" x14ac:dyDescent="0.25">
      <c r="A168" s="255" t="s">
        <v>18</v>
      </c>
      <c r="B168" s="257">
        <v>2700</v>
      </c>
      <c r="C168" s="257">
        <v>2700</v>
      </c>
      <c r="D168" s="257">
        <v>2700</v>
      </c>
      <c r="E168" s="257">
        <v>2600</v>
      </c>
      <c r="F168" s="257">
        <v>2600</v>
      </c>
      <c r="G168" s="257">
        <v>2600</v>
      </c>
      <c r="H168" s="257">
        <f>H167+0.25*G167-200</f>
        <v>2500</v>
      </c>
      <c r="I168" s="257">
        <f>I167+0.25*H167</f>
        <v>2700</v>
      </c>
      <c r="J168" s="257">
        <f>2700-129.95</f>
        <v>2570.0500000000002</v>
      </c>
      <c r="K168" s="257">
        <f>K167+0.25*I167-100</f>
        <v>3040</v>
      </c>
      <c r="L168" s="222"/>
    </row>
    <row r="169" spans="1:12" ht="27.6" customHeight="1" x14ac:dyDescent="0.25">
      <c r="A169" s="255" t="s">
        <v>19</v>
      </c>
      <c r="B169" s="588" t="s">
        <v>318</v>
      </c>
      <c r="C169" s="588" t="s">
        <v>318</v>
      </c>
      <c r="D169" s="588" t="s">
        <v>318</v>
      </c>
      <c r="E169" s="588" t="s">
        <v>319</v>
      </c>
      <c r="F169" s="588" t="s">
        <v>319</v>
      </c>
      <c r="G169" s="588" t="s">
        <v>319</v>
      </c>
      <c r="H169" s="588" t="s">
        <v>433</v>
      </c>
      <c r="I169" s="588" t="s">
        <v>318</v>
      </c>
      <c r="J169" s="588" t="s">
        <v>885</v>
      </c>
      <c r="K169" s="588" t="s">
        <v>884</v>
      </c>
      <c r="L169" s="222"/>
    </row>
    <row r="170" spans="1:12" x14ac:dyDescent="0.25">
      <c r="A170" s="255" t="s">
        <v>20</v>
      </c>
      <c r="B170" s="257">
        <v>462.36</v>
      </c>
      <c r="C170" s="257">
        <v>490.22</v>
      </c>
      <c r="D170" s="257">
        <v>657.59</v>
      </c>
      <c r="E170" s="257">
        <v>496.85</v>
      </c>
      <c r="F170" s="587">
        <v>396</v>
      </c>
      <c r="G170" s="587">
        <v>1002.664409132517</v>
      </c>
      <c r="H170" s="587">
        <v>617</v>
      </c>
      <c r="I170" s="587">
        <v>516</v>
      </c>
      <c r="J170" s="587">
        <v>543</v>
      </c>
      <c r="K170" s="587"/>
      <c r="L170" s="222"/>
    </row>
    <row r="171" spans="1:12" x14ac:dyDescent="0.25">
      <c r="A171" s="255" t="s">
        <v>21</v>
      </c>
      <c r="B171" s="257">
        <f t="shared" ref="B171:G171" si="6">B168-B170</f>
        <v>2237.64</v>
      </c>
      <c r="C171" s="257">
        <f t="shared" si="6"/>
        <v>2209.7799999999997</v>
      </c>
      <c r="D171" s="257">
        <f t="shared" si="6"/>
        <v>2042.4099999999999</v>
      </c>
      <c r="E171" s="257">
        <f t="shared" si="6"/>
        <v>2103.15</v>
      </c>
      <c r="F171" s="257">
        <f t="shared" si="6"/>
        <v>2204</v>
      </c>
      <c r="G171" s="257">
        <f t="shared" si="6"/>
        <v>1597.335590867483</v>
      </c>
      <c r="H171" s="257">
        <f t="shared" ref="H171:J171" si="7">H168-H170</f>
        <v>1883</v>
      </c>
      <c r="I171" s="257">
        <f t="shared" si="7"/>
        <v>2184</v>
      </c>
      <c r="J171" s="257">
        <f t="shared" si="7"/>
        <v>2027.0500000000002</v>
      </c>
      <c r="K171" s="257"/>
      <c r="L171" s="222"/>
    </row>
    <row r="172" spans="1:12" x14ac:dyDescent="0.25">
      <c r="A172" s="258" t="s">
        <v>22</v>
      </c>
      <c r="B172" s="444">
        <v>2016</v>
      </c>
      <c r="C172" s="444">
        <v>2017</v>
      </c>
      <c r="D172" s="444">
        <v>2018</v>
      </c>
      <c r="E172" s="444">
        <v>2019</v>
      </c>
      <c r="F172" s="444">
        <v>2020</v>
      </c>
      <c r="G172" s="444">
        <v>2021</v>
      </c>
      <c r="H172" s="444">
        <v>2022</v>
      </c>
      <c r="I172" s="444">
        <v>2023</v>
      </c>
      <c r="J172" s="444">
        <v>2024</v>
      </c>
      <c r="K172" s="444">
        <v>2025</v>
      </c>
      <c r="L172" s="222"/>
    </row>
    <row r="173" spans="1:12" x14ac:dyDescent="0.25">
      <c r="A173" s="678" t="s">
        <v>849</v>
      </c>
      <c r="B173" s="679"/>
      <c r="C173" s="679"/>
      <c r="D173" s="679"/>
      <c r="E173" s="679"/>
      <c r="F173" s="679"/>
      <c r="G173" s="679"/>
      <c r="H173" s="510"/>
      <c r="I173" s="510"/>
      <c r="J173" s="510"/>
      <c r="K173" s="233"/>
      <c r="L173" s="222"/>
    </row>
    <row r="174" spans="1:12" x14ac:dyDescent="0.25">
      <c r="A174" s="435" t="s">
        <v>320</v>
      </c>
      <c r="B174" s="436"/>
      <c r="C174" s="436"/>
      <c r="D174" s="436"/>
      <c r="E174" s="436"/>
      <c r="F174" s="436"/>
      <c r="G174" s="436"/>
      <c r="H174" s="220"/>
      <c r="I174" s="220"/>
      <c r="J174" s="220"/>
      <c r="K174" s="218"/>
      <c r="L174" s="222"/>
    </row>
    <row r="175" spans="1:12" x14ac:dyDescent="0.25">
      <c r="A175" s="335" t="s">
        <v>432</v>
      </c>
      <c r="B175" s="581"/>
      <c r="C175" s="581"/>
      <c r="D175" s="581"/>
      <c r="E175" s="581"/>
      <c r="F175" s="581"/>
      <c r="G175" s="581"/>
      <c r="H175" s="222"/>
      <c r="I175" s="222"/>
      <c r="J175" s="222"/>
      <c r="K175" s="223"/>
      <c r="L175" s="222"/>
    </row>
    <row r="176" spans="1:12" x14ac:dyDescent="0.25">
      <c r="A176" s="335" t="s">
        <v>881</v>
      </c>
      <c r="B176" s="581"/>
      <c r="C176" s="581"/>
      <c r="D176" s="581"/>
      <c r="E176" s="581"/>
      <c r="F176" s="581"/>
      <c r="G176" s="581"/>
      <c r="H176" s="222"/>
      <c r="I176" s="222"/>
      <c r="J176" s="222"/>
      <c r="K176" s="223"/>
      <c r="L176" s="222"/>
    </row>
    <row r="177" spans="1:12" x14ac:dyDescent="0.25">
      <c r="A177" s="249" t="s">
        <v>883</v>
      </c>
      <c r="B177" s="250"/>
      <c r="C177" s="250"/>
      <c r="D177" s="250"/>
      <c r="E177" s="250"/>
      <c r="F177" s="250"/>
      <c r="G177" s="250"/>
      <c r="H177" s="224"/>
      <c r="I177" s="224"/>
      <c r="J177" s="224"/>
      <c r="K177" s="225"/>
      <c r="L177" s="222"/>
    </row>
    <row r="178" spans="1:12" x14ac:dyDescent="0.25">
      <c r="A178" s="222"/>
      <c r="B178" s="222"/>
      <c r="C178" s="222"/>
      <c r="D178" s="222"/>
      <c r="E178" s="222"/>
      <c r="F178" s="222"/>
      <c r="G178" s="222"/>
      <c r="H178" s="222"/>
      <c r="I178" s="222"/>
      <c r="J178" s="222"/>
      <c r="K178" s="222"/>
      <c r="L178" s="222"/>
    </row>
    <row r="179" spans="1:12" x14ac:dyDescent="0.25">
      <c r="A179" s="251" t="s">
        <v>14</v>
      </c>
      <c r="B179" s="252" t="s">
        <v>637</v>
      </c>
      <c r="C179" s="589" t="s">
        <v>15</v>
      </c>
      <c r="D179" s="254"/>
      <c r="E179" s="254"/>
      <c r="F179" s="254"/>
      <c r="G179" s="222"/>
      <c r="H179" s="222"/>
      <c r="I179" s="222"/>
      <c r="J179" s="222"/>
      <c r="K179" s="222"/>
      <c r="L179" s="222"/>
    </row>
    <row r="180" spans="1:12" x14ac:dyDescent="0.25">
      <c r="A180" s="255" t="s">
        <v>16</v>
      </c>
      <c r="B180" s="253">
        <v>2014</v>
      </c>
      <c r="C180" s="253">
        <v>2015</v>
      </c>
      <c r="D180" s="256">
        <v>2016</v>
      </c>
      <c r="E180" s="253">
        <v>2017</v>
      </c>
      <c r="F180" s="252">
        <v>2018</v>
      </c>
      <c r="G180" s="252">
        <v>2019</v>
      </c>
      <c r="H180" s="252">
        <v>2020</v>
      </c>
      <c r="I180" s="252">
        <v>2021</v>
      </c>
      <c r="J180" s="252">
        <v>2022</v>
      </c>
      <c r="K180" s="252">
        <v>2023</v>
      </c>
      <c r="L180" s="222"/>
    </row>
    <row r="181" spans="1:12" x14ac:dyDescent="0.25">
      <c r="A181" s="255" t="s">
        <v>17</v>
      </c>
      <c r="B181" s="584">
        <v>50</v>
      </c>
      <c r="C181" s="584">
        <v>50</v>
      </c>
      <c r="D181" s="584">
        <v>50</v>
      </c>
      <c r="E181" s="584">
        <v>50</v>
      </c>
      <c r="F181" s="584">
        <v>50</v>
      </c>
      <c r="G181" s="584">
        <v>50</v>
      </c>
      <c r="H181" s="584">
        <v>50</v>
      </c>
      <c r="I181" s="584">
        <v>50</v>
      </c>
      <c r="J181" s="584">
        <v>50</v>
      </c>
      <c r="K181" s="584">
        <v>50</v>
      </c>
      <c r="L181" s="222"/>
    </row>
    <row r="182" spans="1:12" x14ac:dyDescent="0.25">
      <c r="A182" s="255" t="s">
        <v>18</v>
      </c>
      <c r="B182" s="584">
        <v>75</v>
      </c>
      <c r="C182" s="584">
        <v>50</v>
      </c>
      <c r="D182" s="584">
        <v>50</v>
      </c>
      <c r="E182" s="584">
        <f>E181*1.5-25</f>
        <v>50</v>
      </c>
      <c r="F182" s="584">
        <f>F181*1.4-25</f>
        <v>45</v>
      </c>
      <c r="G182" s="584">
        <f>G181*1.4-25</f>
        <v>45</v>
      </c>
      <c r="H182" s="584">
        <f t="shared" ref="H182:J182" si="8">H181*1.4-25</f>
        <v>45</v>
      </c>
      <c r="I182" s="584">
        <f t="shared" si="8"/>
        <v>45</v>
      </c>
      <c r="J182" s="584">
        <f t="shared" si="8"/>
        <v>45</v>
      </c>
      <c r="K182" s="584">
        <f>K181*1.4</f>
        <v>70</v>
      </c>
      <c r="L182" s="222"/>
    </row>
    <row r="183" spans="1:12" x14ac:dyDescent="0.25">
      <c r="A183" s="255" t="s">
        <v>19</v>
      </c>
      <c r="B183" s="584" t="s">
        <v>321</v>
      </c>
      <c r="C183" s="584" t="s">
        <v>322</v>
      </c>
      <c r="D183" s="584" t="s">
        <v>322</v>
      </c>
      <c r="E183" s="584" t="s">
        <v>322</v>
      </c>
      <c r="F183" s="584" t="s">
        <v>323</v>
      </c>
      <c r="G183" s="584" t="s">
        <v>323</v>
      </c>
      <c r="H183" s="584" t="s">
        <v>323</v>
      </c>
      <c r="I183" s="584" t="s">
        <v>323</v>
      </c>
      <c r="J183" s="584" t="s">
        <v>323</v>
      </c>
      <c r="K183" s="584" t="s">
        <v>847</v>
      </c>
      <c r="L183" s="222"/>
    </row>
    <row r="184" spans="1:12" x14ac:dyDescent="0.25">
      <c r="A184" s="255" t="s">
        <v>20</v>
      </c>
      <c r="B184" s="584">
        <v>0</v>
      </c>
      <c r="C184" s="584">
        <v>0</v>
      </c>
      <c r="D184" s="584">
        <v>0</v>
      </c>
      <c r="E184" s="584">
        <v>0</v>
      </c>
      <c r="F184" s="584">
        <v>0</v>
      </c>
      <c r="G184" s="584">
        <v>0</v>
      </c>
      <c r="H184" s="584">
        <v>0</v>
      </c>
      <c r="I184" s="584">
        <v>0</v>
      </c>
      <c r="J184" s="584">
        <v>0</v>
      </c>
      <c r="K184" s="584"/>
      <c r="L184" s="222"/>
    </row>
    <row r="185" spans="1:12" x14ac:dyDescent="0.25">
      <c r="A185" s="255" t="s">
        <v>21</v>
      </c>
      <c r="B185" s="584">
        <f>B182</f>
        <v>75</v>
      </c>
      <c r="C185" s="584">
        <f t="shared" ref="C185:G185" si="9">C182</f>
        <v>50</v>
      </c>
      <c r="D185" s="584">
        <f t="shared" si="9"/>
        <v>50</v>
      </c>
      <c r="E185" s="584">
        <f t="shared" si="9"/>
        <v>50</v>
      </c>
      <c r="F185" s="584">
        <f t="shared" si="9"/>
        <v>45</v>
      </c>
      <c r="G185" s="584">
        <f t="shared" si="9"/>
        <v>45</v>
      </c>
      <c r="H185" s="584">
        <f t="shared" ref="H185:I185" si="10">H182</f>
        <v>45</v>
      </c>
      <c r="I185" s="584">
        <f t="shared" si="10"/>
        <v>45</v>
      </c>
      <c r="J185" s="584">
        <f>J182-J184</f>
        <v>45</v>
      </c>
      <c r="K185" s="584"/>
      <c r="L185" s="222"/>
    </row>
    <row r="186" spans="1:12" x14ac:dyDescent="0.25">
      <c r="A186" s="258" t="s">
        <v>22</v>
      </c>
      <c r="B186" s="444">
        <v>2015</v>
      </c>
      <c r="C186" s="444">
        <v>2016</v>
      </c>
      <c r="D186" s="444">
        <v>2017</v>
      </c>
      <c r="E186" s="444">
        <v>2018</v>
      </c>
      <c r="F186" s="444">
        <v>2019</v>
      </c>
      <c r="G186" s="444">
        <v>2020</v>
      </c>
      <c r="H186" s="444">
        <v>2021</v>
      </c>
      <c r="I186" s="444">
        <v>2022</v>
      </c>
      <c r="J186" s="444">
        <v>2023</v>
      </c>
      <c r="K186" s="444">
        <v>2024</v>
      </c>
      <c r="L186" s="222"/>
    </row>
    <row r="187" spans="1:12" x14ac:dyDescent="0.25">
      <c r="A187" s="678" t="s">
        <v>850</v>
      </c>
      <c r="B187" s="679"/>
      <c r="C187" s="679"/>
      <c r="D187" s="679"/>
      <c r="E187" s="679"/>
      <c r="F187" s="679"/>
      <c r="G187" s="679"/>
      <c r="H187" s="510"/>
      <c r="I187" s="510"/>
      <c r="J187" s="510"/>
      <c r="K187" s="233"/>
      <c r="L187" s="222"/>
    </row>
    <row r="188" spans="1:12" x14ac:dyDescent="0.25">
      <c r="A188" s="516" t="s">
        <v>718</v>
      </c>
      <c r="B188" s="517"/>
      <c r="C188" s="517"/>
      <c r="D188" s="517"/>
      <c r="E188" s="517"/>
      <c r="F188" s="517"/>
      <c r="G188" s="517"/>
      <c r="H188" s="510"/>
      <c r="I188" s="510"/>
      <c r="J188" s="510"/>
      <c r="K188" s="233"/>
      <c r="L188" s="222"/>
    </row>
    <row r="189" spans="1:12" x14ac:dyDescent="0.25">
      <c r="A189" s="222"/>
      <c r="B189" s="222"/>
      <c r="C189" s="222"/>
      <c r="D189" s="222"/>
      <c r="E189" s="222"/>
      <c r="F189" s="222"/>
      <c r="G189" s="222"/>
      <c r="H189" s="222"/>
      <c r="I189" s="222"/>
      <c r="J189" s="222"/>
      <c r="K189" s="222"/>
      <c r="L189" s="222"/>
    </row>
    <row r="190" spans="1:12" x14ac:dyDescent="0.25">
      <c r="A190" s="251" t="s">
        <v>14</v>
      </c>
      <c r="B190" s="252" t="s">
        <v>660</v>
      </c>
      <c r="C190" s="253" t="s">
        <v>15</v>
      </c>
      <c r="D190" s="254"/>
      <c r="E190" s="254"/>
      <c r="F190" s="254"/>
      <c r="G190" s="254"/>
      <c r="H190" s="222"/>
      <c r="I190" s="222"/>
      <c r="J190" s="222"/>
      <c r="K190" s="222"/>
      <c r="L190" s="222"/>
    </row>
    <row r="191" spans="1:12" x14ac:dyDescent="0.25">
      <c r="A191" s="255" t="s">
        <v>16</v>
      </c>
      <c r="B191" s="253">
        <v>2014</v>
      </c>
      <c r="C191" s="253">
        <v>2015</v>
      </c>
      <c r="D191" s="256">
        <v>2016</v>
      </c>
      <c r="E191" s="253">
        <v>2017</v>
      </c>
      <c r="F191" s="252">
        <v>2018</v>
      </c>
      <c r="G191" s="252">
        <v>2019</v>
      </c>
      <c r="H191" s="252">
        <v>2020</v>
      </c>
      <c r="I191" s="252">
        <v>2021</v>
      </c>
      <c r="J191" s="252">
        <v>2022</v>
      </c>
      <c r="K191" s="252">
        <v>2023</v>
      </c>
      <c r="L191" s="222"/>
    </row>
    <row r="192" spans="1:12" x14ac:dyDescent="0.25">
      <c r="A192" s="255" t="s">
        <v>17</v>
      </c>
      <c r="B192" s="257">
        <v>3940</v>
      </c>
      <c r="C192" s="257">
        <v>3940</v>
      </c>
      <c r="D192" s="257">
        <v>3940</v>
      </c>
      <c r="E192" s="257">
        <v>3940</v>
      </c>
      <c r="F192" s="257">
        <v>3940</v>
      </c>
      <c r="G192" s="257">
        <v>3940</v>
      </c>
      <c r="H192" s="257">
        <v>3940</v>
      </c>
      <c r="I192" s="257">
        <v>3940</v>
      </c>
      <c r="J192" s="257">
        <v>3940</v>
      </c>
      <c r="K192" s="257">
        <v>3940</v>
      </c>
      <c r="L192" s="222"/>
    </row>
    <row r="193" spans="1:12" x14ac:dyDescent="0.25">
      <c r="A193" s="255" t="s">
        <v>18</v>
      </c>
      <c r="B193" s="257">
        <f>B192*1.3-50</f>
        <v>5072</v>
      </c>
      <c r="C193" s="257">
        <f t="shared" ref="C193:E193" si="11">C192*1.3-50</f>
        <v>5072</v>
      </c>
      <c r="D193" s="257">
        <f t="shared" si="11"/>
        <v>5072</v>
      </c>
      <c r="E193" s="257">
        <f t="shared" si="11"/>
        <v>5072</v>
      </c>
      <c r="F193" s="257">
        <f t="shared" ref="F193:K193" si="12">F192*1.2-50</f>
        <v>4678</v>
      </c>
      <c r="G193" s="257">
        <f t="shared" si="12"/>
        <v>4678</v>
      </c>
      <c r="H193" s="257">
        <f t="shared" si="12"/>
        <v>4678</v>
      </c>
      <c r="I193" s="257">
        <f t="shared" si="12"/>
        <v>4678</v>
      </c>
      <c r="J193" s="257">
        <f t="shared" si="12"/>
        <v>4678</v>
      </c>
      <c r="K193" s="257">
        <f t="shared" si="12"/>
        <v>4678</v>
      </c>
      <c r="L193" s="222"/>
    </row>
    <row r="194" spans="1:12" x14ac:dyDescent="0.25">
      <c r="A194" s="255" t="s">
        <v>19</v>
      </c>
      <c r="B194" s="257" t="s">
        <v>325</v>
      </c>
      <c r="C194" s="257" t="s">
        <v>325</v>
      </c>
      <c r="D194" s="257" t="s">
        <v>325</v>
      </c>
      <c r="E194" s="257" t="s">
        <v>325</v>
      </c>
      <c r="F194" s="257" t="s">
        <v>326</v>
      </c>
      <c r="G194" s="257" t="s">
        <v>326</v>
      </c>
      <c r="H194" s="257" t="s">
        <v>326</v>
      </c>
      <c r="I194" s="257" t="s">
        <v>326</v>
      </c>
      <c r="J194" s="257" t="s">
        <v>326</v>
      </c>
      <c r="K194" s="257" t="s">
        <v>326</v>
      </c>
      <c r="L194" s="222"/>
    </row>
    <row r="195" spans="1:12" x14ac:dyDescent="0.25">
      <c r="A195" s="255" t="s">
        <v>20</v>
      </c>
      <c r="B195" s="257">
        <v>2892.02</v>
      </c>
      <c r="C195" s="257">
        <v>2599.0703200000003</v>
      </c>
      <c r="D195" s="257">
        <v>2934.78017</v>
      </c>
      <c r="E195" s="257">
        <v>2406.0276984999996</v>
      </c>
      <c r="F195" s="257">
        <v>2798</v>
      </c>
      <c r="G195" s="257">
        <v>2858.8298242939013</v>
      </c>
      <c r="H195" s="257">
        <v>2105</v>
      </c>
      <c r="I195" s="257">
        <v>2823</v>
      </c>
      <c r="J195" s="257">
        <v>2197</v>
      </c>
      <c r="K195" s="257"/>
      <c r="L195" s="222"/>
    </row>
    <row r="196" spans="1:12" x14ac:dyDescent="0.25">
      <c r="A196" s="255" t="s">
        <v>21</v>
      </c>
      <c r="B196" s="257">
        <f>B193-B195</f>
        <v>2179.98</v>
      </c>
      <c r="C196" s="257">
        <f t="shared" ref="C196:G196" si="13">C193-C195</f>
        <v>2472.9296799999997</v>
      </c>
      <c r="D196" s="257">
        <f t="shared" si="13"/>
        <v>2137.21983</v>
      </c>
      <c r="E196" s="257">
        <f t="shared" si="13"/>
        <v>2665.9723015000004</v>
      </c>
      <c r="F196" s="257">
        <f t="shared" si="13"/>
        <v>1880</v>
      </c>
      <c r="G196" s="257">
        <f t="shared" si="13"/>
        <v>1819.1701757060987</v>
      </c>
      <c r="H196" s="257">
        <f t="shared" ref="H196:I196" si="14">H193-H195</f>
        <v>2573</v>
      </c>
      <c r="I196" s="257">
        <f t="shared" si="14"/>
        <v>1855</v>
      </c>
      <c r="J196" s="257">
        <f>J193-J195</f>
        <v>2481</v>
      </c>
      <c r="K196" s="257"/>
      <c r="L196" s="222"/>
    </row>
    <row r="197" spans="1:12" x14ac:dyDescent="0.25">
      <c r="A197" s="258" t="s">
        <v>22</v>
      </c>
      <c r="B197" s="259">
        <v>2015</v>
      </c>
      <c r="C197" s="259">
        <v>2016</v>
      </c>
      <c r="D197" s="260">
        <v>2017</v>
      </c>
      <c r="E197" s="259">
        <v>2018</v>
      </c>
      <c r="F197" s="261">
        <v>2019</v>
      </c>
      <c r="G197" s="261">
        <v>2020</v>
      </c>
      <c r="H197" s="261">
        <v>2021</v>
      </c>
      <c r="I197" s="261">
        <v>2022</v>
      </c>
      <c r="J197" s="261">
        <v>2023</v>
      </c>
      <c r="K197" s="261">
        <v>2024</v>
      </c>
      <c r="L197" s="222"/>
    </row>
    <row r="198" spans="1:12" x14ac:dyDescent="0.25">
      <c r="A198" s="678" t="s">
        <v>851</v>
      </c>
      <c r="B198" s="679"/>
      <c r="C198" s="679"/>
      <c r="D198" s="679"/>
      <c r="E198" s="679"/>
      <c r="F198" s="679"/>
      <c r="G198" s="679"/>
      <c r="H198" s="510"/>
      <c r="I198" s="510"/>
      <c r="J198" s="510"/>
      <c r="K198" s="233"/>
      <c r="L198" s="222"/>
    </row>
    <row r="199" spans="1:12" x14ac:dyDescent="0.25">
      <c r="A199" s="249" t="s">
        <v>673</v>
      </c>
      <c r="B199" s="250"/>
      <c r="C199" s="250"/>
      <c r="D199" s="250"/>
      <c r="E199" s="250"/>
      <c r="F199" s="250"/>
      <c r="G199" s="250"/>
      <c r="H199" s="224"/>
      <c r="I199" s="224"/>
      <c r="J199" s="224"/>
      <c r="K199" s="225"/>
      <c r="L199" s="222"/>
    </row>
    <row r="200" spans="1:12" x14ac:dyDescent="0.25">
      <c r="A200" s="222"/>
      <c r="B200" s="222"/>
      <c r="C200" s="222"/>
      <c r="D200" s="222"/>
      <c r="E200" s="222"/>
      <c r="F200" s="222"/>
      <c r="G200" s="222"/>
      <c r="H200" s="222"/>
      <c r="I200" s="222"/>
      <c r="J200" s="222"/>
      <c r="K200" s="222"/>
      <c r="L200" s="222"/>
    </row>
    <row r="201" spans="1:12" x14ac:dyDescent="0.25">
      <c r="A201" s="251" t="s">
        <v>14</v>
      </c>
      <c r="B201" s="252" t="s">
        <v>66</v>
      </c>
      <c r="C201" s="253" t="s">
        <v>15</v>
      </c>
      <c r="D201" s="254"/>
      <c r="E201" s="254"/>
      <c r="F201" s="254"/>
      <c r="G201" s="222"/>
      <c r="H201" s="222"/>
      <c r="I201" s="222"/>
      <c r="J201" s="222"/>
      <c r="K201" s="222"/>
      <c r="L201" s="222"/>
    </row>
    <row r="202" spans="1:12" x14ac:dyDescent="0.25">
      <c r="A202" s="255" t="s">
        <v>16</v>
      </c>
      <c r="B202" s="326"/>
      <c r="C202" s="264">
        <v>2020</v>
      </c>
      <c r="D202" s="264">
        <v>2021</v>
      </c>
      <c r="E202" s="264">
        <v>2022</v>
      </c>
      <c r="F202" s="264">
        <v>2023</v>
      </c>
      <c r="G202" s="222"/>
      <c r="H202" s="222"/>
      <c r="I202" s="222"/>
      <c r="J202" s="222"/>
      <c r="K202" s="222"/>
      <c r="L202" s="222"/>
    </row>
    <row r="203" spans="1:12" x14ac:dyDescent="0.25">
      <c r="A203" s="255" t="s">
        <v>17</v>
      </c>
      <c r="B203" s="327"/>
      <c r="C203" s="216">
        <v>6043</v>
      </c>
      <c r="D203" s="216">
        <v>5946.3120000000008</v>
      </c>
      <c r="E203" s="216">
        <v>5994.6559999999999</v>
      </c>
      <c r="F203" s="216">
        <v>5994.6559999999999</v>
      </c>
      <c r="G203" s="222"/>
      <c r="H203" s="222"/>
      <c r="I203" s="222"/>
      <c r="J203" s="222"/>
      <c r="K203" s="222"/>
      <c r="L203" s="222"/>
    </row>
    <row r="204" spans="1:12" x14ac:dyDescent="0.25">
      <c r="A204" s="255" t="s">
        <v>18</v>
      </c>
      <c r="B204" s="327"/>
      <c r="C204" s="216"/>
      <c r="D204" s="216"/>
      <c r="E204" s="216">
        <f>E203+C207</f>
        <v>5753.6559999999999</v>
      </c>
      <c r="F204" s="216">
        <f>F203+D207</f>
        <v>5441.9680000000008</v>
      </c>
      <c r="G204" s="222"/>
      <c r="H204" s="222"/>
      <c r="I204" s="222"/>
      <c r="J204" s="222"/>
      <c r="K204" s="222"/>
      <c r="L204" s="222"/>
    </row>
    <row r="205" spans="1:12" x14ac:dyDescent="0.25">
      <c r="A205" s="255" t="s">
        <v>19</v>
      </c>
      <c r="B205" s="327"/>
      <c r="C205" s="216"/>
      <c r="D205" s="216"/>
      <c r="E205" s="216" t="s">
        <v>741</v>
      </c>
      <c r="F205" s="216" t="s">
        <v>742</v>
      </c>
      <c r="G205" s="222"/>
      <c r="H205" s="222"/>
      <c r="I205" s="222"/>
      <c r="J205" s="222"/>
      <c r="K205" s="222"/>
      <c r="L205" s="222"/>
    </row>
    <row r="206" spans="1:12" x14ac:dyDescent="0.25">
      <c r="A206" s="255" t="s">
        <v>20</v>
      </c>
      <c r="B206" s="327"/>
      <c r="C206" s="216">
        <v>6284</v>
      </c>
      <c r="D206" s="216">
        <v>6499</v>
      </c>
      <c r="E206" s="216">
        <v>7341</v>
      </c>
      <c r="F206" s="216"/>
      <c r="G206" s="222"/>
      <c r="H206" s="222"/>
      <c r="I206" s="222"/>
      <c r="J206" s="222"/>
      <c r="K206" s="222"/>
      <c r="L206" s="222"/>
    </row>
    <row r="207" spans="1:12" x14ac:dyDescent="0.25">
      <c r="A207" s="255" t="s">
        <v>21</v>
      </c>
      <c r="B207" s="443"/>
      <c r="C207" s="216">
        <f>C203-C206</f>
        <v>-241</v>
      </c>
      <c r="D207" s="216">
        <f>D203-D206</f>
        <v>-552.68799999999919</v>
      </c>
      <c r="E207" s="216">
        <f>E204-E206</f>
        <v>-1587.3440000000001</v>
      </c>
      <c r="F207" s="216"/>
      <c r="G207" s="222"/>
      <c r="H207" s="222"/>
      <c r="I207" s="222"/>
      <c r="J207" s="222"/>
      <c r="K207" s="222"/>
      <c r="L207" s="222"/>
    </row>
    <row r="208" spans="1:12" x14ac:dyDescent="0.25">
      <c r="A208" s="258" t="s">
        <v>22</v>
      </c>
      <c r="B208" s="444"/>
      <c r="C208" s="228">
        <v>2022</v>
      </c>
      <c r="D208" s="228">
        <v>2023</v>
      </c>
      <c r="E208" s="228">
        <v>2024</v>
      </c>
      <c r="F208" s="228">
        <v>2025</v>
      </c>
      <c r="G208" s="222"/>
      <c r="H208" s="222"/>
      <c r="I208" s="222"/>
      <c r="J208" s="222"/>
      <c r="K208" s="222"/>
      <c r="L208" s="222"/>
    </row>
    <row r="209" spans="1:12" ht="12.75" customHeight="1" x14ac:dyDescent="0.25">
      <c r="A209" s="590" t="s">
        <v>23</v>
      </c>
      <c r="B209" s="591"/>
      <c r="C209" s="591"/>
      <c r="D209" s="591"/>
      <c r="E209" s="592"/>
      <c r="F209" s="592"/>
      <c r="G209" s="342"/>
      <c r="H209" s="342"/>
      <c r="I209" s="222"/>
      <c r="J209" s="222"/>
      <c r="K209" s="222"/>
      <c r="L209" s="222"/>
    </row>
    <row r="210" spans="1:12" ht="12.75" customHeight="1" x14ac:dyDescent="0.25">
      <c r="A210" s="593" t="s">
        <v>674</v>
      </c>
      <c r="B210" s="594"/>
      <c r="C210" s="594"/>
      <c r="D210" s="594"/>
      <c r="E210" s="594"/>
      <c r="F210" s="405"/>
      <c r="G210" s="342"/>
      <c r="H210" s="342"/>
      <c r="I210" s="222"/>
      <c r="J210" s="222"/>
      <c r="K210" s="222"/>
      <c r="L210" s="222"/>
    </row>
    <row r="211" spans="1:12" x14ac:dyDescent="0.25">
      <c r="A211" s="222"/>
      <c r="B211" s="222"/>
      <c r="C211" s="448"/>
      <c r="D211" s="222"/>
      <c r="E211" s="222"/>
      <c r="F211" s="222"/>
      <c r="G211" s="222"/>
      <c r="H211" s="222"/>
      <c r="I211" s="222"/>
      <c r="J211" s="222"/>
      <c r="K211" s="222"/>
      <c r="L211" s="222"/>
    </row>
    <row r="212" spans="1:12" x14ac:dyDescent="0.25">
      <c r="A212" s="251" t="s">
        <v>14</v>
      </c>
      <c r="B212" s="252" t="s">
        <v>74</v>
      </c>
      <c r="C212" s="253" t="s">
        <v>15</v>
      </c>
      <c r="D212" s="254"/>
      <c r="E212" s="254"/>
      <c r="F212" s="254"/>
      <c r="G212" s="222"/>
      <c r="H212" s="222"/>
      <c r="I212" s="222"/>
      <c r="J212" s="222"/>
      <c r="K212" s="222"/>
      <c r="L212" s="222"/>
    </row>
    <row r="213" spans="1:12" x14ac:dyDescent="0.25">
      <c r="A213" s="255" t="s">
        <v>16</v>
      </c>
      <c r="B213" s="253">
        <v>2014</v>
      </c>
      <c r="C213" s="253">
        <v>2015</v>
      </c>
      <c r="D213" s="256">
        <v>2016</v>
      </c>
      <c r="E213" s="253">
        <v>2017</v>
      </c>
      <c r="F213" s="252">
        <v>2018</v>
      </c>
      <c r="G213" s="264">
        <v>2019</v>
      </c>
      <c r="H213" s="264">
        <v>2020</v>
      </c>
      <c r="I213" s="264">
        <v>2021</v>
      </c>
      <c r="J213" s="264">
        <v>2022</v>
      </c>
      <c r="K213" s="222"/>
      <c r="L213" s="222"/>
    </row>
    <row r="214" spans="1:12" x14ac:dyDescent="0.25">
      <c r="A214" s="255" t="s">
        <v>17</v>
      </c>
      <c r="B214" s="327">
        <v>190</v>
      </c>
      <c r="C214" s="327">
        <v>190</v>
      </c>
      <c r="D214" s="327">
        <v>190</v>
      </c>
      <c r="E214" s="327">
        <v>190</v>
      </c>
      <c r="F214" s="432">
        <v>190</v>
      </c>
      <c r="G214" s="216">
        <v>190</v>
      </c>
      <c r="H214" s="216">
        <v>159.80000000000001</v>
      </c>
      <c r="I214" s="216">
        <v>159.80000000000001</v>
      </c>
      <c r="J214" s="216">
        <v>159.80000000000001</v>
      </c>
      <c r="K214" s="222"/>
      <c r="L214" s="222"/>
    </row>
    <row r="215" spans="1:12" x14ac:dyDescent="0.25">
      <c r="A215" s="255" t="s">
        <v>18</v>
      </c>
      <c r="B215" s="327"/>
      <c r="C215" s="327"/>
      <c r="D215" s="327"/>
      <c r="E215" s="327"/>
      <c r="F215" s="432"/>
      <c r="G215" s="216"/>
      <c r="H215" s="216"/>
      <c r="I215" s="216"/>
      <c r="J215" s="216"/>
      <c r="K215" s="222"/>
      <c r="L215" s="222"/>
    </row>
    <row r="216" spans="1:12" x14ac:dyDescent="0.25">
      <c r="A216" s="255" t="s">
        <v>19</v>
      </c>
      <c r="B216" s="327"/>
      <c r="C216" s="327"/>
      <c r="D216" s="327"/>
      <c r="E216" s="327"/>
      <c r="F216" s="432"/>
      <c r="G216" s="216"/>
      <c r="H216" s="216"/>
      <c r="I216" s="216"/>
      <c r="J216" s="216"/>
      <c r="K216" s="222"/>
      <c r="L216" s="222"/>
    </row>
    <row r="217" spans="1:12" x14ac:dyDescent="0.25">
      <c r="A217" s="255" t="s">
        <v>20</v>
      </c>
      <c r="B217" s="327">
        <v>104.95522</v>
      </c>
      <c r="C217" s="327">
        <v>89.182190000000006</v>
      </c>
      <c r="D217" s="327">
        <v>79.192750000000004</v>
      </c>
      <c r="E217" s="340">
        <v>64.003107999999997</v>
      </c>
      <c r="F217" s="327">
        <v>37</v>
      </c>
      <c r="G217" s="216">
        <v>19.91</v>
      </c>
      <c r="H217" s="216">
        <v>13</v>
      </c>
      <c r="I217" s="216">
        <v>2</v>
      </c>
      <c r="J217" s="216">
        <v>3</v>
      </c>
      <c r="K217" s="222"/>
      <c r="L217" s="222"/>
    </row>
    <row r="218" spans="1:12" x14ac:dyDescent="0.25">
      <c r="A218" s="255" t="s">
        <v>21</v>
      </c>
      <c r="B218" s="443"/>
      <c r="C218" s="443"/>
      <c r="D218" s="443"/>
      <c r="E218" s="443"/>
      <c r="F218" s="595"/>
      <c r="G218" s="227"/>
      <c r="H218" s="227"/>
      <c r="I218" s="227"/>
      <c r="J218" s="227"/>
      <c r="K218" s="222"/>
      <c r="L218" s="222"/>
    </row>
    <row r="219" spans="1:12" x14ac:dyDescent="0.25">
      <c r="A219" s="258" t="s">
        <v>22</v>
      </c>
      <c r="B219" s="444"/>
      <c r="C219" s="444"/>
      <c r="D219" s="596"/>
      <c r="E219" s="444"/>
      <c r="F219" s="597"/>
      <c r="G219" s="228"/>
      <c r="H219" s="228"/>
      <c r="I219" s="228"/>
      <c r="J219" s="228"/>
      <c r="K219" s="222"/>
      <c r="L219" s="222"/>
    </row>
    <row r="220" spans="1:12" ht="36" customHeight="1" x14ac:dyDescent="0.25">
      <c r="A220" s="682" t="s">
        <v>324</v>
      </c>
      <c r="B220" s="683"/>
      <c r="C220" s="683"/>
      <c r="D220" s="683"/>
      <c r="E220" s="683"/>
      <c r="F220" s="683"/>
      <c r="G220" s="683"/>
      <c r="H220" s="683"/>
      <c r="I220" s="683"/>
      <c r="J220" s="684"/>
      <c r="K220" s="222"/>
      <c r="L220" s="222"/>
    </row>
    <row r="221" spans="1:12" x14ac:dyDescent="0.25">
      <c r="A221" s="222"/>
      <c r="B221" s="222"/>
      <c r="C221" s="448"/>
      <c r="D221" s="222"/>
      <c r="E221" s="222"/>
      <c r="F221" s="222"/>
      <c r="G221" s="222"/>
      <c r="H221" s="222"/>
      <c r="I221" s="222"/>
      <c r="J221" s="222"/>
      <c r="K221" s="222"/>
      <c r="L221" s="222"/>
    </row>
    <row r="222" spans="1:12" x14ac:dyDescent="0.25">
      <c r="A222" s="251" t="s">
        <v>14</v>
      </c>
      <c r="B222" s="252" t="s">
        <v>79</v>
      </c>
      <c r="C222" s="253" t="s">
        <v>15</v>
      </c>
      <c r="D222" s="254"/>
      <c r="E222" s="254"/>
      <c r="F222" s="254"/>
      <c r="G222" s="222"/>
      <c r="H222" s="222"/>
      <c r="I222" s="222"/>
      <c r="J222" s="222"/>
      <c r="K222" s="222"/>
      <c r="L222" s="222"/>
    </row>
    <row r="223" spans="1:12" x14ac:dyDescent="0.25">
      <c r="A223" s="255" t="s">
        <v>16</v>
      </c>
      <c r="B223" s="253">
        <v>2014</v>
      </c>
      <c r="C223" s="253">
        <v>2015</v>
      </c>
      <c r="D223" s="256">
        <v>2016</v>
      </c>
      <c r="E223" s="253">
        <v>2017</v>
      </c>
      <c r="F223" s="252">
        <v>2018</v>
      </c>
      <c r="G223" s="264">
        <v>2019</v>
      </c>
      <c r="H223" s="264">
        <v>2020</v>
      </c>
      <c r="I223" s="264">
        <v>2021</v>
      </c>
      <c r="J223" s="264">
        <v>2022</v>
      </c>
      <c r="K223" s="222"/>
      <c r="L223" s="222"/>
    </row>
    <row r="224" spans="1:12" x14ac:dyDescent="0.25">
      <c r="A224" s="255" t="s">
        <v>17</v>
      </c>
      <c r="B224" s="443">
        <v>50</v>
      </c>
      <c r="C224" s="443">
        <v>50</v>
      </c>
      <c r="D224" s="443">
        <v>50</v>
      </c>
      <c r="E224" s="443">
        <v>50</v>
      </c>
      <c r="F224" s="595">
        <v>50</v>
      </c>
      <c r="G224" s="216">
        <v>50</v>
      </c>
      <c r="H224" s="216">
        <v>50</v>
      </c>
      <c r="I224" s="216">
        <v>50</v>
      </c>
      <c r="J224" s="216">
        <v>50</v>
      </c>
      <c r="K224" s="222"/>
      <c r="L224" s="222"/>
    </row>
    <row r="225" spans="1:12" x14ac:dyDescent="0.25">
      <c r="A225" s="255" t="s">
        <v>18</v>
      </c>
      <c r="B225" s="443"/>
      <c r="C225" s="443"/>
      <c r="D225" s="443"/>
      <c r="E225" s="443"/>
      <c r="F225" s="595"/>
      <c r="G225" s="227"/>
      <c r="H225" s="216"/>
      <c r="I225" s="216"/>
      <c r="J225" s="216"/>
      <c r="K225" s="222"/>
      <c r="L225" s="222"/>
    </row>
    <row r="226" spans="1:12" x14ac:dyDescent="0.25">
      <c r="A226" s="255" t="s">
        <v>19</v>
      </c>
      <c r="B226" s="443"/>
      <c r="C226" s="443"/>
      <c r="D226" s="443"/>
      <c r="E226" s="443"/>
      <c r="F226" s="595"/>
      <c r="G226" s="227"/>
      <c r="H226" s="216"/>
      <c r="I226" s="216"/>
      <c r="J226" s="216"/>
      <c r="K226" s="222"/>
      <c r="L226" s="222"/>
    </row>
    <row r="227" spans="1:12" x14ac:dyDescent="0.25">
      <c r="A227" s="255" t="s">
        <v>20</v>
      </c>
      <c r="B227" s="443">
        <v>102.32362999999999</v>
      </c>
      <c r="C227" s="443">
        <v>121.20529999999999</v>
      </c>
      <c r="D227" s="443">
        <v>66.934179999999998</v>
      </c>
      <c r="E227" s="443">
        <v>46.581100000000006</v>
      </c>
      <c r="F227" s="443">
        <v>62</v>
      </c>
      <c r="G227" s="227">
        <v>76.31</v>
      </c>
      <c r="H227" s="216">
        <v>46</v>
      </c>
      <c r="I227" s="216">
        <v>0</v>
      </c>
      <c r="J227" s="216">
        <v>0</v>
      </c>
      <c r="K227" s="222"/>
      <c r="L227" s="222"/>
    </row>
    <row r="228" spans="1:12" x14ac:dyDescent="0.25">
      <c r="A228" s="255" t="s">
        <v>21</v>
      </c>
      <c r="B228" s="443"/>
      <c r="C228" s="443"/>
      <c r="D228" s="443"/>
      <c r="E228" s="443"/>
      <c r="F228" s="595"/>
      <c r="G228" s="227"/>
      <c r="H228" s="216"/>
      <c r="I228" s="216"/>
      <c r="J228" s="216"/>
      <c r="K228" s="222"/>
      <c r="L228" s="222"/>
    </row>
    <row r="229" spans="1:12" x14ac:dyDescent="0.25">
      <c r="A229" s="255" t="s">
        <v>22</v>
      </c>
      <c r="B229" s="326"/>
      <c r="C229" s="326"/>
      <c r="D229" s="586"/>
      <c r="E229" s="326"/>
      <c r="F229" s="598"/>
      <c r="G229" s="227"/>
      <c r="H229" s="216"/>
      <c r="I229" s="216"/>
      <c r="J229" s="216"/>
      <c r="K229" s="222"/>
      <c r="L229" s="222"/>
    </row>
    <row r="230" spans="1:12" x14ac:dyDescent="0.25">
      <c r="A230" s="677" t="s">
        <v>23</v>
      </c>
      <c r="B230" s="677"/>
      <c r="C230" s="677"/>
      <c r="D230" s="677"/>
      <c r="E230" s="677"/>
      <c r="F230" s="677"/>
      <c r="G230" s="227"/>
      <c r="H230" s="216"/>
      <c r="I230" s="216"/>
      <c r="J230" s="216"/>
      <c r="K230" s="222"/>
      <c r="L230" s="222"/>
    </row>
    <row r="231" spans="1:12" ht="38.25" customHeight="1" x14ac:dyDescent="0.25">
      <c r="A231" s="675" t="s">
        <v>324</v>
      </c>
      <c r="B231" s="676"/>
      <c r="C231" s="676"/>
      <c r="D231" s="676"/>
      <c r="E231" s="676"/>
      <c r="F231" s="676"/>
      <c r="G231" s="676"/>
      <c r="H231" s="676"/>
      <c r="I231" s="676"/>
      <c r="J231" s="676"/>
      <c r="K231" s="222"/>
      <c r="L231" s="222"/>
    </row>
    <row r="232" spans="1:12" x14ac:dyDescent="0.25">
      <c r="A232" s="254"/>
      <c r="B232" s="254"/>
      <c r="C232" s="254"/>
      <c r="D232" s="254"/>
      <c r="E232" s="254"/>
      <c r="F232" s="254"/>
      <c r="G232" s="222"/>
      <c r="H232" s="222"/>
      <c r="I232" s="222"/>
      <c r="J232" s="222"/>
      <c r="K232" s="222"/>
      <c r="L232" s="222"/>
    </row>
    <row r="233" spans="1:12" x14ac:dyDescent="0.25">
      <c r="A233" s="254"/>
      <c r="B233" s="254"/>
      <c r="C233" s="254"/>
      <c r="D233" s="254"/>
      <c r="E233" s="254"/>
      <c r="F233" s="254"/>
      <c r="G233" s="222"/>
      <c r="H233" s="222"/>
      <c r="I233" s="222"/>
      <c r="J233" s="222"/>
      <c r="K233" s="222"/>
      <c r="L233" s="222"/>
    </row>
    <row r="234" spans="1:12" x14ac:dyDescent="0.25">
      <c r="A234" s="599" t="s">
        <v>12</v>
      </c>
      <c r="B234" s="553" t="s">
        <v>171</v>
      </c>
      <c r="C234" s="222"/>
      <c r="D234" s="222"/>
      <c r="E234" s="222"/>
      <c r="F234" s="222"/>
      <c r="G234" s="222"/>
      <c r="H234" s="222"/>
      <c r="I234" s="222"/>
      <c r="J234" s="222"/>
      <c r="K234" s="222"/>
      <c r="L234" s="222"/>
    </row>
    <row r="235" spans="1:12" x14ac:dyDescent="0.25">
      <c r="A235" s="212" t="s">
        <v>14</v>
      </c>
      <c r="B235" s="365" t="s">
        <v>637</v>
      </c>
      <c r="C235" s="264" t="s">
        <v>15</v>
      </c>
      <c r="D235" s="222"/>
      <c r="E235" s="222"/>
      <c r="F235" s="222"/>
      <c r="G235" s="222"/>
      <c r="H235" s="222"/>
      <c r="I235" s="222"/>
      <c r="J235" s="222"/>
      <c r="K235" s="222"/>
      <c r="L235" s="222"/>
    </row>
    <row r="236" spans="1:12" x14ac:dyDescent="0.25">
      <c r="A236" s="264" t="s">
        <v>16</v>
      </c>
      <c r="B236" s="264"/>
      <c r="C236" s="264">
        <v>2016</v>
      </c>
      <c r="D236" s="264">
        <v>2017</v>
      </c>
      <c r="E236" s="264">
        <v>2018</v>
      </c>
      <c r="F236" s="264">
        <v>2019</v>
      </c>
      <c r="G236" s="264">
        <v>2020</v>
      </c>
      <c r="H236" s="264">
        <v>2021</v>
      </c>
      <c r="I236" s="264">
        <v>2022</v>
      </c>
      <c r="J236" s="264">
        <v>2023</v>
      </c>
      <c r="K236" s="222"/>
      <c r="L236" s="222"/>
    </row>
    <row r="237" spans="1:12" x14ac:dyDescent="0.25">
      <c r="A237" s="227" t="s">
        <v>17</v>
      </c>
      <c r="B237" s="227"/>
      <c r="C237" s="216">
        <v>1348</v>
      </c>
      <c r="D237" s="216">
        <v>1348</v>
      </c>
      <c r="E237" s="216">
        <v>1348</v>
      </c>
      <c r="F237" s="216">
        <v>1348</v>
      </c>
      <c r="G237" s="216">
        <v>1348</v>
      </c>
      <c r="H237" s="216">
        <v>1348</v>
      </c>
      <c r="I237" s="216">
        <v>1348</v>
      </c>
      <c r="J237" s="216">
        <v>1348</v>
      </c>
      <c r="K237" s="222"/>
      <c r="L237" s="222"/>
    </row>
    <row r="238" spans="1:12" x14ac:dyDescent="0.25">
      <c r="A238" s="227" t="s">
        <v>18</v>
      </c>
      <c r="B238" s="227"/>
      <c r="C238" s="216">
        <v>2040.2</v>
      </c>
      <c r="D238" s="216">
        <v>2070.1999999999998</v>
      </c>
      <c r="E238" s="216">
        <v>2070.1999999999998</v>
      </c>
      <c r="F238" s="216">
        <v>2045.1999999999998</v>
      </c>
      <c r="G238" s="216">
        <f>G237*1.15+125+35+35+100</f>
        <v>1845.1999999999998</v>
      </c>
      <c r="H238" s="216">
        <f>H237+0.15*F237+150+35+35+200</f>
        <v>1970.2</v>
      </c>
      <c r="I238" s="216">
        <f>I237+150+35+35+250+202.2</f>
        <v>2020.2</v>
      </c>
      <c r="J238" s="216">
        <f>J237+125+35+35+327+202.2</f>
        <v>2072.1999999999998</v>
      </c>
      <c r="K238" s="222"/>
      <c r="L238" s="222"/>
    </row>
    <row r="239" spans="1:12" x14ac:dyDescent="0.25">
      <c r="A239" s="227" t="s">
        <v>19</v>
      </c>
      <c r="B239" s="227"/>
      <c r="C239" s="216"/>
      <c r="D239" s="216"/>
      <c r="E239" s="216"/>
      <c r="F239" s="216"/>
      <c r="G239" s="216"/>
      <c r="H239" s="216"/>
      <c r="I239" s="216"/>
      <c r="J239" s="216"/>
      <c r="K239" s="222"/>
      <c r="L239" s="222"/>
    </row>
    <row r="240" spans="1:12" x14ac:dyDescent="0.25">
      <c r="A240" s="227" t="s">
        <v>20</v>
      </c>
      <c r="B240" s="227"/>
      <c r="C240" s="216">
        <v>1558.88</v>
      </c>
      <c r="D240" s="216">
        <v>1209.21</v>
      </c>
      <c r="E240" s="216">
        <v>786.81</v>
      </c>
      <c r="F240" s="216">
        <v>997.23400000000004</v>
      </c>
      <c r="G240" s="216">
        <v>1343</v>
      </c>
      <c r="H240" s="216">
        <v>1380.2959000000001</v>
      </c>
      <c r="I240" s="216">
        <v>1341.5989999999999</v>
      </c>
      <c r="J240" s="216"/>
      <c r="K240" s="222"/>
      <c r="L240" s="222"/>
    </row>
    <row r="241" spans="1:14" x14ac:dyDescent="0.25">
      <c r="A241" s="22" t="s">
        <v>21</v>
      </c>
      <c r="B241" s="22"/>
      <c r="C241" s="23">
        <v>481.32</v>
      </c>
      <c r="D241" s="23">
        <v>860.99</v>
      </c>
      <c r="E241" s="23">
        <v>1283.3900000000001</v>
      </c>
      <c r="F241" s="23">
        <v>1047.9659999999999</v>
      </c>
      <c r="G241" s="23">
        <f>G238-G240</f>
        <v>502.19999999999982</v>
      </c>
      <c r="H241" s="23">
        <f>H238-H240</f>
        <v>589.90409999999997</v>
      </c>
      <c r="I241" s="23">
        <f>I238-I240</f>
        <v>678.60100000000011</v>
      </c>
      <c r="J241" s="23"/>
    </row>
    <row r="242" spans="1:14" x14ac:dyDescent="0.25">
      <c r="A242" s="36" t="s">
        <v>22</v>
      </c>
      <c r="B242" s="36"/>
      <c r="C242" s="36">
        <v>2018</v>
      </c>
      <c r="D242" s="36">
        <v>2019</v>
      </c>
      <c r="E242" s="36">
        <v>2020</v>
      </c>
      <c r="F242" s="36">
        <v>2021</v>
      </c>
      <c r="G242" s="36">
        <v>2022</v>
      </c>
      <c r="H242" s="36">
        <v>2023</v>
      </c>
      <c r="I242" s="36">
        <v>2024</v>
      </c>
      <c r="J242" s="36">
        <v>2025</v>
      </c>
    </row>
    <row r="243" spans="1:14" x14ac:dyDescent="0.25">
      <c r="A243" s="1" t="s">
        <v>168</v>
      </c>
      <c r="B243" s="2"/>
      <c r="C243" s="2"/>
      <c r="D243" s="2"/>
      <c r="E243" s="2"/>
      <c r="F243" s="2"/>
      <c r="G243" s="2"/>
      <c r="H243" s="2"/>
      <c r="I243" s="2"/>
      <c r="J243" s="3"/>
      <c r="K243" s="4"/>
      <c r="L243" s="4"/>
      <c r="M243" s="4"/>
      <c r="N243" s="4"/>
    </row>
    <row r="244" spans="1:14" x14ac:dyDescent="0.25">
      <c r="A244" s="5" t="s">
        <v>169</v>
      </c>
      <c r="B244" s="4"/>
      <c r="C244" s="4"/>
      <c r="D244" s="4"/>
      <c r="E244" s="4"/>
      <c r="F244" s="4"/>
      <c r="G244" s="4"/>
      <c r="H244" s="4"/>
      <c r="I244" s="4"/>
      <c r="J244" s="6"/>
      <c r="K244" s="4"/>
      <c r="L244" s="4"/>
      <c r="M244" s="4"/>
      <c r="N244" s="4"/>
    </row>
    <row r="245" spans="1:14" x14ac:dyDescent="0.25">
      <c r="A245" s="5" t="s">
        <v>170</v>
      </c>
      <c r="B245" s="4"/>
      <c r="C245" s="4"/>
      <c r="D245" s="4"/>
      <c r="E245" s="4"/>
      <c r="F245" s="4"/>
      <c r="G245" s="4"/>
      <c r="H245" s="4"/>
      <c r="I245" s="4"/>
      <c r="J245" s="6"/>
      <c r="K245" s="4"/>
      <c r="L245" s="4"/>
      <c r="M245" s="4"/>
      <c r="N245" s="4"/>
    </row>
    <row r="246" spans="1:14" x14ac:dyDescent="0.25">
      <c r="A246" s="5" t="s">
        <v>394</v>
      </c>
      <c r="J246" s="21"/>
    </row>
    <row r="247" spans="1:14" x14ac:dyDescent="0.25">
      <c r="A247" s="5" t="s">
        <v>519</v>
      </c>
      <c r="J247" s="21"/>
    </row>
    <row r="248" spans="1:14" x14ac:dyDescent="0.25">
      <c r="A248" s="5" t="s">
        <v>520</v>
      </c>
      <c r="J248" s="21"/>
    </row>
    <row r="249" spans="1:14" x14ac:dyDescent="0.25">
      <c r="A249" s="5" t="s">
        <v>620</v>
      </c>
      <c r="J249" s="21"/>
    </row>
    <row r="250" spans="1:14" x14ac:dyDescent="0.25">
      <c r="A250" s="71" t="s">
        <v>818</v>
      </c>
      <c r="B250" s="33"/>
      <c r="C250" s="33"/>
      <c r="D250" s="33"/>
      <c r="E250" s="33"/>
      <c r="F250" s="33"/>
      <c r="G250" s="33"/>
      <c r="H250" s="33"/>
      <c r="I250" s="33"/>
      <c r="J250" s="34"/>
    </row>
    <row r="252" spans="1:14" x14ac:dyDescent="0.25">
      <c r="A252" s="262" t="s">
        <v>14</v>
      </c>
      <c r="B252" s="263" t="s">
        <v>664</v>
      </c>
      <c r="C252" s="264" t="s">
        <v>15</v>
      </c>
      <c r="D252" s="222"/>
      <c r="E252" s="222"/>
      <c r="F252" s="222"/>
      <c r="G252" s="222"/>
      <c r="H252" s="222"/>
      <c r="I252" s="222"/>
    </row>
    <row r="253" spans="1:14" x14ac:dyDescent="0.25">
      <c r="A253" s="265" t="s">
        <v>16</v>
      </c>
      <c r="B253" s="265"/>
      <c r="C253" s="266">
        <v>2016</v>
      </c>
      <c r="D253" s="266">
        <v>2017</v>
      </c>
      <c r="E253" s="266">
        <v>2018</v>
      </c>
      <c r="F253" s="266">
        <v>2019</v>
      </c>
      <c r="G253" s="266">
        <v>2020</v>
      </c>
      <c r="H253" s="266">
        <v>2021</v>
      </c>
      <c r="I253" s="266">
        <v>2022</v>
      </c>
      <c r="J253" s="266">
        <v>2023</v>
      </c>
    </row>
    <row r="254" spans="1:14" x14ac:dyDescent="0.25">
      <c r="A254" s="265" t="s">
        <v>17</v>
      </c>
      <c r="B254" s="265"/>
      <c r="C254" s="267">
        <v>452.47</v>
      </c>
      <c r="D254" s="267">
        <v>452.47</v>
      </c>
      <c r="E254" s="267">
        <v>530.59</v>
      </c>
      <c r="F254" s="267">
        <v>530.59</v>
      </c>
      <c r="G254" s="267">
        <v>530.59</v>
      </c>
      <c r="H254" s="267">
        <v>530.59</v>
      </c>
      <c r="I254" s="267">
        <v>558.65</v>
      </c>
      <c r="J254" s="267">
        <v>558.65</v>
      </c>
    </row>
    <row r="255" spans="1:14" x14ac:dyDescent="0.25">
      <c r="A255" s="265" t="s">
        <v>18</v>
      </c>
      <c r="B255" s="265"/>
      <c r="C255" s="267">
        <v>504.74</v>
      </c>
      <c r="D255" s="267">
        <f>D254+C258+55.98</f>
        <v>547.08000000000004</v>
      </c>
      <c r="E255" s="267">
        <f>E254+0.1*D254+73.98</f>
        <v>649.81700000000001</v>
      </c>
      <c r="F255" s="267">
        <f>F254+0.1*E254+9.62+60.44</f>
        <v>653.70900000000006</v>
      </c>
      <c r="G255" s="267">
        <f>G254+F258+79.44+4.78</f>
        <v>635.64900000000011</v>
      </c>
      <c r="H255" s="511">
        <f>H254+G258+100.44+4.78</f>
        <v>679.85600000000022</v>
      </c>
      <c r="I255" s="511">
        <f>I254+H258+60+4.78</f>
        <v>674.7560000000002</v>
      </c>
      <c r="J255" s="511">
        <f>J254+I258+5.18+60</f>
        <v>663.41600000000017</v>
      </c>
    </row>
    <row r="256" spans="1:14" x14ac:dyDescent="0.25">
      <c r="A256" s="265" t="s">
        <v>19</v>
      </c>
      <c r="B256" s="265"/>
      <c r="C256" s="268"/>
      <c r="D256" s="268"/>
      <c r="E256" s="216"/>
      <c r="F256" s="216"/>
      <c r="G256" s="216"/>
      <c r="H256" s="216"/>
      <c r="I256" s="216"/>
      <c r="J256" s="216"/>
    </row>
    <row r="257" spans="1:15" x14ac:dyDescent="0.25">
      <c r="A257" s="265" t="s">
        <v>20</v>
      </c>
      <c r="B257" s="265"/>
      <c r="C257" s="267">
        <v>466.11</v>
      </c>
      <c r="D257" s="268">
        <v>471.65</v>
      </c>
      <c r="E257" s="216">
        <v>553.98</v>
      </c>
      <c r="F257" s="216">
        <v>632.86999999999989</v>
      </c>
      <c r="G257" s="216">
        <v>591.60299999999995</v>
      </c>
      <c r="H257" s="45">
        <v>628.53</v>
      </c>
      <c r="I257" s="216">
        <v>635.16999999999996</v>
      </c>
      <c r="J257" s="216"/>
    </row>
    <row r="258" spans="1:15" x14ac:dyDescent="0.25">
      <c r="A258" s="265" t="s">
        <v>21</v>
      </c>
      <c r="B258" s="265"/>
      <c r="C258" s="216">
        <f t="shared" ref="C258:I258" si="15">C255-C257</f>
        <v>38.629999999999995</v>
      </c>
      <c r="D258" s="216">
        <f t="shared" si="15"/>
        <v>75.430000000000064</v>
      </c>
      <c r="E258" s="216">
        <f t="shared" si="15"/>
        <v>95.836999999999989</v>
      </c>
      <c r="F258" s="216">
        <f t="shared" si="15"/>
        <v>20.839000000000169</v>
      </c>
      <c r="G258" s="216">
        <f t="shared" si="15"/>
        <v>44.046000000000163</v>
      </c>
      <c r="H258" s="45">
        <f t="shared" si="15"/>
        <v>51.326000000000249</v>
      </c>
      <c r="I258" s="216">
        <f t="shared" si="15"/>
        <v>39.58600000000024</v>
      </c>
      <c r="J258" s="216"/>
    </row>
    <row r="259" spans="1:15" x14ac:dyDescent="0.25">
      <c r="A259" s="219" t="s">
        <v>22</v>
      </c>
      <c r="B259" s="219"/>
      <c r="C259" s="269">
        <v>2017</v>
      </c>
      <c r="D259" s="270">
        <v>2018</v>
      </c>
      <c r="E259" s="228">
        <v>2019</v>
      </c>
      <c r="F259" s="228">
        <v>2020</v>
      </c>
      <c r="G259" s="228">
        <v>2021</v>
      </c>
      <c r="H259" s="228">
        <v>2022</v>
      </c>
      <c r="I259" s="228">
        <v>2023</v>
      </c>
      <c r="J259" s="228">
        <v>2024</v>
      </c>
    </row>
    <row r="260" spans="1:15" x14ac:dyDescent="0.25">
      <c r="A260" s="271" t="s">
        <v>755</v>
      </c>
      <c r="B260" s="272"/>
      <c r="C260" s="272"/>
      <c r="D260" s="272"/>
      <c r="E260" s="272"/>
      <c r="F260" s="272"/>
      <c r="G260" s="272"/>
      <c r="H260" s="220"/>
      <c r="I260" s="220"/>
      <c r="J260" s="31"/>
    </row>
    <row r="261" spans="1:15" x14ac:dyDescent="0.25">
      <c r="A261" s="273" t="s">
        <v>756</v>
      </c>
      <c r="B261" s="274"/>
      <c r="C261" s="274"/>
      <c r="D261" s="274"/>
      <c r="E261" s="274"/>
      <c r="F261" s="274"/>
      <c r="G261" s="274"/>
      <c r="H261" s="222"/>
      <c r="I261" s="222"/>
      <c r="J261" s="21"/>
    </row>
    <row r="262" spans="1:15" x14ac:dyDescent="0.25">
      <c r="A262" s="273" t="s">
        <v>757</v>
      </c>
      <c r="B262" s="274"/>
      <c r="C262" s="274"/>
      <c r="D262" s="274"/>
      <c r="E262" s="274"/>
      <c r="F262" s="274"/>
      <c r="G262" s="274"/>
      <c r="H262" s="222"/>
      <c r="I262" s="222"/>
      <c r="J262" s="21"/>
    </row>
    <row r="263" spans="1:15" x14ac:dyDescent="0.25">
      <c r="A263" s="221" t="s">
        <v>758</v>
      </c>
      <c r="B263" s="222"/>
      <c r="C263" s="222"/>
      <c r="D263" s="222"/>
      <c r="E263" s="222"/>
      <c r="F263" s="222"/>
      <c r="G263" s="222"/>
      <c r="H263" s="222"/>
      <c r="I263" s="222"/>
      <c r="J263" s="21"/>
    </row>
    <row r="264" spans="1:15" x14ac:dyDescent="0.25">
      <c r="A264" s="221" t="s">
        <v>759</v>
      </c>
      <c r="B264" s="222"/>
      <c r="C264" s="222"/>
      <c r="D264" s="222"/>
      <c r="E264" s="222"/>
      <c r="F264" s="222"/>
      <c r="G264" s="222"/>
      <c r="H264" s="222"/>
      <c r="I264" s="222"/>
      <c r="J264" s="21"/>
    </row>
    <row r="265" spans="1:15" x14ac:dyDescent="0.25">
      <c r="A265" s="221" t="s">
        <v>760</v>
      </c>
      <c r="B265" s="222"/>
      <c r="C265" s="222"/>
      <c r="D265" s="222"/>
      <c r="E265" s="222"/>
      <c r="F265" s="222"/>
      <c r="G265" s="222"/>
      <c r="H265" s="222"/>
      <c r="I265" s="222"/>
      <c r="J265" s="21"/>
    </row>
    <row r="266" spans="1:15" x14ac:dyDescent="0.25">
      <c r="A266" s="204" t="s">
        <v>819</v>
      </c>
      <c r="B266" s="222"/>
      <c r="C266" s="222"/>
      <c r="D266" s="222"/>
      <c r="E266" s="222"/>
      <c r="F266" s="222"/>
      <c r="G266" s="222"/>
      <c r="H266" s="222"/>
      <c r="I266" s="222"/>
      <c r="J266" s="21"/>
    </row>
    <row r="267" spans="1:15" x14ac:dyDescent="0.25">
      <c r="A267" s="204" t="s">
        <v>960</v>
      </c>
      <c r="B267" s="222"/>
      <c r="C267" s="222"/>
      <c r="D267" s="222"/>
      <c r="E267" s="222"/>
      <c r="F267" s="222"/>
      <c r="G267" s="222"/>
      <c r="H267" s="222"/>
      <c r="I267" s="222"/>
      <c r="J267" s="21"/>
    </row>
    <row r="268" spans="1:15" x14ac:dyDescent="0.25">
      <c r="A268" s="212" t="s">
        <v>621</v>
      </c>
      <c r="B268" s="224"/>
      <c r="C268" s="224"/>
      <c r="D268" s="224"/>
      <c r="E268" s="224"/>
      <c r="F268" s="224"/>
      <c r="G268" s="224"/>
      <c r="H268" s="224"/>
      <c r="I268" s="224"/>
      <c r="J268" s="34"/>
    </row>
    <row r="270" spans="1:15" x14ac:dyDescent="0.25">
      <c r="A270" s="115" t="s">
        <v>12</v>
      </c>
      <c r="B270" s="551" t="s">
        <v>153</v>
      </c>
    </row>
    <row r="271" spans="1:15" x14ac:dyDescent="0.25">
      <c r="A271" s="72" t="s">
        <v>14</v>
      </c>
      <c r="B271" s="55" t="s">
        <v>638</v>
      </c>
      <c r="C271" s="40" t="s">
        <v>15</v>
      </c>
    </row>
    <row r="272" spans="1:15" x14ac:dyDescent="0.25">
      <c r="A272" s="73" t="s">
        <v>16</v>
      </c>
      <c r="B272" s="74">
        <v>2010</v>
      </c>
      <c r="C272" s="74">
        <v>2011</v>
      </c>
      <c r="D272" s="74">
        <v>2012</v>
      </c>
      <c r="E272" s="74">
        <v>2013</v>
      </c>
      <c r="F272" s="74">
        <v>2014</v>
      </c>
      <c r="G272" s="74">
        <v>2015</v>
      </c>
      <c r="H272" s="74">
        <v>2016</v>
      </c>
      <c r="I272" s="74">
        <v>2017</v>
      </c>
      <c r="J272" s="74">
        <v>2018</v>
      </c>
      <c r="K272" s="74">
        <v>2019</v>
      </c>
      <c r="L272" s="51">
        <v>2020</v>
      </c>
      <c r="M272" s="51">
        <v>2021</v>
      </c>
      <c r="N272" s="51">
        <v>2022</v>
      </c>
      <c r="O272" s="51">
        <v>2023</v>
      </c>
    </row>
    <row r="273" spans="1:15" x14ac:dyDescent="0.25">
      <c r="A273" s="73" t="s">
        <v>17</v>
      </c>
      <c r="B273" s="48">
        <v>200</v>
      </c>
      <c r="C273" s="48">
        <v>200</v>
      </c>
      <c r="D273" s="48">
        <v>200</v>
      </c>
      <c r="E273" s="48">
        <v>200</v>
      </c>
      <c r="F273" s="48">
        <v>200</v>
      </c>
      <c r="G273" s="48">
        <v>200</v>
      </c>
      <c r="H273" s="47">
        <v>200</v>
      </c>
      <c r="I273" s="48">
        <v>200</v>
      </c>
      <c r="J273" s="48">
        <v>200</v>
      </c>
      <c r="K273" s="48">
        <v>215</v>
      </c>
      <c r="L273" s="23">
        <v>215</v>
      </c>
      <c r="M273" s="23">
        <v>242</v>
      </c>
      <c r="N273" s="23">
        <v>242</v>
      </c>
      <c r="O273" s="23">
        <v>242</v>
      </c>
    </row>
    <row r="274" spans="1:15" x14ac:dyDescent="0.25">
      <c r="A274" s="73" t="s">
        <v>18</v>
      </c>
      <c r="B274" s="48">
        <v>250</v>
      </c>
      <c r="C274" s="48">
        <v>250</v>
      </c>
      <c r="D274" s="48">
        <v>250</v>
      </c>
      <c r="E274" s="48">
        <v>250</v>
      </c>
      <c r="F274" s="48">
        <v>200</v>
      </c>
      <c r="G274" s="48">
        <v>250</v>
      </c>
      <c r="H274" s="47">
        <v>250</v>
      </c>
      <c r="I274" s="48">
        <v>250</v>
      </c>
      <c r="J274" s="48">
        <v>250</v>
      </c>
      <c r="K274" s="48">
        <v>265</v>
      </c>
      <c r="L274" s="48">
        <v>265</v>
      </c>
      <c r="M274" s="48">
        <f>M273+0.25*K273</f>
        <v>295.75</v>
      </c>
      <c r="N274" s="48">
        <f>N273+0.25*L273</f>
        <v>295.75</v>
      </c>
      <c r="O274" s="48">
        <f>O273+M277</f>
        <v>246.43</v>
      </c>
    </row>
    <row r="275" spans="1:15" x14ac:dyDescent="0.25">
      <c r="A275" s="73" t="s">
        <v>19</v>
      </c>
      <c r="B275" s="48"/>
      <c r="C275" s="48"/>
      <c r="D275" s="48"/>
      <c r="E275" s="48"/>
      <c r="F275" s="48"/>
      <c r="G275" s="48"/>
      <c r="H275" s="47"/>
      <c r="I275" s="47"/>
      <c r="J275" s="47"/>
      <c r="K275" s="47"/>
      <c r="L275" s="47"/>
      <c r="M275" s="23"/>
      <c r="N275" s="23"/>
      <c r="O275" s="23"/>
    </row>
    <row r="276" spans="1:15" x14ac:dyDescent="0.25">
      <c r="A276" s="73" t="s">
        <v>20</v>
      </c>
      <c r="B276" s="48">
        <v>150</v>
      </c>
      <c r="C276" s="48">
        <v>101</v>
      </c>
      <c r="D276" s="48">
        <v>21</v>
      </c>
      <c r="E276" s="48">
        <v>81.085999999999999</v>
      </c>
      <c r="F276" s="48">
        <v>34.866999999999997</v>
      </c>
      <c r="G276" s="48">
        <v>20.963999999999999</v>
      </c>
      <c r="H276" s="47">
        <v>103.196</v>
      </c>
      <c r="I276" s="47">
        <v>123.654</v>
      </c>
      <c r="J276" s="47">
        <v>123.839</v>
      </c>
      <c r="K276" s="47">
        <v>129.16</v>
      </c>
      <c r="L276" s="47">
        <v>207.66</v>
      </c>
      <c r="M276" s="23">
        <v>291.32</v>
      </c>
      <c r="N276" s="23">
        <v>239.87</v>
      </c>
      <c r="O276" s="23"/>
    </row>
    <row r="277" spans="1:15" x14ac:dyDescent="0.25">
      <c r="A277" s="73" t="s">
        <v>21</v>
      </c>
      <c r="B277" s="48">
        <v>100</v>
      </c>
      <c r="C277" s="48">
        <v>149</v>
      </c>
      <c r="D277" s="48">
        <v>229</v>
      </c>
      <c r="E277" s="48">
        <v>168.91399999999999</v>
      </c>
      <c r="F277" s="48">
        <v>165.13300000000001</v>
      </c>
      <c r="G277" s="48">
        <v>229.036</v>
      </c>
      <c r="H277" s="47">
        <v>146.804</v>
      </c>
      <c r="I277" s="47">
        <v>126.364</v>
      </c>
      <c r="J277" s="47">
        <v>126.161</v>
      </c>
      <c r="K277" s="47">
        <v>135.84</v>
      </c>
      <c r="L277" s="47">
        <f>L274-L276</f>
        <v>57.34</v>
      </c>
      <c r="M277" s="47">
        <f>M274-M276</f>
        <v>4.4300000000000068</v>
      </c>
      <c r="N277" s="47">
        <f>N274-N276</f>
        <v>55.879999999999995</v>
      </c>
      <c r="O277" s="23"/>
    </row>
    <row r="278" spans="1:15" x14ac:dyDescent="0.25">
      <c r="A278" s="73" t="s">
        <v>22</v>
      </c>
      <c r="B278" s="62">
        <v>2012</v>
      </c>
      <c r="C278" s="62">
        <v>2013</v>
      </c>
      <c r="D278" s="62">
        <v>2014</v>
      </c>
      <c r="E278" s="62">
        <v>2015</v>
      </c>
      <c r="F278" s="62">
        <v>2016</v>
      </c>
      <c r="G278" s="62">
        <v>2017</v>
      </c>
      <c r="H278" s="54">
        <v>2018</v>
      </c>
      <c r="I278" s="54">
        <v>2019</v>
      </c>
      <c r="J278" s="54">
        <v>2020</v>
      </c>
      <c r="K278" s="54">
        <v>2021</v>
      </c>
      <c r="L278" s="54">
        <v>2022</v>
      </c>
      <c r="M278" s="54">
        <v>2023</v>
      </c>
      <c r="N278" s="54">
        <v>2024</v>
      </c>
      <c r="O278" s="54">
        <v>2025</v>
      </c>
    </row>
    <row r="279" spans="1:15" x14ac:dyDescent="0.25">
      <c r="A279" s="685" t="s">
        <v>154</v>
      </c>
      <c r="B279" s="686"/>
      <c r="C279" s="686"/>
      <c r="D279" s="686"/>
      <c r="E279" s="686"/>
      <c r="F279" s="686"/>
      <c r="G279" s="686"/>
      <c r="H279" s="686"/>
      <c r="I279" s="686"/>
      <c r="J279" s="686"/>
      <c r="K279" s="686"/>
      <c r="L279" s="686"/>
      <c r="M279" s="686"/>
      <c r="N279" s="686"/>
      <c r="O279" s="687"/>
    </row>
    <row r="280" spans="1:15" x14ac:dyDescent="0.25">
      <c r="A280" s="75" t="s">
        <v>329</v>
      </c>
      <c r="B280" s="30"/>
      <c r="C280" s="30"/>
      <c r="D280" s="30"/>
      <c r="E280" s="30"/>
      <c r="F280" s="30"/>
      <c r="G280" s="30"/>
      <c r="H280" s="30"/>
      <c r="I280" s="30"/>
      <c r="J280" s="30"/>
      <c r="K280" s="30"/>
      <c r="L280" s="30"/>
      <c r="M280" s="30"/>
      <c r="N280" s="31"/>
    </row>
    <row r="281" spans="1:15" x14ac:dyDescent="0.25">
      <c r="A281" s="76" t="s">
        <v>376</v>
      </c>
      <c r="N281" s="21"/>
    </row>
    <row r="282" spans="1:15" x14ac:dyDescent="0.25">
      <c r="A282" s="76" t="s">
        <v>377</v>
      </c>
      <c r="N282" s="21"/>
    </row>
    <row r="283" spans="1:15" x14ac:dyDescent="0.25">
      <c r="A283" s="76" t="s">
        <v>438</v>
      </c>
      <c r="N283" s="21"/>
    </row>
    <row r="284" spans="1:15" x14ac:dyDescent="0.25">
      <c r="A284" s="76" t="s">
        <v>622</v>
      </c>
      <c r="N284" s="21"/>
    </row>
    <row r="285" spans="1:15" x14ac:dyDescent="0.25">
      <c r="A285" s="59" t="s">
        <v>820</v>
      </c>
      <c r="B285" s="33"/>
      <c r="C285" s="33"/>
      <c r="D285" s="33"/>
      <c r="E285" s="33"/>
      <c r="F285" s="33"/>
      <c r="G285" s="33"/>
      <c r="H285" s="33"/>
      <c r="I285" s="33"/>
      <c r="J285" s="33"/>
      <c r="K285" s="33"/>
      <c r="L285" s="33"/>
      <c r="M285" s="33"/>
      <c r="N285" s="34"/>
    </row>
    <row r="287" spans="1:15" x14ac:dyDescent="0.25">
      <c r="A287" s="40" t="s">
        <v>14</v>
      </c>
      <c r="B287" s="40" t="s">
        <v>657</v>
      </c>
      <c r="C287" s="40" t="s">
        <v>15</v>
      </c>
    </row>
    <row r="288" spans="1:15" x14ac:dyDescent="0.25">
      <c r="A288" s="73" t="s">
        <v>16</v>
      </c>
      <c r="B288" s="74">
        <v>2010</v>
      </c>
      <c r="C288" s="74">
        <v>2011</v>
      </c>
      <c r="D288" s="74">
        <v>2012</v>
      </c>
      <c r="E288" s="74">
        <v>2013</v>
      </c>
      <c r="F288" s="74">
        <v>2014</v>
      </c>
      <c r="G288" s="74">
        <v>2015</v>
      </c>
      <c r="H288" s="74">
        <v>2016</v>
      </c>
      <c r="I288" s="74">
        <v>2017</v>
      </c>
      <c r="J288" s="74">
        <v>2018</v>
      </c>
      <c r="K288" s="74">
        <v>2019</v>
      </c>
      <c r="L288" s="74">
        <v>2020</v>
      </c>
      <c r="M288" s="51">
        <v>2021</v>
      </c>
      <c r="N288" s="51">
        <v>2022</v>
      </c>
      <c r="O288" s="51">
        <v>2023</v>
      </c>
    </row>
    <row r="289" spans="1:15" x14ac:dyDescent="0.25">
      <c r="A289" s="73" t="s">
        <v>17</v>
      </c>
      <c r="B289" s="48">
        <v>100</v>
      </c>
      <c r="C289" s="48">
        <v>100</v>
      </c>
      <c r="D289" s="48">
        <v>100</v>
      </c>
      <c r="E289" s="48">
        <v>100</v>
      </c>
      <c r="F289" s="48">
        <v>100</v>
      </c>
      <c r="G289" s="48">
        <v>100</v>
      </c>
      <c r="H289" s="47">
        <v>100</v>
      </c>
      <c r="I289" s="48">
        <v>200</v>
      </c>
      <c r="J289" s="47">
        <v>200</v>
      </c>
      <c r="K289" s="48">
        <v>200</v>
      </c>
      <c r="L289" s="48">
        <v>200</v>
      </c>
      <c r="M289" s="47">
        <v>200</v>
      </c>
      <c r="N289" s="47">
        <v>200</v>
      </c>
      <c r="O289" s="200">
        <v>240</v>
      </c>
    </row>
    <row r="290" spans="1:15" x14ac:dyDescent="0.25">
      <c r="A290" s="73" t="s">
        <v>18</v>
      </c>
      <c r="B290" s="48">
        <v>100</v>
      </c>
      <c r="C290" s="48">
        <v>100</v>
      </c>
      <c r="D290" s="48">
        <v>100</v>
      </c>
      <c r="E290" s="48">
        <v>100</v>
      </c>
      <c r="F290" s="48">
        <v>100</v>
      </c>
      <c r="G290" s="48">
        <v>125</v>
      </c>
      <c r="H290" s="47">
        <v>125</v>
      </c>
      <c r="I290" s="48">
        <f>200+G293</f>
        <v>204.595</v>
      </c>
      <c r="J290" s="48">
        <v>250</v>
      </c>
      <c r="K290" s="48">
        <f>K289+I293</f>
        <v>220.04499999999999</v>
      </c>
      <c r="L290" s="48">
        <v>250</v>
      </c>
      <c r="M290" s="47">
        <f>M289*1.25</f>
        <v>250</v>
      </c>
      <c r="N290" s="47">
        <f>N289*1.25</f>
        <v>250</v>
      </c>
      <c r="O290" s="200">
        <f>O289+0.25*M289</f>
        <v>290</v>
      </c>
    </row>
    <row r="291" spans="1:15" x14ac:dyDescent="0.25">
      <c r="A291" s="73" t="s">
        <v>19</v>
      </c>
      <c r="B291" s="118"/>
      <c r="C291" s="118"/>
      <c r="D291" s="118"/>
      <c r="E291" s="118"/>
      <c r="F291" s="118"/>
      <c r="G291" s="118"/>
      <c r="H291" s="23"/>
      <c r="I291" s="23"/>
      <c r="J291" s="23"/>
      <c r="K291" s="23"/>
      <c r="L291" s="23"/>
      <c r="M291" s="23"/>
      <c r="N291" s="23"/>
      <c r="O291" s="45"/>
    </row>
    <row r="292" spans="1:15" x14ac:dyDescent="0.25">
      <c r="A292" s="73" t="s">
        <v>20</v>
      </c>
      <c r="B292" s="48">
        <v>100</v>
      </c>
      <c r="C292" s="48">
        <v>80.05</v>
      </c>
      <c r="D292" s="48">
        <v>61.02</v>
      </c>
      <c r="E292" s="48">
        <v>65.126999999999995</v>
      </c>
      <c r="F292" s="48">
        <v>33.822000000000003</v>
      </c>
      <c r="G292" s="48">
        <v>120.405</v>
      </c>
      <c r="H292" s="47">
        <v>94.369</v>
      </c>
      <c r="I292" s="47">
        <v>184.55</v>
      </c>
      <c r="J292" s="47">
        <v>116.455</v>
      </c>
      <c r="K292" s="47">
        <v>132.07</v>
      </c>
      <c r="L292" s="47">
        <v>183.94</v>
      </c>
      <c r="M292" s="47">
        <v>9.66</v>
      </c>
      <c r="N292" s="47">
        <v>31.19</v>
      </c>
      <c r="O292" s="47"/>
    </row>
    <row r="293" spans="1:15" x14ac:dyDescent="0.25">
      <c r="A293" s="73" t="s">
        <v>21</v>
      </c>
      <c r="B293" s="48">
        <f>B290-B292</f>
        <v>0</v>
      </c>
      <c r="C293" s="48">
        <f t="shared" ref="C293:N293" si="16">C290-C292</f>
        <v>19.950000000000003</v>
      </c>
      <c r="D293" s="48">
        <f t="shared" si="16"/>
        <v>38.979999999999997</v>
      </c>
      <c r="E293" s="48">
        <f t="shared" si="16"/>
        <v>34.873000000000005</v>
      </c>
      <c r="F293" s="48">
        <f t="shared" si="16"/>
        <v>66.177999999999997</v>
      </c>
      <c r="G293" s="48">
        <f t="shared" si="16"/>
        <v>4.5949999999999989</v>
      </c>
      <c r="H293" s="48">
        <f t="shared" si="16"/>
        <v>30.631</v>
      </c>
      <c r="I293" s="48">
        <f t="shared" si="16"/>
        <v>20.044999999999987</v>
      </c>
      <c r="J293" s="48">
        <f t="shared" si="16"/>
        <v>133.54500000000002</v>
      </c>
      <c r="K293" s="48">
        <f t="shared" si="16"/>
        <v>87.974999999999994</v>
      </c>
      <c r="L293" s="48">
        <f t="shared" si="16"/>
        <v>66.06</v>
      </c>
      <c r="M293" s="48">
        <f t="shared" si="16"/>
        <v>240.34</v>
      </c>
      <c r="N293" s="48">
        <f t="shared" si="16"/>
        <v>218.81</v>
      </c>
      <c r="O293" s="47"/>
    </row>
    <row r="294" spans="1:15" x14ac:dyDescent="0.25">
      <c r="A294" s="119" t="s">
        <v>22</v>
      </c>
      <c r="B294" s="120">
        <v>2012</v>
      </c>
      <c r="C294" s="120">
        <v>2013</v>
      </c>
      <c r="D294" s="120">
        <v>2014</v>
      </c>
      <c r="E294" s="120">
        <v>2015</v>
      </c>
      <c r="F294" s="120">
        <v>2016</v>
      </c>
      <c r="G294" s="120">
        <v>2017</v>
      </c>
      <c r="H294" s="57">
        <v>2018</v>
      </c>
      <c r="I294" s="57">
        <v>2019</v>
      </c>
      <c r="J294" s="57">
        <v>2020</v>
      </c>
      <c r="K294" s="57">
        <v>2021</v>
      </c>
      <c r="L294" s="57">
        <v>2022</v>
      </c>
      <c r="M294" s="57">
        <v>2023</v>
      </c>
      <c r="N294" s="57">
        <v>2024</v>
      </c>
      <c r="O294" s="57">
        <v>2025</v>
      </c>
    </row>
    <row r="295" spans="1:15" x14ac:dyDescent="0.25">
      <c r="A295" s="46" t="s">
        <v>154</v>
      </c>
      <c r="B295" s="58"/>
      <c r="C295" s="58"/>
      <c r="D295" s="58"/>
      <c r="E295" s="58"/>
      <c r="F295" s="58"/>
      <c r="G295" s="58"/>
      <c r="H295" s="58"/>
      <c r="I295" s="58"/>
      <c r="J295" s="58"/>
      <c r="K295" s="58"/>
      <c r="L295" s="58"/>
      <c r="M295" s="58"/>
      <c r="N295" s="58"/>
      <c r="O295" s="56"/>
    </row>
    <row r="296" spans="1:15" x14ac:dyDescent="0.25">
      <c r="A296" s="75" t="s">
        <v>155</v>
      </c>
      <c r="B296" s="30"/>
      <c r="C296" s="30"/>
      <c r="D296" s="30"/>
      <c r="E296" s="30"/>
      <c r="F296" s="30"/>
      <c r="G296" s="30"/>
      <c r="H296" s="30"/>
      <c r="I296" s="30"/>
      <c r="J296" s="30"/>
      <c r="K296" s="30"/>
      <c r="L296" s="30"/>
      <c r="M296" s="30"/>
      <c r="N296" s="30"/>
      <c r="O296" s="31"/>
    </row>
    <row r="297" spans="1:15" x14ac:dyDescent="0.25">
      <c r="A297" s="76" t="s">
        <v>337</v>
      </c>
      <c r="O297" s="21"/>
    </row>
    <row r="298" spans="1:15" x14ac:dyDescent="0.25">
      <c r="A298" s="76" t="s">
        <v>156</v>
      </c>
      <c r="O298" s="21"/>
    </row>
    <row r="299" spans="1:15" x14ac:dyDescent="0.25">
      <c r="A299" s="76" t="s">
        <v>338</v>
      </c>
      <c r="O299" s="21"/>
    </row>
    <row r="300" spans="1:15" x14ac:dyDescent="0.25">
      <c r="A300" s="76" t="s">
        <v>439</v>
      </c>
      <c r="O300" s="21"/>
    </row>
    <row r="301" spans="1:15" x14ac:dyDescent="0.25">
      <c r="A301" s="76" t="s">
        <v>587</v>
      </c>
      <c r="O301" s="21"/>
    </row>
    <row r="302" spans="1:15" x14ac:dyDescent="0.25">
      <c r="A302" s="59" t="s">
        <v>821</v>
      </c>
      <c r="B302" s="33"/>
      <c r="C302" s="33"/>
      <c r="D302" s="33"/>
      <c r="E302" s="33"/>
      <c r="F302" s="33"/>
      <c r="G302" s="33"/>
      <c r="H302" s="33"/>
      <c r="I302" s="33"/>
      <c r="J302" s="33"/>
      <c r="K302" s="33"/>
      <c r="L302" s="33"/>
      <c r="M302" s="33"/>
      <c r="N302" s="33"/>
      <c r="O302" s="34"/>
    </row>
    <row r="304" spans="1:15" x14ac:dyDescent="0.25">
      <c r="A304" s="91" t="s">
        <v>14</v>
      </c>
      <c r="B304" s="55" t="s">
        <v>637</v>
      </c>
      <c r="C304" s="55" t="s">
        <v>15</v>
      </c>
    </row>
    <row r="305" spans="1:15" x14ac:dyDescent="0.25">
      <c r="A305" s="121" t="s">
        <v>16</v>
      </c>
      <c r="B305" s="122">
        <v>2010</v>
      </c>
      <c r="C305" s="74">
        <v>2011</v>
      </c>
      <c r="D305" s="74">
        <v>2012</v>
      </c>
      <c r="E305" s="74">
        <v>2013</v>
      </c>
      <c r="F305" s="74">
        <v>2014</v>
      </c>
      <c r="G305" s="74">
        <v>2015</v>
      </c>
      <c r="H305" s="74">
        <v>2016</v>
      </c>
      <c r="I305" s="74">
        <v>2017</v>
      </c>
      <c r="J305" s="74">
        <v>2018</v>
      </c>
      <c r="K305" s="74">
        <v>2019</v>
      </c>
      <c r="L305" s="74">
        <v>2020</v>
      </c>
      <c r="M305" s="51">
        <v>2021</v>
      </c>
      <c r="N305" s="51">
        <v>2022</v>
      </c>
      <c r="O305" s="51">
        <v>2023</v>
      </c>
    </row>
    <row r="306" spans="1:15" x14ac:dyDescent="0.25">
      <c r="A306" s="73" t="s">
        <v>17</v>
      </c>
      <c r="B306" s="48">
        <v>75</v>
      </c>
      <c r="C306" s="48">
        <v>75</v>
      </c>
      <c r="D306" s="48">
        <v>75</v>
      </c>
      <c r="E306" s="48">
        <v>75</v>
      </c>
      <c r="F306" s="48">
        <v>75</v>
      </c>
      <c r="G306" s="48">
        <v>75</v>
      </c>
      <c r="H306" s="48">
        <v>75</v>
      </c>
      <c r="I306" s="48">
        <v>75</v>
      </c>
      <c r="J306" s="47">
        <v>100</v>
      </c>
      <c r="K306" s="48">
        <v>100</v>
      </c>
      <c r="L306" s="48">
        <v>100</v>
      </c>
      <c r="M306" s="47">
        <v>100</v>
      </c>
      <c r="N306" s="47">
        <v>100</v>
      </c>
      <c r="O306" s="47">
        <v>100</v>
      </c>
    </row>
    <row r="307" spans="1:15" x14ac:dyDescent="0.25">
      <c r="A307" s="73" t="s">
        <v>18</v>
      </c>
      <c r="B307" s="48">
        <v>79</v>
      </c>
      <c r="C307" s="48">
        <v>80</v>
      </c>
      <c r="D307" s="48">
        <v>105.3</v>
      </c>
      <c r="E307" s="48">
        <v>100</v>
      </c>
      <c r="F307" s="48">
        <v>100</v>
      </c>
      <c r="G307" s="47">
        <v>104.054</v>
      </c>
      <c r="H307" s="48">
        <v>137.5</v>
      </c>
      <c r="I307" s="48">
        <v>88</v>
      </c>
      <c r="J307" s="47">
        <v>90.442999999999998</v>
      </c>
      <c r="K307" s="48">
        <f>K306-12.726+6.69</f>
        <v>93.963999999999999</v>
      </c>
      <c r="L307" s="48">
        <v>103.95</v>
      </c>
      <c r="M307" s="47">
        <f>M306+K310</f>
        <v>102.404</v>
      </c>
      <c r="N307" s="47">
        <f>N306+L310</f>
        <v>107.78</v>
      </c>
      <c r="O307" s="47">
        <f>O306+0.15*M306</f>
        <v>115</v>
      </c>
    </row>
    <row r="308" spans="1:15" x14ac:dyDescent="0.25">
      <c r="A308" s="73" t="s">
        <v>19</v>
      </c>
      <c r="B308" s="48"/>
      <c r="C308" s="48"/>
      <c r="D308" s="48"/>
      <c r="E308" s="48"/>
      <c r="F308" s="48"/>
      <c r="G308" s="47"/>
      <c r="H308" s="47"/>
      <c r="I308" s="47"/>
      <c r="J308" s="53"/>
      <c r="K308" s="47"/>
      <c r="L308" s="47"/>
      <c r="M308" s="47"/>
      <c r="N308" s="47"/>
      <c r="O308" s="47"/>
    </row>
    <row r="309" spans="1:15" x14ac:dyDescent="0.25">
      <c r="A309" s="73" t="s">
        <v>20</v>
      </c>
      <c r="B309" s="48">
        <v>74</v>
      </c>
      <c r="C309" s="48">
        <v>74.7</v>
      </c>
      <c r="D309" s="48">
        <v>59</v>
      </c>
      <c r="E309" s="48">
        <v>95.945999999999998</v>
      </c>
      <c r="F309" s="48">
        <v>60.292999999999999</v>
      </c>
      <c r="G309" s="47">
        <v>140.78</v>
      </c>
      <c r="H309" s="47">
        <v>135.05699999999999</v>
      </c>
      <c r="I309" s="47">
        <v>81.31</v>
      </c>
      <c r="J309" s="47">
        <v>86.498000000000005</v>
      </c>
      <c r="K309" s="47">
        <v>91.56</v>
      </c>
      <c r="L309" s="47">
        <v>96.17</v>
      </c>
      <c r="M309" s="47">
        <v>58.583999999999996</v>
      </c>
      <c r="N309" s="47">
        <v>37.61</v>
      </c>
      <c r="O309" s="47"/>
    </row>
    <row r="310" spans="1:15" x14ac:dyDescent="0.25">
      <c r="A310" s="73" t="s">
        <v>21</v>
      </c>
      <c r="B310" s="48">
        <v>5</v>
      </c>
      <c r="C310" s="48">
        <v>5.3</v>
      </c>
      <c r="D310" s="48">
        <v>46.3</v>
      </c>
      <c r="E310" s="48">
        <v>4.0540000000000003</v>
      </c>
      <c r="F310" s="48">
        <v>39.707000000000001</v>
      </c>
      <c r="G310" s="47">
        <v>-36.725999999999999</v>
      </c>
      <c r="H310" s="47">
        <v>2.4430000000000001</v>
      </c>
      <c r="I310" s="47">
        <v>6.6899999999999977</v>
      </c>
      <c r="J310" s="47">
        <v>3.9449999999999998</v>
      </c>
      <c r="K310" s="47">
        <f>K307-K309</f>
        <v>2.4039999999999964</v>
      </c>
      <c r="L310" s="47">
        <f>L307-L309</f>
        <v>7.7800000000000011</v>
      </c>
      <c r="M310" s="47">
        <f>M307-M309</f>
        <v>43.82</v>
      </c>
      <c r="N310" s="47">
        <f>N307-N309</f>
        <v>70.17</v>
      </c>
      <c r="O310" s="47"/>
    </row>
    <row r="311" spans="1:15" x14ac:dyDescent="0.25">
      <c r="A311" s="119" t="s">
        <v>22</v>
      </c>
      <c r="B311" s="120">
        <v>2011</v>
      </c>
      <c r="C311" s="120">
        <v>2012</v>
      </c>
      <c r="D311" s="120">
        <v>2014</v>
      </c>
      <c r="E311" s="120">
        <v>2015</v>
      </c>
      <c r="F311" s="120">
        <v>2016</v>
      </c>
      <c r="G311" s="57">
        <v>2017</v>
      </c>
      <c r="H311" s="57">
        <v>2018</v>
      </c>
      <c r="I311" s="57">
        <v>2019</v>
      </c>
      <c r="J311" s="57">
        <v>2020</v>
      </c>
      <c r="K311" s="57">
        <v>2021</v>
      </c>
      <c r="L311" s="57">
        <v>2022</v>
      </c>
      <c r="M311" s="36">
        <v>2023</v>
      </c>
      <c r="N311" s="36">
        <v>2024</v>
      </c>
      <c r="O311" s="36">
        <v>2025</v>
      </c>
    </row>
    <row r="312" spans="1:15" x14ac:dyDescent="0.25">
      <c r="A312" s="685" t="s">
        <v>154</v>
      </c>
      <c r="B312" s="686"/>
      <c r="C312" s="686"/>
      <c r="D312" s="686"/>
      <c r="E312" s="686"/>
      <c r="F312" s="686"/>
      <c r="G312" s="686"/>
      <c r="H312" s="686"/>
      <c r="I312" s="686"/>
      <c r="J312" s="686"/>
      <c r="K312" s="686"/>
      <c r="L312" s="686"/>
      <c r="M312" s="686"/>
      <c r="N312" s="686"/>
      <c r="O312" s="687"/>
    </row>
    <row r="313" spans="1:15" x14ac:dyDescent="0.25">
      <c r="A313" s="685" t="s">
        <v>440</v>
      </c>
      <c r="B313" s="686"/>
      <c r="C313" s="686"/>
      <c r="D313" s="686"/>
      <c r="E313" s="686"/>
      <c r="F313" s="686"/>
      <c r="G313" s="686"/>
      <c r="H313" s="686"/>
      <c r="I313" s="686"/>
      <c r="J313" s="686"/>
      <c r="K313" s="686"/>
      <c r="L313" s="686"/>
      <c r="M313" s="686"/>
      <c r="N313" s="30"/>
      <c r="O313" s="31"/>
    </row>
    <row r="314" spans="1:15" x14ac:dyDescent="0.25">
      <c r="A314" s="76" t="s">
        <v>339</v>
      </c>
      <c r="O314" s="21"/>
    </row>
    <row r="315" spans="1:15" x14ac:dyDescent="0.25">
      <c r="A315" s="20" t="s">
        <v>157</v>
      </c>
      <c r="O315" s="21"/>
    </row>
    <row r="316" spans="1:15" x14ac:dyDescent="0.25">
      <c r="A316" s="20" t="s">
        <v>441</v>
      </c>
      <c r="O316" s="21"/>
    </row>
    <row r="317" spans="1:15" x14ac:dyDescent="0.25">
      <c r="A317" s="20" t="s">
        <v>442</v>
      </c>
      <c r="O317" s="21"/>
    </row>
    <row r="318" spans="1:15" x14ac:dyDescent="0.25">
      <c r="A318" s="20" t="s">
        <v>623</v>
      </c>
      <c r="O318" s="21"/>
    </row>
    <row r="319" spans="1:15" x14ac:dyDescent="0.25">
      <c r="A319" s="32" t="s">
        <v>822</v>
      </c>
      <c r="B319" s="33"/>
      <c r="C319" s="33"/>
      <c r="D319" s="33"/>
      <c r="E319" s="33"/>
      <c r="F319" s="33"/>
      <c r="G319" s="33"/>
      <c r="H319" s="33"/>
      <c r="I319" s="33"/>
      <c r="J319" s="33"/>
      <c r="K319" s="33"/>
      <c r="L319" s="33"/>
      <c r="M319" s="33"/>
      <c r="N319" s="33"/>
      <c r="O319" s="34"/>
    </row>
    <row r="321" spans="1:15" x14ac:dyDescent="0.25">
      <c r="A321" s="91" t="s">
        <v>14</v>
      </c>
      <c r="B321" s="55" t="s">
        <v>660</v>
      </c>
      <c r="C321" s="55" t="s">
        <v>15</v>
      </c>
    </row>
    <row r="322" spans="1:15" x14ac:dyDescent="0.25">
      <c r="A322" s="73" t="s">
        <v>16</v>
      </c>
      <c r="B322" s="74">
        <v>2010</v>
      </c>
      <c r="C322" s="74">
        <v>2011</v>
      </c>
      <c r="D322" s="74">
        <v>2012</v>
      </c>
      <c r="E322" s="74">
        <v>2013</v>
      </c>
      <c r="F322" s="74">
        <v>2014</v>
      </c>
      <c r="G322" s="74">
        <v>2015</v>
      </c>
      <c r="H322" s="74">
        <v>2016</v>
      </c>
      <c r="I322" s="74">
        <v>2017</v>
      </c>
      <c r="J322" s="51">
        <v>2018</v>
      </c>
      <c r="K322" s="74">
        <v>2019</v>
      </c>
      <c r="L322" s="74">
        <v>2020</v>
      </c>
      <c r="M322" s="51">
        <v>2021</v>
      </c>
      <c r="N322" s="51">
        <v>2022</v>
      </c>
      <c r="O322" s="51">
        <v>2023</v>
      </c>
    </row>
    <row r="323" spans="1:15" x14ac:dyDescent="0.25">
      <c r="A323" s="73" t="s">
        <v>17</v>
      </c>
      <c r="B323" s="48">
        <v>263</v>
      </c>
      <c r="C323" s="48">
        <v>263</v>
      </c>
      <c r="D323" s="48">
        <v>263</v>
      </c>
      <c r="E323" s="48">
        <v>263</v>
      </c>
      <c r="F323" s="48">
        <v>263</v>
      </c>
      <c r="G323" s="48">
        <v>263</v>
      </c>
      <c r="H323" s="48">
        <v>263</v>
      </c>
      <c r="I323" s="48">
        <v>313</v>
      </c>
      <c r="J323" s="47">
        <v>313</v>
      </c>
      <c r="K323" s="48">
        <v>313</v>
      </c>
      <c r="L323" s="48">
        <v>313</v>
      </c>
      <c r="M323" s="48">
        <v>313</v>
      </c>
      <c r="N323" s="48">
        <v>313</v>
      </c>
      <c r="O323" s="48">
        <v>313</v>
      </c>
    </row>
    <row r="324" spans="1:15" x14ac:dyDescent="0.25">
      <c r="A324" s="73" t="s">
        <v>18</v>
      </c>
      <c r="B324" s="48">
        <v>393</v>
      </c>
      <c r="C324" s="48">
        <v>362</v>
      </c>
      <c r="D324" s="48">
        <v>377.49</v>
      </c>
      <c r="E324" s="48">
        <v>263</v>
      </c>
      <c r="F324" s="48">
        <v>324.99</v>
      </c>
      <c r="G324" s="47">
        <v>330.03800000000001</v>
      </c>
      <c r="H324" s="48">
        <v>341.9</v>
      </c>
      <c r="I324" s="48">
        <v>315.34399999999999</v>
      </c>
      <c r="J324" s="47">
        <v>391.9</v>
      </c>
      <c r="K324" s="48">
        <v>326.76</v>
      </c>
      <c r="L324" s="48">
        <v>350.05</v>
      </c>
      <c r="M324" s="23">
        <f>M323+0.2*K323</f>
        <v>375.6</v>
      </c>
      <c r="N324" s="23">
        <f>N323+0.2*L323</f>
        <v>375.6</v>
      </c>
      <c r="O324" s="23">
        <f>O323+0.1*M323</f>
        <v>344.3</v>
      </c>
    </row>
    <row r="325" spans="1:15" x14ac:dyDescent="0.25">
      <c r="A325" s="73" t="s">
        <v>19</v>
      </c>
      <c r="B325" s="48"/>
      <c r="C325" s="48"/>
      <c r="D325" s="48"/>
      <c r="E325" s="48"/>
      <c r="F325" s="48"/>
      <c r="G325" s="47"/>
      <c r="H325" s="47"/>
      <c r="I325" s="47"/>
      <c r="J325" s="47"/>
      <c r="K325" s="47"/>
      <c r="L325" s="47"/>
      <c r="M325" s="22"/>
      <c r="N325" s="22"/>
      <c r="O325" s="22"/>
    </row>
    <row r="326" spans="1:15" x14ac:dyDescent="0.25">
      <c r="A326" s="73" t="s">
        <v>20</v>
      </c>
      <c r="B326" s="48">
        <v>294</v>
      </c>
      <c r="C326" s="48">
        <v>247.51</v>
      </c>
      <c r="D326" s="48">
        <v>315.5</v>
      </c>
      <c r="E326" s="48">
        <v>195.96199999999999</v>
      </c>
      <c r="F326" s="48">
        <v>205.89400000000001</v>
      </c>
      <c r="G326" s="47">
        <v>327.69600000000003</v>
      </c>
      <c r="H326" s="47">
        <v>222.22</v>
      </c>
      <c r="I326" s="47">
        <v>301.58</v>
      </c>
      <c r="J326" s="47">
        <v>354.85</v>
      </c>
      <c r="K326" s="47">
        <v>210.91</v>
      </c>
      <c r="L326" s="47">
        <v>88.54</v>
      </c>
      <c r="M326" s="22">
        <v>36.729999999999997</v>
      </c>
      <c r="N326" s="22">
        <v>187.61</v>
      </c>
      <c r="O326" s="22"/>
    </row>
    <row r="327" spans="1:15" x14ac:dyDescent="0.25">
      <c r="A327" s="73" t="s">
        <v>21</v>
      </c>
      <c r="B327" s="48">
        <v>99</v>
      </c>
      <c r="C327" s="48">
        <v>114.49</v>
      </c>
      <c r="D327" s="48">
        <v>61.99</v>
      </c>
      <c r="E327" s="48">
        <v>67.037999999999997</v>
      </c>
      <c r="F327" s="48">
        <v>119.096</v>
      </c>
      <c r="G327" s="47">
        <v>2.3439999999999999</v>
      </c>
      <c r="H327" s="47">
        <v>119.68</v>
      </c>
      <c r="I327" s="47">
        <v>13.759999999999991</v>
      </c>
      <c r="J327" s="47">
        <v>37.049999999999997</v>
      </c>
      <c r="K327" s="47">
        <f>K324-K326</f>
        <v>115.85</v>
      </c>
      <c r="L327" s="47">
        <f>L324-L326</f>
        <v>261.51</v>
      </c>
      <c r="M327" s="47">
        <f>M324-M326</f>
        <v>338.87</v>
      </c>
      <c r="N327" s="47">
        <f>N324-N326</f>
        <v>187.99</v>
      </c>
      <c r="O327" s="47"/>
    </row>
    <row r="328" spans="1:15" x14ac:dyDescent="0.25">
      <c r="A328" s="119" t="s">
        <v>22</v>
      </c>
      <c r="B328" s="231">
        <v>2011</v>
      </c>
      <c r="C328" s="231">
        <v>2012</v>
      </c>
      <c r="D328" s="231">
        <v>2014</v>
      </c>
      <c r="E328" s="231">
        <v>2015</v>
      </c>
      <c r="F328" s="231">
        <v>2016</v>
      </c>
      <c r="G328" s="81">
        <v>2017</v>
      </c>
      <c r="H328" s="81">
        <v>2018</v>
      </c>
      <c r="I328" s="81">
        <v>2019</v>
      </c>
      <c r="J328" s="81">
        <v>2020</v>
      </c>
      <c r="K328" s="81">
        <v>2021</v>
      </c>
      <c r="L328" s="81">
        <v>2022</v>
      </c>
      <c r="M328" s="194">
        <v>2023</v>
      </c>
      <c r="N328" s="194">
        <v>2024</v>
      </c>
      <c r="O328" s="194">
        <v>2025</v>
      </c>
    </row>
    <row r="329" spans="1:15" x14ac:dyDescent="0.25">
      <c r="A329" s="685" t="s">
        <v>154</v>
      </c>
      <c r="B329" s="686"/>
      <c r="C329" s="686"/>
      <c r="D329" s="686"/>
      <c r="E329" s="686"/>
      <c r="F329" s="686"/>
      <c r="G329" s="686"/>
      <c r="H329" s="686"/>
      <c r="I329" s="686"/>
      <c r="J329" s="686"/>
      <c r="K329" s="686"/>
      <c r="L329" s="686"/>
      <c r="M329" s="686"/>
      <c r="N329" s="686"/>
      <c r="O329" s="687"/>
    </row>
    <row r="330" spans="1:15" x14ac:dyDescent="0.25">
      <c r="A330" s="75" t="s">
        <v>158</v>
      </c>
      <c r="B330" s="30"/>
      <c r="C330" s="30"/>
      <c r="D330" s="30"/>
      <c r="E330" s="30"/>
      <c r="F330" s="30"/>
      <c r="G330" s="30"/>
      <c r="H330" s="30"/>
      <c r="I330" s="30"/>
      <c r="J330" s="30"/>
      <c r="K330" s="30"/>
      <c r="L330" s="30"/>
      <c r="M330" s="30"/>
      <c r="N330" s="30"/>
      <c r="O330" s="31"/>
    </row>
    <row r="331" spans="1:15" x14ac:dyDescent="0.25">
      <c r="A331" s="76" t="s">
        <v>340</v>
      </c>
      <c r="O331" s="21"/>
    </row>
    <row r="332" spans="1:15" x14ac:dyDescent="0.25">
      <c r="A332" s="76" t="s">
        <v>341</v>
      </c>
      <c r="O332" s="21"/>
    </row>
    <row r="333" spans="1:15" x14ac:dyDescent="0.25">
      <c r="A333" s="76" t="s">
        <v>443</v>
      </c>
      <c r="O333" s="21"/>
    </row>
    <row r="334" spans="1:15" x14ac:dyDescent="0.25">
      <c r="A334" s="76" t="s">
        <v>624</v>
      </c>
      <c r="O334" s="21"/>
    </row>
    <row r="335" spans="1:15" x14ac:dyDescent="0.25">
      <c r="A335" s="32" t="s">
        <v>823</v>
      </c>
      <c r="B335" s="33"/>
      <c r="C335" s="33"/>
      <c r="D335" s="33"/>
      <c r="E335" s="33"/>
      <c r="F335" s="33"/>
      <c r="G335" s="33"/>
      <c r="H335" s="33"/>
      <c r="I335" s="33"/>
      <c r="J335" s="33"/>
      <c r="K335" s="33"/>
      <c r="L335" s="33"/>
      <c r="M335" s="33"/>
      <c r="N335" s="33"/>
      <c r="O335" s="34"/>
    </row>
    <row r="337" spans="1:15" x14ac:dyDescent="0.25">
      <c r="A337" s="91" t="s">
        <v>14</v>
      </c>
      <c r="B337" s="55" t="s">
        <v>66</v>
      </c>
      <c r="C337" s="55" t="s">
        <v>15</v>
      </c>
    </row>
    <row r="338" spans="1:15" x14ac:dyDescent="0.25">
      <c r="A338" s="121" t="s">
        <v>16</v>
      </c>
      <c r="B338" s="122">
        <v>2010</v>
      </c>
      <c r="C338" s="74">
        <v>2011</v>
      </c>
      <c r="D338" s="74">
        <v>2012</v>
      </c>
      <c r="E338" s="74">
        <v>2013</v>
      </c>
      <c r="F338" s="74">
        <v>2014</v>
      </c>
      <c r="G338" s="74">
        <v>2015</v>
      </c>
      <c r="H338" s="74">
        <v>2016</v>
      </c>
      <c r="I338" s="74">
        <v>2017</v>
      </c>
      <c r="J338" s="74">
        <v>2018</v>
      </c>
      <c r="K338" s="51">
        <v>2019</v>
      </c>
      <c r="L338" s="51">
        <v>2020</v>
      </c>
      <c r="M338" s="213">
        <v>2021</v>
      </c>
      <c r="N338" s="213">
        <v>2022</v>
      </c>
      <c r="O338" s="213">
        <v>2023</v>
      </c>
    </row>
    <row r="339" spans="1:15" x14ac:dyDescent="0.25">
      <c r="A339" s="73" t="s">
        <v>17</v>
      </c>
      <c r="B339" s="48">
        <v>5900</v>
      </c>
      <c r="C339" s="48">
        <v>5572</v>
      </c>
      <c r="D339" s="48">
        <v>5572</v>
      </c>
      <c r="E339" s="48">
        <v>5572</v>
      </c>
      <c r="F339" s="48">
        <v>5572</v>
      </c>
      <c r="G339" s="48">
        <v>5572</v>
      </c>
      <c r="H339" s="48">
        <v>5376</v>
      </c>
      <c r="I339" s="48">
        <v>5376</v>
      </c>
      <c r="J339" s="47">
        <v>5376</v>
      </c>
      <c r="K339" s="47">
        <v>5376</v>
      </c>
      <c r="L339" s="47">
        <v>4462.08</v>
      </c>
      <c r="M339" s="232">
        <v>4390.6867200000006</v>
      </c>
      <c r="N339" s="232">
        <v>4426.38</v>
      </c>
      <c r="O339" s="232">
        <v>4426.38</v>
      </c>
    </row>
    <row r="340" spans="1:15" x14ac:dyDescent="0.25">
      <c r="A340" s="73" t="s">
        <v>18</v>
      </c>
      <c r="B340" s="48">
        <v>9670</v>
      </c>
      <c r="C340" s="48">
        <v>8572</v>
      </c>
      <c r="D340" s="48">
        <v>10173</v>
      </c>
      <c r="E340" s="48">
        <v>8502</v>
      </c>
      <c r="F340" s="48">
        <v>10173.6</v>
      </c>
      <c r="G340" s="48">
        <v>10173.6</v>
      </c>
      <c r="H340" s="48">
        <v>7182.4</v>
      </c>
      <c r="I340" s="48">
        <v>7182.4</v>
      </c>
      <c r="J340" s="48">
        <v>7182.4</v>
      </c>
      <c r="K340" s="47">
        <v>7182.4</v>
      </c>
      <c r="L340" s="47">
        <f>L339+0.15*J339+600</f>
        <v>5868.48</v>
      </c>
      <c r="M340" s="232">
        <f>M339+0.1*K339+600</f>
        <v>5528.286720000001</v>
      </c>
      <c r="N340" s="232">
        <f>N339+0.1*L339+600</f>
        <v>5472.5879999999997</v>
      </c>
      <c r="O340" s="232">
        <f>O339+0.1*M339+600</f>
        <v>5465.4486720000004</v>
      </c>
    </row>
    <row r="341" spans="1:15" x14ac:dyDescent="0.25">
      <c r="A341" s="73" t="s">
        <v>19</v>
      </c>
      <c r="B341" s="73"/>
      <c r="C341" s="73"/>
      <c r="D341" s="73"/>
      <c r="E341" s="73"/>
      <c r="F341" s="73"/>
      <c r="G341" s="22"/>
      <c r="H341" s="22"/>
      <c r="I341" s="22"/>
      <c r="J341" s="52"/>
      <c r="K341" s="22"/>
      <c r="L341" s="22"/>
      <c r="M341" s="227"/>
      <c r="N341" s="227"/>
      <c r="O341" s="227"/>
    </row>
    <row r="342" spans="1:15" x14ac:dyDescent="0.25">
      <c r="A342" s="73" t="s">
        <v>20</v>
      </c>
      <c r="B342" s="48">
        <v>5489</v>
      </c>
      <c r="C342" s="48">
        <v>3720.78</v>
      </c>
      <c r="D342" s="48">
        <v>3231</v>
      </c>
      <c r="E342" s="48">
        <v>2371.0340000000001</v>
      </c>
      <c r="F342" s="48">
        <v>2231.75</v>
      </c>
      <c r="G342" s="47">
        <v>4941.848</v>
      </c>
      <c r="H342" s="47">
        <v>5852.39</v>
      </c>
      <c r="I342" s="47">
        <v>5514.3580000000002</v>
      </c>
      <c r="J342" s="47">
        <v>4823.0860000000002</v>
      </c>
      <c r="K342" s="47">
        <v>5718.49</v>
      </c>
      <c r="L342" s="47">
        <v>3613.58</v>
      </c>
      <c r="M342" s="232">
        <v>1638.49</v>
      </c>
      <c r="N342" s="232">
        <v>3248.94</v>
      </c>
      <c r="O342" s="232"/>
    </row>
    <row r="343" spans="1:15" x14ac:dyDescent="0.25">
      <c r="A343" s="73" t="s">
        <v>21</v>
      </c>
      <c r="B343" s="48">
        <v>4181</v>
      </c>
      <c r="C343" s="48">
        <v>4581.22</v>
      </c>
      <c r="D343" s="48">
        <v>6942</v>
      </c>
      <c r="E343" s="48">
        <v>6130.6959999999999</v>
      </c>
      <c r="F343" s="48">
        <v>7941.85</v>
      </c>
      <c r="G343" s="47">
        <v>5232.116</v>
      </c>
      <c r="H343" s="47">
        <v>1330.01</v>
      </c>
      <c r="I343" s="47">
        <v>1449.932</v>
      </c>
      <c r="J343" s="47">
        <v>2359.3139999999999</v>
      </c>
      <c r="K343" s="47">
        <f>K340-K342</f>
        <v>1463.9099999999999</v>
      </c>
      <c r="L343" s="47">
        <f>L340-L342</f>
        <v>2254.8999999999996</v>
      </c>
      <c r="M343" s="47">
        <f>M340-M342</f>
        <v>3889.7967200000012</v>
      </c>
      <c r="N343" s="47">
        <f>N340-N342</f>
        <v>2223.6479999999997</v>
      </c>
      <c r="O343" s="232"/>
    </row>
    <row r="344" spans="1:15" x14ac:dyDescent="0.25">
      <c r="A344" s="119" t="s">
        <v>22</v>
      </c>
      <c r="B344" s="119">
        <v>2012</v>
      </c>
      <c r="C344" s="119">
        <v>2013</v>
      </c>
      <c r="D344" s="119">
        <v>2014</v>
      </c>
      <c r="E344" s="119">
        <v>2015</v>
      </c>
      <c r="F344" s="119">
        <v>2016</v>
      </c>
      <c r="G344" s="36">
        <v>2017</v>
      </c>
      <c r="H344" s="36">
        <v>2018</v>
      </c>
      <c r="I344" s="36">
        <v>2019</v>
      </c>
      <c r="J344" s="36">
        <v>2020</v>
      </c>
      <c r="K344" s="36">
        <v>2021</v>
      </c>
      <c r="L344" s="36">
        <v>2022</v>
      </c>
      <c r="M344" s="36">
        <v>2023</v>
      </c>
      <c r="N344" s="228"/>
      <c r="O344" s="228"/>
    </row>
    <row r="345" spans="1:15" x14ac:dyDescent="0.25">
      <c r="A345" s="685" t="s">
        <v>154</v>
      </c>
      <c r="B345" s="686"/>
      <c r="C345" s="686"/>
      <c r="D345" s="686"/>
      <c r="E345" s="686"/>
      <c r="F345" s="686"/>
      <c r="G345" s="686"/>
      <c r="H345" s="686"/>
      <c r="I345" s="686"/>
      <c r="J345" s="686"/>
      <c r="K345" s="686"/>
      <c r="L345" s="686"/>
      <c r="M345" s="686"/>
      <c r="N345" s="686"/>
      <c r="O345" s="687"/>
    </row>
    <row r="346" spans="1:15" x14ac:dyDescent="0.25">
      <c r="A346" s="75" t="s">
        <v>159</v>
      </c>
      <c r="B346" s="30"/>
      <c r="C346" s="30"/>
      <c r="D346" s="30"/>
      <c r="E346" s="30"/>
      <c r="F346" s="30"/>
      <c r="G346" s="30"/>
      <c r="H346" s="30"/>
      <c r="I346" s="30"/>
      <c r="J346" s="30"/>
      <c r="K346" s="30"/>
      <c r="L346" s="30"/>
      <c r="M346" s="30"/>
      <c r="N346" s="30"/>
      <c r="O346" s="31"/>
    </row>
    <row r="347" spans="1:15" x14ac:dyDescent="0.25">
      <c r="A347" s="76" t="s">
        <v>160</v>
      </c>
      <c r="O347" s="21"/>
    </row>
    <row r="348" spans="1:15" x14ac:dyDescent="0.25">
      <c r="A348" s="76" t="s">
        <v>444</v>
      </c>
      <c r="O348" s="21"/>
    </row>
    <row r="349" spans="1:15" x14ac:dyDescent="0.25">
      <c r="A349" s="275" t="s">
        <v>600</v>
      </c>
      <c r="O349" s="21"/>
    </row>
    <row r="350" spans="1:15" x14ac:dyDescent="0.25">
      <c r="A350" s="275" t="s">
        <v>625</v>
      </c>
      <c r="O350" s="21"/>
    </row>
    <row r="351" spans="1:15" x14ac:dyDescent="0.25">
      <c r="A351" s="234" t="s">
        <v>824</v>
      </c>
      <c r="B351" s="33"/>
      <c r="C351" s="33"/>
      <c r="D351" s="33"/>
      <c r="E351" s="33"/>
      <c r="F351" s="33"/>
      <c r="G351" s="33"/>
      <c r="H351" s="33"/>
      <c r="I351" s="33"/>
      <c r="J351" s="33"/>
      <c r="K351" s="33"/>
      <c r="L351" s="33"/>
      <c r="M351" s="33"/>
      <c r="N351" s="33"/>
      <c r="O351" s="34"/>
    </row>
    <row r="353" spans="1:14" x14ac:dyDescent="0.25">
      <c r="A353" s="91" t="s">
        <v>14</v>
      </c>
      <c r="B353" s="55" t="s">
        <v>74</v>
      </c>
      <c r="C353" s="55" t="s">
        <v>15</v>
      </c>
    </row>
    <row r="354" spans="1:14" x14ac:dyDescent="0.25">
      <c r="A354" s="121" t="s">
        <v>16</v>
      </c>
      <c r="B354" s="122">
        <v>2010</v>
      </c>
      <c r="C354" s="74">
        <v>2011</v>
      </c>
      <c r="D354" s="74">
        <v>2012</v>
      </c>
      <c r="E354" s="74">
        <v>2013</v>
      </c>
      <c r="F354" s="74">
        <v>2014</v>
      </c>
      <c r="G354" s="74">
        <v>2015</v>
      </c>
      <c r="H354" s="74">
        <v>2016</v>
      </c>
      <c r="I354" s="74">
        <v>2017</v>
      </c>
      <c r="J354" s="74">
        <v>2018</v>
      </c>
      <c r="K354" s="51">
        <v>2019</v>
      </c>
      <c r="L354" s="51">
        <v>2020</v>
      </c>
      <c r="M354" s="51">
        <v>2021</v>
      </c>
      <c r="N354" s="51">
        <v>2022</v>
      </c>
    </row>
    <row r="355" spans="1:14" x14ac:dyDescent="0.25">
      <c r="A355" s="73" t="s">
        <v>17</v>
      </c>
      <c r="B355" s="48">
        <v>100.5</v>
      </c>
      <c r="C355" s="48">
        <v>100.5</v>
      </c>
      <c r="D355" s="48">
        <v>100.5</v>
      </c>
      <c r="E355" s="48">
        <v>45</v>
      </c>
      <c r="F355" s="48">
        <v>45</v>
      </c>
      <c r="G355" s="48">
        <v>45</v>
      </c>
      <c r="H355" s="48">
        <v>45</v>
      </c>
      <c r="I355" s="48">
        <v>45</v>
      </c>
      <c r="J355" s="47">
        <v>45</v>
      </c>
      <c r="K355" s="47">
        <v>45</v>
      </c>
      <c r="L355" s="47">
        <v>37.9</v>
      </c>
      <c r="M355" s="47">
        <v>37.9</v>
      </c>
      <c r="N355" s="47">
        <v>37.9</v>
      </c>
    </row>
    <row r="356" spans="1:14" x14ac:dyDescent="0.25">
      <c r="A356" s="73" t="s">
        <v>18</v>
      </c>
      <c r="B356" s="48">
        <v>100.5</v>
      </c>
      <c r="C356" s="48">
        <v>100.5</v>
      </c>
      <c r="D356" s="48">
        <v>100.5</v>
      </c>
      <c r="E356" s="48">
        <v>45</v>
      </c>
      <c r="F356" s="48">
        <v>45</v>
      </c>
      <c r="G356" s="48">
        <v>45</v>
      </c>
      <c r="H356" s="48">
        <v>50.34</v>
      </c>
      <c r="I356" s="48">
        <v>45.585000000000001</v>
      </c>
      <c r="J356" s="48">
        <v>45.628999999999998</v>
      </c>
      <c r="K356" s="47">
        <v>50.27</v>
      </c>
      <c r="L356" s="47">
        <f>L355+J359</f>
        <v>41.338000000000001</v>
      </c>
      <c r="M356" s="47">
        <f>M355+K359</f>
        <v>41.77</v>
      </c>
      <c r="N356" s="47"/>
    </row>
    <row r="357" spans="1:14" x14ac:dyDescent="0.25">
      <c r="A357" s="73" t="s">
        <v>19</v>
      </c>
      <c r="B357" s="73"/>
      <c r="C357" s="73"/>
      <c r="D357" s="73"/>
      <c r="E357" s="73"/>
      <c r="F357" s="73"/>
      <c r="G357" s="22"/>
      <c r="H357" s="22"/>
      <c r="I357" s="22"/>
      <c r="J357" s="22"/>
      <c r="K357" s="22"/>
      <c r="L357" s="22"/>
      <c r="M357" s="22"/>
      <c r="N357" s="22"/>
    </row>
    <row r="358" spans="1:14" x14ac:dyDescent="0.25">
      <c r="A358" s="73" t="s">
        <v>20</v>
      </c>
      <c r="B358" s="48">
        <v>77</v>
      </c>
      <c r="C358" s="48">
        <v>99.5</v>
      </c>
      <c r="D358" s="48">
        <v>35</v>
      </c>
      <c r="E358" s="48">
        <v>44.86</v>
      </c>
      <c r="F358" s="48">
        <v>39.659999999999997</v>
      </c>
      <c r="G358" s="47">
        <v>44.414999999999999</v>
      </c>
      <c r="H358" s="47">
        <v>49.710999999999999</v>
      </c>
      <c r="I358" s="47">
        <v>40.31</v>
      </c>
      <c r="J358" s="47">
        <v>42.191000000000003</v>
      </c>
      <c r="K358" s="47">
        <v>46.4</v>
      </c>
      <c r="L358" s="47">
        <v>37.24</v>
      </c>
      <c r="M358" s="47">
        <v>4.03</v>
      </c>
      <c r="N358" s="47">
        <v>10.41</v>
      </c>
    </row>
    <row r="359" spans="1:14" x14ac:dyDescent="0.25">
      <c r="A359" s="73" t="s">
        <v>21</v>
      </c>
      <c r="B359" s="48">
        <v>23.5</v>
      </c>
      <c r="C359" s="48">
        <v>1</v>
      </c>
      <c r="D359" s="48">
        <v>65.5</v>
      </c>
      <c r="E359" s="48">
        <v>0.14199999999999999</v>
      </c>
      <c r="F359" s="48">
        <v>5.34</v>
      </c>
      <c r="G359" s="47">
        <v>0.58499999999999996</v>
      </c>
      <c r="H359" s="47">
        <v>0.629</v>
      </c>
      <c r="I359" s="47">
        <v>5.269999999999996</v>
      </c>
      <c r="J359" s="47">
        <v>3.4380000000000002</v>
      </c>
      <c r="K359" s="47">
        <f>K356-K358</f>
        <v>3.8700000000000045</v>
      </c>
      <c r="L359" s="47">
        <f>L356-L358</f>
        <v>4.097999999999999</v>
      </c>
      <c r="M359" s="47">
        <f>M356-M358</f>
        <v>37.74</v>
      </c>
      <c r="N359" s="47">
        <f>N355-N358</f>
        <v>27.49</v>
      </c>
    </row>
    <row r="360" spans="1:14" x14ac:dyDescent="0.25">
      <c r="A360" s="119" t="s">
        <v>22</v>
      </c>
      <c r="B360" s="120" t="s">
        <v>161</v>
      </c>
      <c r="C360" s="120" t="s">
        <v>161</v>
      </c>
      <c r="D360" s="120" t="s">
        <v>161</v>
      </c>
      <c r="E360" s="120">
        <v>2015</v>
      </c>
      <c r="F360" s="120">
        <v>2016</v>
      </c>
      <c r="G360" s="57">
        <v>2017</v>
      </c>
      <c r="H360" s="57">
        <v>2018</v>
      </c>
      <c r="I360" s="57">
        <v>2019</v>
      </c>
      <c r="J360" s="57">
        <v>2020</v>
      </c>
      <c r="K360" s="57">
        <v>2021</v>
      </c>
      <c r="L360" s="120"/>
      <c r="M360" s="120"/>
      <c r="N360" s="120"/>
    </row>
    <row r="361" spans="1:14" x14ac:dyDescent="0.25">
      <c r="A361" s="46" t="s">
        <v>154</v>
      </c>
      <c r="B361" s="58"/>
      <c r="C361" s="58"/>
      <c r="D361" s="58"/>
      <c r="E361" s="58"/>
      <c r="F361" s="58"/>
      <c r="G361" s="58"/>
      <c r="H361" s="58"/>
      <c r="I361" s="58"/>
      <c r="J361" s="58"/>
      <c r="K361" s="58"/>
      <c r="L361" s="58"/>
      <c r="M361" s="58"/>
      <c r="N361" s="56"/>
    </row>
    <row r="362" spans="1:14" x14ac:dyDescent="0.25">
      <c r="A362" s="20" t="s">
        <v>626</v>
      </c>
      <c r="N362" s="21"/>
    </row>
    <row r="363" spans="1:14" x14ac:dyDescent="0.25">
      <c r="A363" s="76" t="s">
        <v>162</v>
      </c>
      <c r="N363" s="21"/>
    </row>
    <row r="364" spans="1:14" x14ac:dyDescent="0.25">
      <c r="A364" s="76" t="s">
        <v>342</v>
      </c>
      <c r="N364" s="21"/>
    </row>
    <row r="365" spans="1:14" x14ac:dyDescent="0.25">
      <c r="A365" s="20" t="s">
        <v>343</v>
      </c>
      <c r="N365" s="21"/>
    </row>
    <row r="366" spans="1:14" x14ac:dyDescent="0.25">
      <c r="A366" s="20" t="s">
        <v>445</v>
      </c>
      <c r="N366" s="21"/>
    </row>
    <row r="367" spans="1:14" x14ac:dyDescent="0.25">
      <c r="A367" s="32" t="s">
        <v>825</v>
      </c>
      <c r="B367" s="33"/>
      <c r="C367" s="33"/>
      <c r="D367" s="33"/>
      <c r="E367" s="33"/>
      <c r="F367" s="33"/>
      <c r="G367" s="33"/>
      <c r="H367" s="33"/>
      <c r="I367" s="33"/>
      <c r="J367" s="33"/>
      <c r="K367" s="33"/>
      <c r="L367" s="33"/>
      <c r="M367" s="33"/>
      <c r="N367" s="34"/>
    </row>
    <row r="369" spans="1:14" x14ac:dyDescent="0.25">
      <c r="A369" s="91" t="s">
        <v>14</v>
      </c>
      <c r="B369" s="55" t="s">
        <v>79</v>
      </c>
      <c r="C369" s="55" t="s">
        <v>15</v>
      </c>
    </row>
    <row r="370" spans="1:14" x14ac:dyDescent="0.25">
      <c r="A370" s="121" t="s">
        <v>16</v>
      </c>
      <c r="B370" s="122">
        <v>2010</v>
      </c>
      <c r="C370" s="74">
        <v>2011</v>
      </c>
      <c r="D370" s="74">
        <v>2012</v>
      </c>
      <c r="E370" s="74">
        <v>2013</v>
      </c>
      <c r="F370" s="74">
        <v>2014</v>
      </c>
      <c r="G370" s="74">
        <v>2015</v>
      </c>
      <c r="H370" s="74">
        <v>2016</v>
      </c>
      <c r="I370" s="74">
        <v>2017</v>
      </c>
      <c r="J370" s="74">
        <v>2018</v>
      </c>
      <c r="K370" s="51">
        <v>2019</v>
      </c>
      <c r="L370" s="51">
        <v>2020</v>
      </c>
      <c r="M370" s="51">
        <v>2021</v>
      </c>
      <c r="N370" s="51">
        <v>2022</v>
      </c>
    </row>
    <row r="371" spans="1:14" x14ac:dyDescent="0.25">
      <c r="A371" s="73" t="s">
        <v>17</v>
      </c>
      <c r="B371" s="48">
        <v>9.9</v>
      </c>
      <c r="C371" s="48">
        <v>9.9</v>
      </c>
      <c r="D371" s="48">
        <v>9.9</v>
      </c>
      <c r="E371" s="48">
        <v>10</v>
      </c>
      <c r="F371" s="48">
        <v>10</v>
      </c>
      <c r="G371" s="48">
        <v>10</v>
      </c>
      <c r="H371" s="47">
        <v>10</v>
      </c>
      <c r="I371" s="47">
        <v>10</v>
      </c>
      <c r="J371" s="47">
        <v>10</v>
      </c>
      <c r="K371" s="47">
        <v>10</v>
      </c>
      <c r="L371" s="47">
        <v>10</v>
      </c>
      <c r="M371" s="47">
        <v>10</v>
      </c>
      <c r="N371" s="47">
        <v>10</v>
      </c>
    </row>
    <row r="372" spans="1:14" x14ac:dyDescent="0.25">
      <c r="A372" s="73" t="s">
        <v>18</v>
      </c>
      <c r="B372" s="48">
        <v>9.9</v>
      </c>
      <c r="C372" s="48">
        <v>9.9</v>
      </c>
      <c r="D372" s="48">
        <v>9.9</v>
      </c>
      <c r="E372" s="48">
        <v>10</v>
      </c>
      <c r="F372" s="48">
        <v>10</v>
      </c>
      <c r="G372" s="48">
        <v>12</v>
      </c>
      <c r="H372" s="47">
        <v>12</v>
      </c>
      <c r="I372" s="47">
        <v>12</v>
      </c>
      <c r="J372" s="48">
        <v>12</v>
      </c>
      <c r="K372" s="47">
        <v>12</v>
      </c>
      <c r="L372" s="47">
        <f>L371*1.2</f>
        <v>12</v>
      </c>
      <c r="M372" s="47">
        <f>M371*1.2</f>
        <v>12</v>
      </c>
      <c r="N372" s="47"/>
    </row>
    <row r="373" spans="1:14" x14ac:dyDescent="0.25">
      <c r="A373" s="73" t="s">
        <v>19</v>
      </c>
      <c r="B373" s="73"/>
      <c r="C373" s="73"/>
      <c r="D373" s="73"/>
      <c r="E373" s="73"/>
      <c r="F373" s="73"/>
      <c r="G373" s="22"/>
      <c r="H373" s="22"/>
      <c r="I373" s="22"/>
      <c r="J373" s="22"/>
      <c r="K373" s="22"/>
      <c r="L373" s="22"/>
      <c r="M373" s="22"/>
      <c r="N373" s="22"/>
    </row>
    <row r="374" spans="1:14" x14ac:dyDescent="0.25">
      <c r="A374" s="73" t="s">
        <v>20</v>
      </c>
      <c r="B374" s="48">
        <v>8</v>
      </c>
      <c r="C374" s="48">
        <v>0.73</v>
      </c>
      <c r="D374" s="48">
        <v>0.21</v>
      </c>
      <c r="E374" s="48">
        <v>2.1179999999999999</v>
      </c>
      <c r="F374" s="48">
        <v>0</v>
      </c>
      <c r="G374" s="47">
        <v>0.34799999999999998</v>
      </c>
      <c r="H374" s="47">
        <v>0.26300000000000001</v>
      </c>
      <c r="I374" s="47">
        <v>2.5299999999999998</v>
      </c>
      <c r="J374" s="47">
        <v>3.23</v>
      </c>
      <c r="K374" s="47">
        <v>2.88</v>
      </c>
      <c r="L374" s="47">
        <v>1.81</v>
      </c>
      <c r="M374" s="47">
        <v>1.57</v>
      </c>
      <c r="N374" s="47">
        <v>2.13</v>
      </c>
    </row>
    <row r="375" spans="1:14" x14ac:dyDescent="0.25">
      <c r="A375" s="73" t="s">
        <v>21</v>
      </c>
      <c r="B375" s="48">
        <v>1.9</v>
      </c>
      <c r="C375" s="48">
        <v>9.17</v>
      </c>
      <c r="D375" s="48">
        <v>9.69</v>
      </c>
      <c r="E375" s="48">
        <v>7.8819999999999997</v>
      </c>
      <c r="F375" s="48">
        <v>10</v>
      </c>
      <c r="G375" s="47">
        <v>11.651999999999999</v>
      </c>
      <c r="H375" s="47">
        <v>11.737</v>
      </c>
      <c r="I375" s="47">
        <v>9.4700000000000006</v>
      </c>
      <c r="J375" s="47">
        <v>8.77</v>
      </c>
      <c r="K375" s="47">
        <f>K372-K374</f>
        <v>9.120000000000001</v>
      </c>
      <c r="L375" s="47">
        <f>L372-L374</f>
        <v>10.19</v>
      </c>
      <c r="M375" s="47">
        <f>M372-M374</f>
        <v>10.43</v>
      </c>
      <c r="N375" s="47">
        <f>N371-N374</f>
        <v>7.87</v>
      </c>
    </row>
    <row r="376" spans="1:14" x14ac:dyDescent="0.25">
      <c r="A376" s="119" t="s">
        <v>22</v>
      </c>
      <c r="B376" s="120" t="s">
        <v>161</v>
      </c>
      <c r="C376" s="120" t="s">
        <v>161</v>
      </c>
      <c r="D376" s="120" t="s">
        <v>161</v>
      </c>
      <c r="E376" s="120">
        <v>2015</v>
      </c>
      <c r="F376" s="120">
        <v>2016</v>
      </c>
      <c r="G376" s="57">
        <v>2017</v>
      </c>
      <c r="H376" s="57">
        <v>2018</v>
      </c>
      <c r="I376" s="57">
        <v>2019</v>
      </c>
      <c r="J376" s="57">
        <v>2020</v>
      </c>
      <c r="K376" s="57">
        <v>2021</v>
      </c>
      <c r="L376" s="120"/>
      <c r="M376" s="120"/>
      <c r="N376" s="120"/>
    </row>
    <row r="377" spans="1:14" x14ac:dyDescent="0.25">
      <c r="A377" s="46" t="s">
        <v>154</v>
      </c>
      <c r="B377" s="58"/>
      <c r="C377" s="58"/>
      <c r="D377" s="58"/>
      <c r="E377" s="58"/>
      <c r="F377" s="58"/>
      <c r="G377" s="58"/>
      <c r="H377" s="58"/>
      <c r="I377" s="58"/>
      <c r="J377" s="58"/>
      <c r="K377" s="58"/>
      <c r="L377" s="58"/>
      <c r="M377" s="58"/>
      <c r="N377" s="56"/>
    </row>
    <row r="378" spans="1:14" x14ac:dyDescent="0.25">
      <c r="A378" s="20" t="s">
        <v>627</v>
      </c>
      <c r="N378" s="21"/>
    </row>
    <row r="379" spans="1:14" x14ac:dyDescent="0.25">
      <c r="A379" s="20" t="s">
        <v>163</v>
      </c>
      <c r="N379" s="21"/>
    </row>
    <row r="380" spans="1:14" x14ac:dyDescent="0.25">
      <c r="A380" s="20" t="s">
        <v>344</v>
      </c>
      <c r="N380" s="21"/>
    </row>
    <row r="381" spans="1:14" x14ac:dyDescent="0.25">
      <c r="A381" s="20" t="s">
        <v>446</v>
      </c>
      <c r="N381" s="21"/>
    </row>
    <row r="382" spans="1:14" x14ac:dyDescent="0.25">
      <c r="A382" s="32" t="s">
        <v>825</v>
      </c>
      <c r="B382" s="33"/>
      <c r="C382" s="33"/>
      <c r="D382" s="33"/>
      <c r="E382" s="33"/>
      <c r="F382" s="33"/>
      <c r="G382" s="33"/>
      <c r="H382" s="33"/>
      <c r="I382" s="33"/>
      <c r="J382" s="33"/>
      <c r="K382" s="33"/>
      <c r="L382" s="33"/>
      <c r="M382" s="33"/>
      <c r="N382" s="34"/>
    </row>
    <row r="384" spans="1:14" x14ac:dyDescent="0.25">
      <c r="A384" s="115" t="s">
        <v>12</v>
      </c>
      <c r="B384" s="551" t="s">
        <v>85</v>
      </c>
    </row>
    <row r="385" spans="1:15" x14ac:dyDescent="0.25">
      <c r="A385" s="262" t="s">
        <v>14</v>
      </c>
      <c r="B385" s="276" t="s">
        <v>638</v>
      </c>
      <c r="C385" s="264" t="s">
        <v>15</v>
      </c>
      <c r="D385" s="222"/>
      <c r="E385" s="222"/>
      <c r="F385" s="222"/>
      <c r="G385" s="222"/>
      <c r="H385" s="222"/>
      <c r="I385" s="222"/>
      <c r="J385" s="222"/>
      <c r="K385" s="222"/>
      <c r="L385" s="222"/>
      <c r="M385" s="222"/>
      <c r="N385" s="222"/>
      <c r="O385" s="222"/>
    </row>
    <row r="386" spans="1:15" x14ac:dyDescent="0.25">
      <c r="A386" s="265" t="s">
        <v>16</v>
      </c>
      <c r="B386" s="213">
        <v>2015</v>
      </c>
      <c r="C386" s="277">
        <v>2016</v>
      </c>
      <c r="D386" s="213">
        <v>2017</v>
      </c>
      <c r="E386" s="278">
        <v>2018</v>
      </c>
      <c r="F386" s="278">
        <v>2019</v>
      </c>
      <c r="G386" s="213">
        <v>2020</v>
      </c>
      <c r="H386" s="213">
        <v>2021</v>
      </c>
      <c r="I386" s="213">
        <v>2022</v>
      </c>
      <c r="J386" s="213">
        <v>2023</v>
      </c>
      <c r="K386" s="222"/>
      <c r="L386" s="222"/>
      <c r="M386" s="222"/>
      <c r="N386" s="222"/>
      <c r="O386" s="222"/>
    </row>
    <row r="387" spans="1:15" x14ac:dyDescent="0.25">
      <c r="A387" s="265" t="s">
        <v>17</v>
      </c>
      <c r="B387" s="232">
        <v>3271.7</v>
      </c>
      <c r="C387" s="279">
        <v>3271.7</v>
      </c>
      <c r="D387" s="232">
        <v>3271.7</v>
      </c>
      <c r="E387" s="214">
        <v>3926</v>
      </c>
      <c r="F387" s="214">
        <v>3926</v>
      </c>
      <c r="G387" s="232">
        <v>3926</v>
      </c>
      <c r="H387" s="232">
        <v>4416.8999999999996</v>
      </c>
      <c r="I387" s="232">
        <v>4416.8999999999996</v>
      </c>
      <c r="J387" s="232">
        <v>4416.8999999999996</v>
      </c>
      <c r="K387" s="222"/>
      <c r="L387" s="222"/>
      <c r="M387" s="222"/>
      <c r="N387" s="222"/>
      <c r="O387" s="222"/>
    </row>
    <row r="388" spans="1:15" x14ac:dyDescent="0.25">
      <c r="A388" s="265" t="s">
        <v>18</v>
      </c>
      <c r="B388" s="232">
        <v>3789.62</v>
      </c>
      <c r="C388" s="279">
        <v>3789.62</v>
      </c>
      <c r="D388" s="232">
        <v>3789.62</v>
      </c>
      <c r="E388" s="214">
        <v>4281.62</v>
      </c>
      <c r="F388" s="214">
        <v>4543.9250000000002</v>
      </c>
      <c r="G388" s="214">
        <v>4707.5</v>
      </c>
      <c r="H388" s="214">
        <f>H387+0.25*F387-200</f>
        <v>5198.3999999999996</v>
      </c>
      <c r="I388" s="214">
        <f>I387+0.25*G387-200</f>
        <v>5198.3999999999996</v>
      </c>
      <c r="J388" s="214">
        <f>J387+0.25*H387-200</f>
        <v>5321.125</v>
      </c>
      <c r="K388" s="222"/>
      <c r="L388" s="222"/>
      <c r="M388" s="222"/>
      <c r="N388" s="222"/>
      <c r="O388" s="222"/>
    </row>
    <row r="389" spans="1:15" x14ac:dyDescent="0.25">
      <c r="A389" s="265" t="s">
        <v>19</v>
      </c>
      <c r="B389" s="280" t="s">
        <v>86</v>
      </c>
      <c r="C389" s="280" t="s">
        <v>86</v>
      </c>
      <c r="D389" s="280" t="s">
        <v>86</v>
      </c>
      <c r="E389" s="281" t="s">
        <v>87</v>
      </c>
      <c r="F389" s="281" t="s">
        <v>395</v>
      </c>
      <c r="G389" s="281" t="s">
        <v>396</v>
      </c>
      <c r="H389" s="281" t="s">
        <v>449</v>
      </c>
      <c r="I389" s="281" t="s">
        <v>449</v>
      </c>
      <c r="J389" s="281" t="s">
        <v>827</v>
      </c>
      <c r="K389" s="222"/>
      <c r="L389" s="222"/>
      <c r="M389" s="222"/>
      <c r="N389" s="222"/>
      <c r="O389" s="222"/>
    </row>
    <row r="390" spans="1:15" x14ac:dyDescent="0.25">
      <c r="A390" s="265" t="s">
        <v>20</v>
      </c>
      <c r="B390" s="232">
        <v>2857</v>
      </c>
      <c r="C390" s="279">
        <v>3134</v>
      </c>
      <c r="D390" s="232">
        <v>2385</v>
      </c>
      <c r="E390" s="232">
        <v>2926</v>
      </c>
      <c r="F390" s="214">
        <v>2770</v>
      </c>
      <c r="G390" s="232">
        <v>3549</v>
      </c>
      <c r="H390" s="232">
        <v>2896</v>
      </c>
      <c r="I390" s="232">
        <v>2806</v>
      </c>
      <c r="J390" s="232"/>
      <c r="K390" s="222"/>
      <c r="L390" s="222"/>
      <c r="M390" s="222"/>
      <c r="N390" s="222"/>
      <c r="O390" s="222"/>
    </row>
    <row r="391" spans="1:15" x14ac:dyDescent="0.25">
      <c r="A391" s="265" t="s">
        <v>21</v>
      </c>
      <c r="B391" s="232">
        <v>932.62</v>
      </c>
      <c r="C391" s="279">
        <v>655.62</v>
      </c>
      <c r="D391" s="232">
        <v>1404.62</v>
      </c>
      <c r="E391" s="232">
        <v>1355.62</v>
      </c>
      <c r="F391" s="214">
        <v>1773.9250000000002</v>
      </c>
      <c r="G391" s="214">
        <f>G388-G390</f>
        <v>1158.5</v>
      </c>
      <c r="H391" s="214">
        <f>H388-H390</f>
        <v>2302.3999999999996</v>
      </c>
      <c r="I391" s="214">
        <f>I388-I390</f>
        <v>2392.3999999999996</v>
      </c>
      <c r="J391" s="232"/>
      <c r="K391" s="222"/>
      <c r="L391" s="222"/>
      <c r="M391" s="222"/>
      <c r="N391" s="222"/>
      <c r="O391" s="222"/>
    </row>
    <row r="392" spans="1:15" x14ac:dyDescent="0.25">
      <c r="A392" s="219" t="s">
        <v>22</v>
      </c>
      <c r="B392" s="245">
        <v>2017</v>
      </c>
      <c r="C392" s="282">
        <v>2018</v>
      </c>
      <c r="D392" s="245">
        <v>2019</v>
      </c>
      <c r="E392" s="246">
        <v>2020</v>
      </c>
      <c r="F392" s="246">
        <v>2021</v>
      </c>
      <c r="G392" s="245">
        <v>2022</v>
      </c>
      <c r="H392" s="245">
        <v>2023</v>
      </c>
      <c r="I392" s="245">
        <v>2024</v>
      </c>
      <c r="J392" s="245">
        <v>2025</v>
      </c>
      <c r="K392" s="222"/>
      <c r="L392" s="222"/>
      <c r="M392" s="222"/>
      <c r="N392" s="222"/>
      <c r="O392" s="222"/>
    </row>
    <row r="393" spans="1:15" x14ac:dyDescent="0.25">
      <c r="A393" s="265" t="s">
        <v>23</v>
      </c>
      <c r="B393" s="510"/>
      <c r="C393" s="510"/>
      <c r="D393" s="510"/>
      <c r="E393" s="510"/>
      <c r="F393" s="510"/>
      <c r="G393" s="510"/>
      <c r="H393" s="510"/>
      <c r="I393" s="510"/>
      <c r="J393" s="233"/>
      <c r="K393" s="222"/>
      <c r="L393" s="222"/>
      <c r="M393" s="222"/>
      <c r="N393" s="222"/>
      <c r="O393" s="222"/>
    </row>
    <row r="394" spans="1:15" x14ac:dyDescent="0.25">
      <c r="A394" s="219" t="s">
        <v>88</v>
      </c>
      <c r="B394" s="220"/>
      <c r="C394" s="220"/>
      <c r="D394" s="220"/>
      <c r="E394" s="220"/>
      <c r="F394" s="220"/>
      <c r="G394" s="220"/>
      <c r="H394" s="220"/>
      <c r="I394" s="220"/>
      <c r="J394" s="218"/>
      <c r="K394" s="222"/>
      <c r="L394" s="222"/>
      <c r="M394" s="222"/>
      <c r="N394" s="222"/>
      <c r="O394" s="222"/>
    </row>
    <row r="395" spans="1:15" x14ac:dyDescent="0.25">
      <c r="A395" s="642" t="s">
        <v>397</v>
      </c>
      <c r="B395" s="643"/>
      <c r="C395" s="643"/>
      <c r="D395" s="643"/>
      <c r="E395" s="643"/>
      <c r="F395" s="643"/>
      <c r="G395" s="643"/>
      <c r="H395" s="222"/>
      <c r="I395" s="222"/>
      <c r="J395" s="223"/>
      <c r="K395" s="222"/>
      <c r="L395" s="222"/>
      <c r="M395" s="222"/>
      <c r="N395" s="222"/>
      <c r="O395" s="222"/>
    </row>
    <row r="396" spans="1:15" x14ac:dyDescent="0.25">
      <c r="A396" s="221" t="s">
        <v>345</v>
      </c>
      <c r="B396" s="222"/>
      <c r="C396" s="222"/>
      <c r="D396" s="222"/>
      <c r="E396" s="222"/>
      <c r="F396" s="222"/>
      <c r="G396" s="222"/>
      <c r="H396" s="222"/>
      <c r="I396" s="222"/>
      <c r="J396" s="223"/>
      <c r="K396" s="222"/>
      <c r="L396" s="222"/>
      <c r="M396" s="222"/>
      <c r="N396" s="222"/>
      <c r="O396" s="222"/>
    </row>
    <row r="397" spans="1:15" x14ac:dyDescent="0.25">
      <c r="A397" s="221" t="s">
        <v>398</v>
      </c>
      <c r="B397" s="222"/>
      <c r="C397" s="222"/>
      <c r="D397" s="222"/>
      <c r="E397" s="222"/>
      <c r="F397" s="222"/>
      <c r="G397" s="222"/>
      <c r="H397" s="222"/>
      <c r="I397" s="222"/>
      <c r="J397" s="223"/>
      <c r="K397" s="222"/>
      <c r="L397" s="222"/>
      <c r="M397" s="222"/>
      <c r="N397" s="222"/>
      <c r="O397" s="222"/>
    </row>
    <row r="398" spans="1:15" x14ac:dyDescent="0.25">
      <c r="A398" s="221" t="s">
        <v>447</v>
      </c>
      <c r="B398" s="222"/>
      <c r="C398" s="222"/>
      <c r="D398" s="222"/>
      <c r="E398" s="222"/>
      <c r="F398" s="222"/>
      <c r="G398" s="222"/>
      <c r="H398" s="222"/>
      <c r="I398" s="222"/>
      <c r="J398" s="223"/>
      <c r="K398" s="222"/>
      <c r="L398" s="222"/>
      <c r="M398" s="222"/>
      <c r="N398" s="222"/>
      <c r="O398" s="222"/>
    </row>
    <row r="399" spans="1:15" x14ac:dyDescent="0.25">
      <c r="A399" s="221" t="s">
        <v>448</v>
      </c>
      <c r="B399" s="222"/>
      <c r="C399" s="222"/>
      <c r="D399" s="222"/>
      <c r="E399" s="222"/>
      <c r="F399" s="222"/>
      <c r="G399" s="222"/>
      <c r="H399" s="222"/>
      <c r="I399" s="222"/>
      <c r="J399" s="223"/>
      <c r="K399" s="222"/>
      <c r="L399" s="222"/>
      <c r="M399" s="222"/>
      <c r="N399" s="222"/>
      <c r="O399" s="222"/>
    </row>
    <row r="400" spans="1:15" x14ac:dyDescent="0.25">
      <c r="A400" s="221" t="s">
        <v>595</v>
      </c>
      <c r="B400" s="222"/>
      <c r="C400" s="222"/>
      <c r="D400" s="222"/>
      <c r="E400" s="222"/>
      <c r="F400" s="222"/>
      <c r="G400" s="222"/>
      <c r="H400" s="222"/>
      <c r="I400" s="222"/>
      <c r="J400" s="223"/>
      <c r="K400" s="222"/>
      <c r="L400" s="222"/>
      <c r="M400" s="222"/>
      <c r="N400" s="222"/>
      <c r="O400" s="222"/>
    </row>
    <row r="401" spans="1:15" x14ac:dyDescent="0.25">
      <c r="A401" s="650" t="s">
        <v>826</v>
      </c>
      <c r="B401" s="651"/>
      <c r="C401" s="651"/>
      <c r="D401" s="651"/>
      <c r="E401" s="651"/>
      <c r="F401" s="651"/>
      <c r="G401" s="651"/>
      <c r="H401" s="224"/>
      <c r="I401" s="224"/>
      <c r="J401" s="225"/>
      <c r="K401" s="222"/>
      <c r="L401" s="222"/>
      <c r="M401" s="222"/>
      <c r="N401" s="222"/>
      <c r="O401" s="222"/>
    </row>
    <row r="402" spans="1:15" x14ac:dyDescent="0.25">
      <c r="A402" s="222"/>
      <c r="B402" s="222"/>
      <c r="C402" s="222"/>
      <c r="D402" s="222"/>
      <c r="E402" s="222"/>
      <c r="F402" s="222"/>
      <c r="G402" s="222"/>
      <c r="H402" s="222"/>
      <c r="I402" s="222"/>
      <c r="J402" s="222"/>
      <c r="K402" s="222"/>
      <c r="L402" s="222"/>
      <c r="M402" s="222"/>
      <c r="N402" s="222"/>
      <c r="O402" s="222"/>
    </row>
    <row r="403" spans="1:15" x14ac:dyDescent="0.25">
      <c r="A403" s="262" t="s">
        <v>14</v>
      </c>
      <c r="B403" s="276" t="s">
        <v>657</v>
      </c>
      <c r="C403" s="264" t="s">
        <v>15</v>
      </c>
      <c r="D403" s="222"/>
      <c r="E403" s="222"/>
      <c r="F403" s="222"/>
      <c r="G403" s="222"/>
      <c r="H403" s="222"/>
      <c r="I403" s="222"/>
      <c r="J403" s="222"/>
      <c r="K403" s="222"/>
      <c r="L403" s="222"/>
      <c r="M403" s="222"/>
      <c r="N403" s="222"/>
      <c r="O403" s="222"/>
    </row>
    <row r="404" spans="1:15" x14ac:dyDescent="0.25">
      <c r="A404" s="265" t="s">
        <v>16</v>
      </c>
      <c r="B404" s="213">
        <v>2015</v>
      </c>
      <c r="C404" s="277">
        <v>2016</v>
      </c>
      <c r="D404" s="213">
        <v>2017</v>
      </c>
      <c r="E404" s="278">
        <v>2018</v>
      </c>
      <c r="F404" s="278">
        <v>2019</v>
      </c>
      <c r="G404" s="213">
        <v>2020</v>
      </c>
      <c r="H404" s="213">
        <v>2021</v>
      </c>
      <c r="I404" s="213">
        <v>2022</v>
      </c>
      <c r="J404" s="213">
        <v>2023</v>
      </c>
      <c r="K404" s="222"/>
      <c r="L404" s="222"/>
      <c r="M404" s="222"/>
      <c r="N404" s="222"/>
      <c r="O404" s="222"/>
    </row>
    <row r="405" spans="1:15" x14ac:dyDescent="0.25">
      <c r="A405" s="265" t="s">
        <v>17</v>
      </c>
      <c r="B405" s="232">
        <v>9400</v>
      </c>
      <c r="C405" s="279">
        <v>9400</v>
      </c>
      <c r="D405" s="232">
        <v>9400</v>
      </c>
      <c r="E405" s="214">
        <v>9400</v>
      </c>
      <c r="F405" s="214">
        <v>9400</v>
      </c>
      <c r="G405" s="232">
        <v>9400</v>
      </c>
      <c r="H405" s="232">
        <v>9400</v>
      </c>
      <c r="I405" s="232">
        <v>9400</v>
      </c>
      <c r="J405" s="200">
        <v>10340</v>
      </c>
      <c r="K405" s="222"/>
      <c r="L405" s="222"/>
      <c r="M405" s="222"/>
      <c r="N405" s="222"/>
      <c r="O405" s="222"/>
    </row>
    <row r="406" spans="1:15" x14ac:dyDescent="0.25">
      <c r="A406" s="265" t="s">
        <v>18</v>
      </c>
      <c r="B406" s="232">
        <v>11506.75</v>
      </c>
      <c r="C406" s="279">
        <v>11750</v>
      </c>
      <c r="D406" s="232">
        <v>11750</v>
      </c>
      <c r="E406" s="214">
        <v>11750</v>
      </c>
      <c r="F406" s="214">
        <f>F405*1.25</f>
        <v>11750</v>
      </c>
      <c r="G406" s="232">
        <f>G405*1.25-200</f>
        <v>11550</v>
      </c>
      <c r="H406" s="232">
        <f>H405+F409</f>
        <v>11524</v>
      </c>
      <c r="I406" s="232">
        <f>I405+G409+85</f>
        <v>11184</v>
      </c>
      <c r="J406" s="200">
        <f>J405+H409</f>
        <v>11345</v>
      </c>
      <c r="K406" s="222"/>
      <c r="L406" s="222"/>
      <c r="M406" s="222"/>
      <c r="N406" s="222"/>
      <c r="O406" s="222"/>
    </row>
    <row r="407" spans="1:15" x14ac:dyDescent="0.25">
      <c r="A407" s="265" t="s">
        <v>19</v>
      </c>
      <c r="B407" s="280" t="s">
        <v>89</v>
      </c>
      <c r="C407" s="280" t="s">
        <v>90</v>
      </c>
      <c r="D407" s="280" t="s">
        <v>90</v>
      </c>
      <c r="E407" s="281" t="s">
        <v>90</v>
      </c>
      <c r="F407" s="281" t="s">
        <v>90</v>
      </c>
      <c r="G407" s="284" t="s">
        <v>347</v>
      </c>
      <c r="H407" s="284" t="s">
        <v>451</v>
      </c>
      <c r="I407" s="284" t="s">
        <v>739</v>
      </c>
      <c r="J407" s="247" t="s">
        <v>943</v>
      </c>
      <c r="K407" s="222"/>
      <c r="L407" s="222"/>
      <c r="M407" s="222"/>
      <c r="N407" s="222"/>
      <c r="O407" s="222"/>
    </row>
    <row r="408" spans="1:15" x14ac:dyDescent="0.25">
      <c r="A408" s="265" t="s">
        <v>20</v>
      </c>
      <c r="B408" s="232">
        <v>7157</v>
      </c>
      <c r="C408" s="279">
        <v>8907</v>
      </c>
      <c r="D408" s="232">
        <v>9090</v>
      </c>
      <c r="E408" s="232">
        <v>9227</v>
      </c>
      <c r="F408" s="214">
        <v>9626</v>
      </c>
      <c r="G408" s="232">
        <v>9851</v>
      </c>
      <c r="H408" s="232">
        <v>10519</v>
      </c>
      <c r="I408" s="232">
        <v>8894</v>
      </c>
      <c r="J408" s="232"/>
      <c r="K408" s="222"/>
      <c r="L408" s="222"/>
      <c r="M408" s="222"/>
      <c r="N408" s="222"/>
      <c r="O408" s="222"/>
    </row>
    <row r="409" spans="1:15" x14ac:dyDescent="0.25">
      <c r="A409" s="265" t="s">
        <v>21</v>
      </c>
      <c r="B409" s="232">
        <v>4349.75</v>
      </c>
      <c r="C409" s="279">
        <v>2843</v>
      </c>
      <c r="D409" s="232">
        <v>2660</v>
      </c>
      <c r="E409" s="232">
        <v>2523</v>
      </c>
      <c r="F409" s="214">
        <f>F406-F408</f>
        <v>2124</v>
      </c>
      <c r="G409" s="232">
        <f>G406-G408</f>
        <v>1699</v>
      </c>
      <c r="H409" s="232">
        <v>1005</v>
      </c>
      <c r="I409" s="232">
        <f>I406-I408</f>
        <v>2290</v>
      </c>
      <c r="J409" s="232"/>
      <c r="K409" s="222"/>
      <c r="L409" s="222"/>
      <c r="M409" s="222"/>
      <c r="N409" s="222"/>
      <c r="O409" s="222"/>
    </row>
    <row r="410" spans="1:15" x14ac:dyDescent="0.25">
      <c r="A410" s="219" t="s">
        <v>22</v>
      </c>
      <c r="B410" s="245">
        <v>2017</v>
      </c>
      <c r="C410" s="282">
        <v>2018</v>
      </c>
      <c r="D410" s="245">
        <v>2019</v>
      </c>
      <c r="E410" s="246">
        <v>2020</v>
      </c>
      <c r="F410" s="246">
        <v>2021</v>
      </c>
      <c r="G410" s="246">
        <v>2022</v>
      </c>
      <c r="H410" s="246">
        <v>2023</v>
      </c>
      <c r="I410" s="246">
        <v>2024</v>
      </c>
      <c r="J410" s="246">
        <v>2025</v>
      </c>
      <c r="K410" s="222"/>
      <c r="L410" s="222"/>
      <c r="M410" s="222"/>
      <c r="N410" s="222"/>
      <c r="O410" s="222"/>
    </row>
    <row r="411" spans="1:15" x14ac:dyDescent="0.25">
      <c r="A411" s="219" t="s">
        <v>23</v>
      </c>
      <c r="B411" s="220"/>
      <c r="C411" s="220"/>
      <c r="D411" s="220"/>
      <c r="E411" s="220"/>
      <c r="F411" s="220"/>
      <c r="G411" s="220"/>
      <c r="H411" s="218"/>
      <c r="I411" s="218"/>
      <c r="J411" s="218"/>
      <c r="K411" s="222"/>
      <c r="L411" s="222"/>
      <c r="M411" s="222"/>
      <c r="N411" s="222"/>
      <c r="O411" s="222"/>
    </row>
    <row r="412" spans="1:15" x14ac:dyDescent="0.25">
      <c r="A412" s="644" t="s">
        <v>91</v>
      </c>
      <c r="B412" s="645"/>
      <c r="C412" s="645"/>
      <c r="D412" s="645"/>
      <c r="E412" s="645"/>
      <c r="F412" s="645"/>
      <c r="G412" s="220"/>
      <c r="H412" s="220"/>
      <c r="I412" s="220"/>
      <c r="J412" s="218"/>
      <c r="K412" s="222"/>
      <c r="L412" s="222"/>
      <c r="M412" s="222"/>
      <c r="N412" s="222"/>
      <c r="O412" s="222"/>
    </row>
    <row r="413" spans="1:15" x14ac:dyDescent="0.25">
      <c r="A413" s="275" t="s">
        <v>346</v>
      </c>
      <c r="B413" s="512"/>
      <c r="C413" s="512"/>
      <c r="D413" s="512"/>
      <c r="E413" s="512"/>
      <c r="F413" s="512"/>
      <c r="G413" s="222"/>
      <c r="H413" s="222"/>
      <c r="I413" s="222"/>
      <c r="J413" s="223"/>
      <c r="K413" s="222"/>
      <c r="L413" s="222"/>
      <c r="M413" s="222"/>
      <c r="N413" s="222"/>
      <c r="O413" s="222"/>
    </row>
    <row r="414" spans="1:15" x14ac:dyDescent="0.25">
      <c r="A414" s="275" t="s">
        <v>450</v>
      </c>
      <c r="B414" s="512"/>
      <c r="C414" s="512"/>
      <c r="D414" s="512"/>
      <c r="E414" s="512"/>
      <c r="F414" s="512"/>
      <c r="G414" s="222"/>
      <c r="H414" s="222"/>
      <c r="I414" s="222"/>
      <c r="J414" s="223"/>
      <c r="K414" s="222"/>
      <c r="L414" s="222"/>
      <c r="M414" s="222"/>
      <c r="N414" s="222"/>
      <c r="O414" s="222"/>
    </row>
    <row r="415" spans="1:15" x14ac:dyDescent="0.25">
      <c r="A415" s="275" t="s">
        <v>740</v>
      </c>
      <c r="B415" s="512"/>
      <c r="C415" s="512"/>
      <c r="D415" s="512"/>
      <c r="E415" s="512"/>
      <c r="F415" s="512"/>
      <c r="G415" s="222"/>
      <c r="H415" s="222"/>
      <c r="I415" s="222"/>
      <c r="J415" s="223"/>
      <c r="K415" s="222"/>
      <c r="L415" s="222"/>
      <c r="M415" s="222"/>
      <c r="N415" s="222"/>
      <c r="O415" s="222"/>
    </row>
    <row r="416" spans="1:15" x14ac:dyDescent="0.25">
      <c r="A416" s="234" t="s">
        <v>944</v>
      </c>
      <c r="B416" s="283"/>
      <c r="C416" s="283"/>
      <c r="D416" s="283"/>
      <c r="E416" s="283"/>
      <c r="F416" s="283"/>
      <c r="G416" s="224"/>
      <c r="H416" s="224"/>
      <c r="I416" s="224"/>
      <c r="J416" s="225"/>
      <c r="K416" s="222"/>
      <c r="L416" s="222"/>
      <c r="M416" s="222"/>
      <c r="N416" s="222"/>
      <c r="O416" s="222"/>
    </row>
    <row r="418" spans="1:10" x14ac:dyDescent="0.25">
      <c r="A418" s="91" t="s">
        <v>14</v>
      </c>
      <c r="B418" s="55" t="s">
        <v>637</v>
      </c>
      <c r="C418" s="40" t="s">
        <v>15</v>
      </c>
    </row>
    <row r="419" spans="1:10" x14ac:dyDescent="0.25">
      <c r="A419" s="46" t="s">
        <v>16</v>
      </c>
      <c r="B419" s="51">
        <v>2015</v>
      </c>
      <c r="C419" s="88">
        <v>2016</v>
      </c>
      <c r="D419" s="51">
        <v>2017</v>
      </c>
      <c r="E419" s="103">
        <v>2018</v>
      </c>
      <c r="F419" s="103">
        <v>2019</v>
      </c>
      <c r="G419" s="51">
        <v>2020</v>
      </c>
      <c r="H419" s="51">
        <v>2021</v>
      </c>
      <c r="I419" s="51">
        <v>2022</v>
      </c>
      <c r="J419" s="51">
        <v>2023</v>
      </c>
    </row>
    <row r="420" spans="1:10" x14ac:dyDescent="0.25">
      <c r="A420" s="46" t="s">
        <v>17</v>
      </c>
      <c r="B420" s="47">
        <v>270</v>
      </c>
      <c r="C420" s="89">
        <v>270</v>
      </c>
      <c r="D420" s="47">
        <v>270</v>
      </c>
      <c r="E420" s="90">
        <v>270</v>
      </c>
      <c r="F420" s="90">
        <v>270</v>
      </c>
      <c r="G420" s="47">
        <v>270</v>
      </c>
      <c r="H420" s="47">
        <v>270</v>
      </c>
      <c r="I420" s="47">
        <v>270</v>
      </c>
      <c r="J420" s="47">
        <v>270</v>
      </c>
    </row>
    <row r="421" spans="1:10" x14ac:dyDescent="0.25">
      <c r="A421" s="46" t="s">
        <v>18</v>
      </c>
      <c r="B421" s="47">
        <v>370</v>
      </c>
      <c r="C421" s="89">
        <v>370</v>
      </c>
      <c r="D421" s="47">
        <v>370</v>
      </c>
      <c r="E421" s="90">
        <v>343</v>
      </c>
      <c r="F421" s="90">
        <v>343</v>
      </c>
      <c r="G421" s="47">
        <f>G420*1.4-35-20</f>
        <v>323</v>
      </c>
      <c r="H421" s="47">
        <f>H420*1.4-35-20</f>
        <v>323</v>
      </c>
      <c r="I421" s="47">
        <f>I420*1.4-35-20</f>
        <v>323</v>
      </c>
      <c r="J421" s="47">
        <v>323</v>
      </c>
    </row>
    <row r="422" spans="1:10" x14ac:dyDescent="0.25">
      <c r="A422" s="46" t="s">
        <v>19</v>
      </c>
      <c r="B422" s="123" t="s">
        <v>92</v>
      </c>
      <c r="C422" s="123" t="s">
        <v>92</v>
      </c>
      <c r="D422" s="123" t="s">
        <v>92</v>
      </c>
      <c r="E422" s="124" t="s">
        <v>93</v>
      </c>
      <c r="F422" s="124" t="s">
        <v>93</v>
      </c>
      <c r="G422" s="125" t="s">
        <v>352</v>
      </c>
      <c r="H422" s="125" t="s">
        <v>352</v>
      </c>
      <c r="I422" s="125" t="s">
        <v>352</v>
      </c>
      <c r="J422" s="125" t="s">
        <v>352</v>
      </c>
    </row>
    <row r="423" spans="1:10" x14ac:dyDescent="0.25">
      <c r="A423" s="46" t="s">
        <v>20</v>
      </c>
      <c r="B423" s="47">
        <v>115</v>
      </c>
      <c r="C423" s="47">
        <v>151.72</v>
      </c>
      <c r="D423" s="47">
        <v>95.51</v>
      </c>
      <c r="E423" s="47">
        <v>169.22</v>
      </c>
      <c r="F423" s="90">
        <v>122.25</v>
      </c>
      <c r="G423" s="200">
        <v>157.75</v>
      </c>
      <c r="H423" s="47">
        <v>68</v>
      </c>
      <c r="I423" s="47">
        <v>150</v>
      </c>
      <c r="J423" s="47"/>
    </row>
    <row r="424" spans="1:10" x14ac:dyDescent="0.25">
      <c r="A424" s="46" t="s">
        <v>21</v>
      </c>
      <c r="B424" s="47">
        <v>255</v>
      </c>
      <c r="C424" s="47">
        <f>C421-C423</f>
        <v>218.28</v>
      </c>
      <c r="D424" s="47">
        <f>D421-D423</f>
        <v>274.49</v>
      </c>
      <c r="E424" s="47">
        <v>173.78</v>
      </c>
      <c r="F424" s="90">
        <f>F421-F423</f>
        <v>220.75</v>
      </c>
      <c r="G424" s="200">
        <f>G421-G423</f>
        <v>165.25</v>
      </c>
      <c r="H424" s="47">
        <f>H421-H423</f>
        <v>255</v>
      </c>
      <c r="I424" s="47">
        <f>I421-I423</f>
        <v>173</v>
      </c>
      <c r="J424" s="47"/>
    </row>
    <row r="425" spans="1:10" x14ac:dyDescent="0.25">
      <c r="A425" s="49" t="s">
        <v>22</v>
      </c>
      <c r="B425" s="57">
        <v>2017</v>
      </c>
      <c r="C425" s="79">
        <v>2018</v>
      </c>
      <c r="D425" s="57">
        <v>2019</v>
      </c>
      <c r="E425" s="80">
        <v>2020</v>
      </c>
      <c r="F425" s="80">
        <v>2021</v>
      </c>
      <c r="G425" s="80">
        <v>2022</v>
      </c>
      <c r="H425" s="80">
        <v>2023</v>
      </c>
      <c r="I425" s="80">
        <v>2024</v>
      </c>
      <c r="J425" s="80">
        <v>2025</v>
      </c>
    </row>
    <row r="426" spans="1:10" x14ac:dyDescent="0.25">
      <c r="A426" s="49" t="s">
        <v>23</v>
      </c>
      <c r="B426" s="46"/>
      <c r="C426" s="58"/>
      <c r="D426" s="58"/>
      <c r="E426" s="58"/>
      <c r="F426" s="58"/>
      <c r="G426" s="58"/>
      <c r="H426" s="58"/>
      <c r="I426" s="58"/>
      <c r="J426" s="56"/>
    </row>
    <row r="427" spans="1:10" x14ac:dyDescent="0.25">
      <c r="A427" s="648" t="s">
        <v>94</v>
      </c>
      <c r="B427" s="647"/>
      <c r="C427" s="647"/>
      <c r="D427" s="647"/>
      <c r="E427" s="647"/>
      <c r="F427" s="647"/>
      <c r="J427" s="21"/>
    </row>
    <row r="428" spans="1:10" x14ac:dyDescent="0.25">
      <c r="A428" s="76" t="s">
        <v>349</v>
      </c>
      <c r="B428" s="108"/>
      <c r="C428" s="108"/>
      <c r="D428" s="108"/>
      <c r="E428" s="108"/>
      <c r="F428" s="108"/>
      <c r="J428" s="21"/>
    </row>
    <row r="429" spans="1:10" x14ac:dyDescent="0.25">
      <c r="A429" s="76" t="s">
        <v>350</v>
      </c>
      <c r="B429" s="108"/>
      <c r="C429" s="108"/>
      <c r="D429" s="108"/>
      <c r="E429" s="108"/>
      <c r="F429" s="108"/>
      <c r="J429" s="21"/>
    </row>
    <row r="430" spans="1:10" ht="13.2" customHeight="1" x14ac:dyDescent="0.25">
      <c r="A430" s="20" t="s">
        <v>351</v>
      </c>
      <c r="J430" s="21"/>
    </row>
    <row r="431" spans="1:10" x14ac:dyDescent="0.25">
      <c r="A431" s="76" t="s">
        <v>452</v>
      </c>
      <c r="B431" s="108"/>
      <c r="C431" s="108"/>
      <c r="D431" s="108"/>
      <c r="E431" s="108"/>
      <c r="F431" s="108"/>
      <c r="J431" s="21"/>
    </row>
    <row r="432" spans="1:10" x14ac:dyDescent="0.25">
      <c r="A432" s="76" t="s">
        <v>453</v>
      </c>
      <c r="B432" s="108"/>
      <c r="C432" s="108"/>
      <c r="D432" s="108"/>
      <c r="E432" s="108"/>
      <c r="F432" s="108"/>
      <c r="J432" s="21"/>
    </row>
    <row r="433" spans="1:10" x14ac:dyDescent="0.25">
      <c r="A433" s="20" t="s">
        <v>675</v>
      </c>
      <c r="B433" s="108"/>
      <c r="C433" s="108"/>
      <c r="D433" s="108"/>
      <c r="E433" s="108"/>
      <c r="F433" s="108"/>
      <c r="J433" s="21"/>
    </row>
    <row r="434" spans="1:10" x14ac:dyDescent="0.25">
      <c r="A434" s="32" t="s">
        <v>828</v>
      </c>
      <c r="B434" s="33"/>
      <c r="C434" s="33"/>
      <c r="D434" s="33"/>
      <c r="E434" s="33"/>
      <c r="F434" s="33"/>
      <c r="G434" s="33"/>
      <c r="H434" s="33"/>
      <c r="I434" s="33"/>
      <c r="J434" s="34"/>
    </row>
    <row r="436" spans="1:10" x14ac:dyDescent="0.25">
      <c r="A436" s="91" t="s">
        <v>14</v>
      </c>
      <c r="B436" s="55" t="s">
        <v>660</v>
      </c>
      <c r="C436" s="40" t="s">
        <v>15</v>
      </c>
    </row>
    <row r="437" spans="1:10" x14ac:dyDescent="0.25">
      <c r="A437" s="46" t="s">
        <v>16</v>
      </c>
      <c r="B437" s="51">
        <v>2015</v>
      </c>
      <c r="C437" s="88">
        <v>2016</v>
      </c>
      <c r="D437" s="51">
        <v>2017</v>
      </c>
      <c r="E437" s="103">
        <v>2018</v>
      </c>
      <c r="F437" s="103">
        <v>2019</v>
      </c>
      <c r="G437" s="51">
        <v>2020</v>
      </c>
      <c r="H437" s="51">
        <v>2021</v>
      </c>
      <c r="I437" s="51">
        <v>2022</v>
      </c>
      <c r="J437" s="51">
        <v>2023</v>
      </c>
    </row>
    <row r="438" spans="1:10" x14ac:dyDescent="0.25">
      <c r="A438" s="46" t="s">
        <v>17</v>
      </c>
      <c r="B438" s="47">
        <v>459</v>
      </c>
      <c r="C438" s="89">
        <v>459</v>
      </c>
      <c r="D438" s="47">
        <v>459</v>
      </c>
      <c r="E438" s="90">
        <v>459</v>
      </c>
      <c r="F438" s="90">
        <v>459</v>
      </c>
      <c r="G438" s="47">
        <v>459</v>
      </c>
      <c r="H438" s="47">
        <v>459</v>
      </c>
      <c r="I438" s="47">
        <v>459</v>
      </c>
      <c r="J438" s="47">
        <v>459</v>
      </c>
    </row>
    <row r="439" spans="1:10" x14ac:dyDescent="0.25">
      <c r="A439" s="46" t="s">
        <v>18</v>
      </c>
      <c r="B439" s="47">
        <v>587.9</v>
      </c>
      <c r="C439" s="89">
        <v>535.9</v>
      </c>
      <c r="D439" s="47">
        <v>516.9</v>
      </c>
      <c r="E439" s="90">
        <v>559.9</v>
      </c>
      <c r="F439" s="90">
        <v>546.79999999999995</v>
      </c>
      <c r="G439" s="47">
        <v>550.79999999999995</v>
      </c>
      <c r="H439" s="47">
        <v>550.79999999999995</v>
      </c>
      <c r="I439" s="47">
        <f>I438+H442</f>
        <v>477.79999999999995</v>
      </c>
      <c r="J439" s="47">
        <f>J438+0.1*I438</f>
        <v>504.9</v>
      </c>
    </row>
    <row r="440" spans="1:10" x14ac:dyDescent="0.25">
      <c r="A440" s="46" t="s">
        <v>19</v>
      </c>
      <c r="B440" s="123" t="s">
        <v>95</v>
      </c>
      <c r="C440" s="123" t="s">
        <v>96</v>
      </c>
      <c r="D440" s="123" t="s">
        <v>97</v>
      </c>
      <c r="E440" s="124" t="s">
        <v>380</v>
      </c>
      <c r="F440" s="124" t="s">
        <v>381</v>
      </c>
      <c r="G440" s="22" t="s">
        <v>353</v>
      </c>
      <c r="H440" s="22" t="s">
        <v>353</v>
      </c>
      <c r="I440" s="22" t="str">
        <f>"=459+18.8"</f>
        <v>=459+18.8</v>
      </c>
      <c r="J440" s="22" t="s">
        <v>829</v>
      </c>
    </row>
    <row r="441" spans="1:10" x14ac:dyDescent="0.25">
      <c r="A441" s="46" t="s">
        <v>20</v>
      </c>
      <c r="B441" s="47">
        <v>511</v>
      </c>
      <c r="C441" s="89">
        <v>478</v>
      </c>
      <c r="D441" s="47">
        <v>416</v>
      </c>
      <c r="E441" s="47">
        <v>472.1</v>
      </c>
      <c r="F441" s="90">
        <v>395.31</v>
      </c>
      <c r="G441" s="200">
        <v>353.05</v>
      </c>
      <c r="H441" s="47">
        <v>532</v>
      </c>
      <c r="I441" s="47">
        <v>420</v>
      </c>
      <c r="J441" s="47"/>
    </row>
    <row r="442" spans="1:10" x14ac:dyDescent="0.25">
      <c r="A442" s="46" t="s">
        <v>21</v>
      </c>
      <c r="B442" s="47">
        <v>76.900000000000006</v>
      </c>
      <c r="C442" s="89">
        <v>57.9</v>
      </c>
      <c r="D442" s="47">
        <v>100.9</v>
      </c>
      <c r="E442" s="47">
        <v>87.799999999999955</v>
      </c>
      <c r="F442" s="90">
        <v>151.48999999999995</v>
      </c>
      <c r="G442" s="200">
        <f>G439-G441</f>
        <v>197.74999999999994</v>
      </c>
      <c r="H442" s="232">
        <f>H439-H441</f>
        <v>18.799999999999955</v>
      </c>
      <c r="I442" s="232">
        <f>I439-I441</f>
        <v>57.799999999999955</v>
      </c>
      <c r="J442" s="47"/>
    </row>
    <row r="443" spans="1:10" x14ac:dyDescent="0.25">
      <c r="A443" s="49" t="s">
        <v>22</v>
      </c>
      <c r="B443" s="57">
        <v>2016</v>
      </c>
      <c r="C443" s="79">
        <v>2017</v>
      </c>
      <c r="D443" s="57">
        <v>2018</v>
      </c>
      <c r="E443" s="80">
        <v>2019</v>
      </c>
      <c r="F443" s="80">
        <v>2020</v>
      </c>
      <c r="G443" s="80">
        <v>2021</v>
      </c>
      <c r="H443" s="80">
        <v>2022</v>
      </c>
      <c r="I443" s="80">
        <v>2023</v>
      </c>
      <c r="J443" s="80">
        <v>2024</v>
      </c>
    </row>
    <row r="444" spans="1:10" x14ac:dyDescent="0.25">
      <c r="A444" s="46" t="s">
        <v>23</v>
      </c>
      <c r="B444" s="58"/>
      <c r="C444" s="58"/>
      <c r="D444" s="58"/>
      <c r="E444" s="58"/>
      <c r="F444" s="58"/>
      <c r="G444" s="58"/>
      <c r="H444" s="58"/>
      <c r="I444" s="58"/>
      <c r="J444" s="56"/>
    </row>
    <row r="445" spans="1:10" ht="13.2" customHeight="1" x14ac:dyDescent="0.25">
      <c r="A445" s="20" t="s">
        <v>98</v>
      </c>
      <c r="J445" s="21"/>
    </row>
    <row r="446" spans="1:10" ht="13.2" customHeight="1" x14ac:dyDescent="0.25">
      <c r="A446" s="646" t="s">
        <v>382</v>
      </c>
      <c r="B446" s="647"/>
      <c r="C446" s="647"/>
      <c r="D446" s="647"/>
      <c r="E446" s="647"/>
      <c r="F446" s="647"/>
      <c r="J446" s="21"/>
    </row>
    <row r="447" spans="1:10" x14ac:dyDescent="0.25">
      <c r="A447" s="76" t="s">
        <v>354</v>
      </c>
      <c r="B447" s="108"/>
      <c r="C447" s="108"/>
      <c r="D447" s="108"/>
      <c r="E447" s="108"/>
      <c r="F447" s="108"/>
      <c r="J447" s="21"/>
    </row>
    <row r="448" spans="1:10" x14ac:dyDescent="0.25">
      <c r="A448" s="76" t="s">
        <v>355</v>
      </c>
      <c r="B448" s="108"/>
      <c r="C448" s="108"/>
      <c r="D448" s="108"/>
      <c r="E448" s="108"/>
      <c r="F448" s="108"/>
      <c r="J448" s="21"/>
    </row>
    <row r="449" spans="1:10" ht="13.2" customHeight="1" x14ac:dyDescent="0.25">
      <c r="A449" s="76" t="s">
        <v>454</v>
      </c>
      <c r="B449" s="108"/>
      <c r="C449" s="108"/>
      <c r="D449" s="108"/>
      <c r="E449" s="108"/>
      <c r="F449" s="108"/>
      <c r="J449" s="21"/>
    </row>
    <row r="450" spans="1:10" ht="13.2" customHeight="1" x14ac:dyDescent="0.25">
      <c r="A450" s="76" t="s">
        <v>455</v>
      </c>
      <c r="B450" s="108"/>
      <c r="C450" s="108"/>
      <c r="D450" s="108"/>
      <c r="E450" s="108"/>
      <c r="F450" s="108"/>
      <c r="J450" s="21"/>
    </row>
    <row r="451" spans="1:10" ht="13.2" customHeight="1" x14ac:dyDescent="0.25">
      <c r="A451" s="76" t="s">
        <v>676</v>
      </c>
      <c r="B451" s="108"/>
      <c r="C451" s="108"/>
      <c r="D451" s="108"/>
      <c r="E451" s="108"/>
      <c r="F451" s="108"/>
      <c r="J451" s="21"/>
    </row>
    <row r="452" spans="1:10" ht="12.75" customHeight="1" x14ac:dyDescent="0.25">
      <c r="A452" s="59" t="s">
        <v>830</v>
      </c>
      <c r="B452" s="114"/>
      <c r="C452" s="114"/>
      <c r="D452" s="114"/>
      <c r="E452" s="114"/>
      <c r="F452" s="114"/>
      <c r="G452" s="33"/>
      <c r="H452" s="33"/>
      <c r="I452" s="33"/>
      <c r="J452" s="34"/>
    </row>
    <row r="454" spans="1:10" x14ac:dyDescent="0.25">
      <c r="A454" s="91" t="s">
        <v>14</v>
      </c>
      <c r="B454" s="55" t="s">
        <v>661</v>
      </c>
      <c r="C454" s="40" t="s">
        <v>15</v>
      </c>
    </row>
    <row r="455" spans="1:10" x14ac:dyDescent="0.25">
      <c r="A455" s="46" t="s">
        <v>16</v>
      </c>
      <c r="B455" s="51">
        <v>2015</v>
      </c>
      <c r="C455" s="88">
        <v>2016</v>
      </c>
      <c r="D455" s="51">
        <v>2017</v>
      </c>
      <c r="E455" s="103">
        <v>2018</v>
      </c>
      <c r="F455" s="103">
        <v>2019</v>
      </c>
      <c r="G455" s="51">
        <v>2020</v>
      </c>
      <c r="H455" s="51">
        <v>2021</v>
      </c>
      <c r="I455" s="51">
        <v>2022</v>
      </c>
      <c r="J455" s="51">
        <v>2023</v>
      </c>
    </row>
    <row r="456" spans="1:10" x14ac:dyDescent="0.25">
      <c r="A456" s="46" t="s">
        <v>17</v>
      </c>
      <c r="B456" s="23">
        <v>48.76</v>
      </c>
      <c r="C456" s="92">
        <v>58.28</v>
      </c>
      <c r="D456" s="23">
        <v>69.97</v>
      </c>
      <c r="E456" s="93">
        <v>79</v>
      </c>
      <c r="F456" s="93">
        <v>84</v>
      </c>
      <c r="G456" s="23">
        <v>90</v>
      </c>
      <c r="H456" s="23">
        <v>90</v>
      </c>
      <c r="I456" s="23">
        <v>90</v>
      </c>
      <c r="J456" s="23">
        <v>101</v>
      </c>
    </row>
    <row r="457" spans="1:10" x14ac:dyDescent="0.25">
      <c r="A457" s="46" t="s">
        <v>18</v>
      </c>
      <c r="B457" s="23">
        <v>38.76</v>
      </c>
      <c r="C457" s="92">
        <v>48.28</v>
      </c>
      <c r="D457" s="23">
        <v>59.97</v>
      </c>
      <c r="E457" s="93">
        <v>29</v>
      </c>
      <c r="F457" s="93">
        <v>34</v>
      </c>
      <c r="G457" s="23">
        <f>G456-50</f>
        <v>40</v>
      </c>
      <c r="H457" s="23">
        <f>H456-50</f>
        <v>40</v>
      </c>
      <c r="I457" s="23">
        <f>I456-50</f>
        <v>40</v>
      </c>
      <c r="J457" s="23">
        <v>51</v>
      </c>
    </row>
    <row r="458" spans="1:10" x14ac:dyDescent="0.25">
      <c r="A458" s="46" t="s">
        <v>19</v>
      </c>
      <c r="B458" s="126" t="s">
        <v>99</v>
      </c>
      <c r="C458" s="126" t="s">
        <v>100</v>
      </c>
      <c r="D458" s="126" t="s">
        <v>101</v>
      </c>
      <c r="E458" s="127" t="s">
        <v>102</v>
      </c>
      <c r="F458" s="127" t="s">
        <v>103</v>
      </c>
      <c r="G458" s="125" t="s">
        <v>356</v>
      </c>
      <c r="H458" s="125" t="s">
        <v>356</v>
      </c>
      <c r="I458" s="125" t="s">
        <v>356</v>
      </c>
      <c r="J458" s="125" t="s">
        <v>831</v>
      </c>
    </row>
    <row r="459" spans="1:10" x14ac:dyDescent="0.25">
      <c r="A459" s="46" t="s">
        <v>20</v>
      </c>
      <c r="B459" s="23">
        <v>0</v>
      </c>
      <c r="C459" s="92">
        <v>0</v>
      </c>
      <c r="D459" s="23">
        <v>0</v>
      </c>
      <c r="E459" s="23">
        <v>0</v>
      </c>
      <c r="F459" s="93">
        <v>0</v>
      </c>
      <c r="G459" s="23">
        <v>0</v>
      </c>
      <c r="H459" s="23">
        <v>0</v>
      </c>
      <c r="I459" s="23"/>
      <c r="J459" s="23"/>
    </row>
    <row r="460" spans="1:10" x14ac:dyDescent="0.25">
      <c r="A460" s="46" t="s">
        <v>21</v>
      </c>
      <c r="B460" s="23">
        <v>38.76</v>
      </c>
      <c r="C460" s="92">
        <v>48.28</v>
      </c>
      <c r="D460" s="23">
        <v>59.97</v>
      </c>
      <c r="E460" s="23">
        <v>29</v>
      </c>
      <c r="F460" s="93">
        <f>F457-F459</f>
        <v>34</v>
      </c>
      <c r="G460" s="23">
        <f>G457-G459</f>
        <v>40</v>
      </c>
      <c r="H460" s="23">
        <f>H457-H459</f>
        <v>40</v>
      </c>
      <c r="I460" s="23"/>
      <c r="J460" s="23"/>
    </row>
    <row r="461" spans="1:10" x14ac:dyDescent="0.25">
      <c r="A461" s="49" t="s">
        <v>22</v>
      </c>
      <c r="B461" s="57">
        <v>2017</v>
      </c>
      <c r="C461" s="79">
        <v>2018</v>
      </c>
      <c r="D461" s="57">
        <v>2019</v>
      </c>
      <c r="E461" s="57">
        <v>2020</v>
      </c>
      <c r="F461" s="57">
        <v>2021</v>
      </c>
      <c r="G461" s="57">
        <v>2022</v>
      </c>
      <c r="H461" s="57">
        <v>2023</v>
      </c>
      <c r="I461" s="57">
        <v>2024</v>
      </c>
      <c r="J461" s="57">
        <v>2025</v>
      </c>
    </row>
    <row r="462" spans="1:10" x14ac:dyDescent="0.25">
      <c r="A462" s="46" t="s">
        <v>23</v>
      </c>
      <c r="B462" s="58"/>
      <c r="C462" s="58"/>
      <c r="D462" s="58"/>
      <c r="E462" s="58"/>
      <c r="F462" s="58"/>
      <c r="G462" s="58"/>
      <c r="H462" s="58"/>
      <c r="I462" s="58"/>
      <c r="J462" s="56"/>
    </row>
    <row r="463" spans="1:10" x14ac:dyDescent="0.25">
      <c r="A463" s="219" t="s">
        <v>104</v>
      </c>
      <c r="B463" s="30"/>
      <c r="C463" s="30"/>
      <c r="D463" s="30"/>
      <c r="E463" s="30"/>
      <c r="F463" s="30"/>
      <c r="G463" s="30"/>
      <c r="H463" s="30"/>
      <c r="I463" s="30"/>
      <c r="J463" s="31"/>
    </row>
    <row r="464" spans="1:10" x14ac:dyDescent="0.25">
      <c r="A464" s="221" t="s">
        <v>357</v>
      </c>
      <c r="J464" s="21"/>
    </row>
    <row r="465" spans="1:10" x14ac:dyDescent="0.25">
      <c r="A465" s="221" t="s">
        <v>456</v>
      </c>
      <c r="J465" s="21"/>
    </row>
    <row r="466" spans="1:10" x14ac:dyDescent="0.25">
      <c r="A466" s="221" t="s">
        <v>677</v>
      </c>
      <c r="J466" s="21"/>
    </row>
    <row r="467" spans="1:10" x14ac:dyDescent="0.25">
      <c r="A467" s="212" t="s">
        <v>832</v>
      </c>
      <c r="B467" s="33"/>
      <c r="C467" s="33"/>
      <c r="D467" s="33"/>
      <c r="E467" s="33"/>
      <c r="F467" s="33"/>
      <c r="G467" s="33"/>
      <c r="H467" s="33"/>
      <c r="I467" s="33"/>
      <c r="J467" s="34"/>
    </row>
    <row r="468" spans="1:10" x14ac:dyDescent="0.25">
      <c r="A468" s="32"/>
      <c r="B468" s="33"/>
    </row>
    <row r="469" spans="1:10" x14ac:dyDescent="0.25">
      <c r="A469" s="91" t="s">
        <v>14</v>
      </c>
      <c r="B469" s="55" t="s">
        <v>66</v>
      </c>
      <c r="C469" s="40" t="s">
        <v>15</v>
      </c>
    </row>
    <row r="470" spans="1:10" x14ac:dyDescent="0.25">
      <c r="A470" s="46" t="s">
        <v>16</v>
      </c>
      <c r="B470" s="51">
        <v>2015</v>
      </c>
      <c r="C470" s="88">
        <v>2016</v>
      </c>
      <c r="D470" s="51">
        <v>2017</v>
      </c>
      <c r="E470" s="103">
        <v>2018</v>
      </c>
      <c r="F470" s="103">
        <v>2019</v>
      </c>
      <c r="G470" s="51">
        <v>2020</v>
      </c>
      <c r="H470" s="199">
        <v>2021</v>
      </c>
      <c r="I470" s="199">
        <v>2022</v>
      </c>
      <c r="J470" s="199">
        <v>2023</v>
      </c>
    </row>
    <row r="471" spans="1:10" x14ac:dyDescent="0.25">
      <c r="A471" s="46" t="s">
        <v>17</v>
      </c>
      <c r="B471" s="47">
        <v>15583</v>
      </c>
      <c r="C471" s="89">
        <v>11679</v>
      </c>
      <c r="D471" s="47">
        <v>11679</v>
      </c>
      <c r="E471" s="90">
        <v>11679</v>
      </c>
      <c r="F471" s="90">
        <v>11679</v>
      </c>
      <c r="G471" s="47">
        <v>9226.41</v>
      </c>
      <c r="H471" s="200">
        <v>9078.7900000000009</v>
      </c>
      <c r="I471" s="200">
        <v>9152.6</v>
      </c>
      <c r="J471" s="200">
        <v>9152.6</v>
      </c>
    </row>
    <row r="472" spans="1:10" x14ac:dyDescent="0.25">
      <c r="A472" s="265" t="s">
        <v>18</v>
      </c>
      <c r="B472" s="232">
        <v>20187.900000000001</v>
      </c>
      <c r="C472" s="279">
        <v>16353.9</v>
      </c>
      <c r="D472" s="232">
        <f>14016.45</f>
        <v>14016.45</v>
      </c>
      <c r="E472" s="214">
        <v>13653.85</v>
      </c>
      <c r="F472" s="214">
        <v>13653.85</v>
      </c>
      <c r="G472" s="47">
        <f>G471+E471*0.15+223</f>
        <v>11201.26</v>
      </c>
      <c r="H472" s="200">
        <f>H471+0.1*F471+223</f>
        <v>10469.69</v>
      </c>
      <c r="I472" s="200">
        <f>I471+0.1*G471+223</f>
        <v>10298.241</v>
      </c>
      <c r="J472" s="200">
        <f>J471+0.1*H471+223</f>
        <v>10283.479000000001</v>
      </c>
    </row>
    <row r="473" spans="1:10" x14ac:dyDescent="0.25">
      <c r="A473" s="265" t="s">
        <v>19</v>
      </c>
      <c r="B473" s="280" t="s">
        <v>105</v>
      </c>
      <c r="C473" s="280" t="s">
        <v>106</v>
      </c>
      <c r="D473" s="280" t="s">
        <v>107</v>
      </c>
      <c r="E473" s="281" t="s">
        <v>108</v>
      </c>
      <c r="F473" s="281" t="s">
        <v>108</v>
      </c>
      <c r="G473" s="39" t="s">
        <v>457</v>
      </c>
      <c r="H473" s="68" t="s">
        <v>833</v>
      </c>
      <c r="I473" s="68" t="s">
        <v>834</v>
      </c>
      <c r="J473" s="68" t="s">
        <v>835</v>
      </c>
    </row>
    <row r="474" spans="1:10" x14ac:dyDescent="0.25">
      <c r="A474" s="265" t="s">
        <v>20</v>
      </c>
      <c r="B474" s="232">
        <v>16453</v>
      </c>
      <c r="C474" s="279">
        <v>13115</v>
      </c>
      <c r="D474" s="232">
        <v>11845</v>
      </c>
      <c r="E474" s="232">
        <v>11630</v>
      </c>
      <c r="F474" s="214">
        <v>11288</v>
      </c>
      <c r="G474" s="47">
        <v>9226</v>
      </c>
      <c r="H474" s="200">
        <v>4092.6</v>
      </c>
      <c r="I474" s="200">
        <v>8181</v>
      </c>
      <c r="J474" s="200"/>
    </row>
    <row r="475" spans="1:10" x14ac:dyDescent="0.25">
      <c r="A475" s="265" t="s">
        <v>21</v>
      </c>
      <c r="B475" s="232">
        <v>3734.9</v>
      </c>
      <c r="C475" s="279">
        <v>3238.9</v>
      </c>
      <c r="D475" s="232">
        <v>2171.4499999999998</v>
      </c>
      <c r="E475" s="232">
        <v>2023.85</v>
      </c>
      <c r="F475" s="214">
        <f>F472-F474</f>
        <v>2365.8500000000004</v>
      </c>
      <c r="G475" s="47">
        <f>G472-G474</f>
        <v>1975.2600000000002</v>
      </c>
      <c r="H475" s="200">
        <f>H472-H474</f>
        <v>6377.09</v>
      </c>
      <c r="I475" s="200">
        <f>I472-I474</f>
        <v>2117.241</v>
      </c>
      <c r="J475" s="200"/>
    </row>
    <row r="476" spans="1:10" x14ac:dyDescent="0.25">
      <c r="A476" s="219" t="s">
        <v>22</v>
      </c>
      <c r="B476" s="245">
        <v>2017</v>
      </c>
      <c r="C476" s="282">
        <v>2018</v>
      </c>
      <c r="D476" s="245">
        <v>2019</v>
      </c>
      <c r="E476" s="245">
        <v>2020</v>
      </c>
      <c r="F476" s="246">
        <v>2021</v>
      </c>
      <c r="G476" s="57">
        <v>2022</v>
      </c>
      <c r="H476" s="201">
        <v>2023</v>
      </c>
      <c r="I476" s="201">
        <v>2024</v>
      </c>
      <c r="J476" s="201"/>
    </row>
    <row r="477" spans="1:10" x14ac:dyDescent="0.25">
      <c r="A477" s="219" t="s">
        <v>23</v>
      </c>
      <c r="B477" s="220"/>
      <c r="C477" s="220"/>
      <c r="D477" s="220"/>
      <c r="E477" s="220"/>
      <c r="F477" s="220"/>
      <c r="G477" s="30"/>
      <c r="H477" s="31"/>
      <c r="I477" s="31"/>
      <c r="J477" s="31"/>
    </row>
    <row r="478" spans="1:10" x14ac:dyDescent="0.25">
      <c r="A478" s="219" t="s">
        <v>109</v>
      </c>
      <c r="B478" s="220"/>
      <c r="C478" s="220"/>
      <c r="D478" s="220"/>
      <c r="E478" s="220"/>
      <c r="F478" s="220"/>
      <c r="G478" s="30"/>
      <c r="H478" s="30"/>
      <c r="I478" s="31"/>
      <c r="J478" s="31"/>
    </row>
    <row r="479" spans="1:10" x14ac:dyDescent="0.25">
      <c r="A479" s="221" t="s">
        <v>358</v>
      </c>
      <c r="B479" s="222"/>
      <c r="C479" s="222"/>
      <c r="D479" s="222"/>
      <c r="E479" s="222"/>
      <c r="F479" s="222"/>
      <c r="I479" s="21"/>
      <c r="J479" s="21"/>
    </row>
    <row r="480" spans="1:10" x14ac:dyDescent="0.25">
      <c r="A480" s="221" t="s">
        <v>358</v>
      </c>
      <c r="B480" s="222"/>
      <c r="C480" s="222"/>
      <c r="D480" s="222"/>
      <c r="E480" s="222"/>
      <c r="F480" s="222"/>
      <c r="I480" s="21"/>
      <c r="J480" s="21"/>
    </row>
    <row r="481" spans="1:10" x14ac:dyDescent="0.25">
      <c r="A481" s="221" t="s">
        <v>601</v>
      </c>
      <c r="B481" s="222"/>
      <c r="C481" s="222"/>
      <c r="D481" s="222"/>
      <c r="E481" s="222"/>
      <c r="F481" s="222"/>
      <c r="I481" s="21"/>
      <c r="J481" s="21"/>
    </row>
    <row r="482" spans="1:10" x14ac:dyDescent="0.25">
      <c r="A482" s="221" t="s">
        <v>678</v>
      </c>
      <c r="B482" s="222"/>
      <c r="C482" s="222"/>
      <c r="D482" s="222"/>
      <c r="E482" s="222"/>
      <c r="F482" s="222"/>
      <c r="I482" s="21"/>
      <c r="J482" s="21"/>
    </row>
    <row r="483" spans="1:10" x14ac:dyDescent="0.25">
      <c r="A483" s="234" t="s">
        <v>836</v>
      </c>
      <c r="B483" s="283"/>
      <c r="C483" s="283"/>
      <c r="D483" s="283"/>
      <c r="E483" s="283"/>
      <c r="F483" s="283"/>
      <c r="G483" s="33"/>
      <c r="H483" s="33"/>
      <c r="I483" s="34"/>
      <c r="J483" s="34"/>
    </row>
    <row r="485" spans="1:10" x14ac:dyDescent="0.25">
      <c r="A485" s="91" t="s">
        <v>14</v>
      </c>
      <c r="B485" s="55" t="s">
        <v>74</v>
      </c>
      <c r="C485" s="40" t="s">
        <v>15</v>
      </c>
    </row>
    <row r="486" spans="1:10" x14ac:dyDescent="0.25">
      <c r="A486" s="46" t="s">
        <v>16</v>
      </c>
      <c r="B486" s="51">
        <v>2015</v>
      </c>
      <c r="C486" s="88">
        <v>2016</v>
      </c>
      <c r="D486" s="51">
        <v>2017</v>
      </c>
      <c r="E486" s="103">
        <v>2018</v>
      </c>
      <c r="F486" s="103">
        <v>2019</v>
      </c>
      <c r="G486" s="51">
        <v>2020</v>
      </c>
      <c r="H486" s="51">
        <v>2021</v>
      </c>
      <c r="I486" s="51">
        <v>2022</v>
      </c>
    </row>
    <row r="487" spans="1:10" x14ac:dyDescent="0.25">
      <c r="A487" s="46" t="s">
        <v>17</v>
      </c>
      <c r="B487" s="23">
        <v>150</v>
      </c>
      <c r="C487" s="92">
        <v>150</v>
      </c>
      <c r="D487" s="23">
        <v>150</v>
      </c>
      <c r="E487" s="93">
        <v>150</v>
      </c>
      <c r="F487" s="93">
        <v>150</v>
      </c>
      <c r="G487" s="23">
        <v>126.2</v>
      </c>
      <c r="H487" s="23">
        <v>126.2</v>
      </c>
      <c r="I487" s="23">
        <v>126.2</v>
      </c>
    </row>
    <row r="488" spans="1:10" x14ac:dyDescent="0.25">
      <c r="A488" s="46" t="s">
        <v>18</v>
      </c>
      <c r="B488" s="23">
        <v>165</v>
      </c>
      <c r="C488" s="92">
        <v>165</v>
      </c>
      <c r="D488" s="23">
        <v>165</v>
      </c>
      <c r="E488" s="93">
        <v>165</v>
      </c>
      <c r="F488" s="93">
        <v>165</v>
      </c>
      <c r="G488" s="23">
        <f>G487+0.1*E487</f>
        <v>141.19999999999999</v>
      </c>
      <c r="H488" s="23">
        <f>H487+0.1*F487</f>
        <v>141.19999999999999</v>
      </c>
      <c r="I488" s="23"/>
    </row>
    <row r="489" spans="1:10" x14ac:dyDescent="0.25">
      <c r="A489" s="46" t="s">
        <v>19</v>
      </c>
      <c r="B489" s="126" t="s">
        <v>110</v>
      </c>
      <c r="C489" s="126" t="s">
        <v>110</v>
      </c>
      <c r="D489" s="126" t="s">
        <v>110</v>
      </c>
      <c r="E489" s="127" t="s">
        <v>110</v>
      </c>
      <c r="F489" s="127" t="s">
        <v>110</v>
      </c>
      <c r="G489" s="127" t="s">
        <v>359</v>
      </c>
      <c r="H489" s="127" t="s">
        <v>359</v>
      </c>
      <c r="I489" s="127"/>
    </row>
    <row r="490" spans="1:10" x14ac:dyDescent="0.25">
      <c r="A490" s="46" t="s">
        <v>20</v>
      </c>
      <c r="B490" s="23">
        <v>61</v>
      </c>
      <c r="C490" s="92">
        <v>75</v>
      </c>
      <c r="D490" s="23">
        <v>73</v>
      </c>
      <c r="E490" s="23">
        <v>74</v>
      </c>
      <c r="F490" s="93">
        <v>40</v>
      </c>
      <c r="G490" s="45">
        <v>91.4</v>
      </c>
      <c r="H490" s="216">
        <v>96.1</v>
      </c>
      <c r="I490" s="23">
        <v>58</v>
      </c>
    </row>
    <row r="491" spans="1:10" x14ac:dyDescent="0.25">
      <c r="A491" s="46" t="s">
        <v>21</v>
      </c>
      <c r="B491" s="23">
        <v>104</v>
      </c>
      <c r="C491" s="92">
        <v>90</v>
      </c>
      <c r="D491" s="23">
        <v>92</v>
      </c>
      <c r="E491" s="23">
        <v>91</v>
      </c>
      <c r="F491" s="93">
        <f>F488-F490</f>
        <v>125</v>
      </c>
      <c r="G491" s="45">
        <f>G488-G490</f>
        <v>49.799999999999983</v>
      </c>
      <c r="H491" s="216">
        <f>H488-H490</f>
        <v>45.099999999999994</v>
      </c>
      <c r="I491" s="23">
        <f>I487-I490</f>
        <v>68.2</v>
      </c>
    </row>
    <row r="492" spans="1:10" x14ac:dyDescent="0.25">
      <c r="A492" s="49" t="s">
        <v>22</v>
      </c>
      <c r="B492" s="57">
        <v>2017</v>
      </c>
      <c r="C492" s="79">
        <v>2018</v>
      </c>
      <c r="D492" s="57">
        <v>2019</v>
      </c>
      <c r="E492" s="57">
        <v>2020</v>
      </c>
      <c r="F492" s="80">
        <v>2021</v>
      </c>
      <c r="G492" s="57" t="s">
        <v>161</v>
      </c>
      <c r="H492" s="57" t="s">
        <v>161</v>
      </c>
      <c r="I492" s="57" t="s">
        <v>161</v>
      </c>
    </row>
    <row r="493" spans="1:10" x14ac:dyDescent="0.25">
      <c r="A493" s="49" t="s">
        <v>23</v>
      </c>
      <c r="B493" s="30"/>
      <c r="C493" s="30"/>
      <c r="D493" s="30"/>
      <c r="E493" s="30"/>
      <c r="F493" s="30"/>
      <c r="G493" s="30"/>
      <c r="H493" s="31"/>
      <c r="I493" s="31"/>
    </row>
    <row r="494" spans="1:10" x14ac:dyDescent="0.25">
      <c r="A494" s="648" t="s">
        <v>111</v>
      </c>
      <c r="B494" s="649"/>
      <c r="C494" s="649"/>
      <c r="D494" s="649"/>
      <c r="E494" s="649"/>
      <c r="F494" s="649"/>
      <c r="G494" s="30"/>
      <c r="H494" s="30"/>
      <c r="I494" s="31"/>
    </row>
    <row r="495" spans="1:10" x14ac:dyDescent="0.25">
      <c r="A495" s="76" t="s">
        <v>360</v>
      </c>
      <c r="B495" s="108"/>
      <c r="C495" s="108"/>
      <c r="D495" s="108"/>
      <c r="E495" s="108"/>
      <c r="F495" s="108"/>
      <c r="I495" s="21"/>
    </row>
    <row r="496" spans="1:10" x14ac:dyDescent="0.25">
      <c r="A496" s="76" t="s">
        <v>458</v>
      </c>
      <c r="B496" s="108"/>
      <c r="C496" s="108"/>
      <c r="D496" s="108"/>
      <c r="E496" s="108"/>
      <c r="F496" s="108"/>
      <c r="I496" s="21"/>
    </row>
    <row r="497" spans="1:9" x14ac:dyDescent="0.25">
      <c r="A497" s="76" t="s">
        <v>679</v>
      </c>
      <c r="B497" s="108"/>
      <c r="C497" s="108"/>
      <c r="D497" s="108"/>
      <c r="E497" s="108"/>
      <c r="F497" s="108"/>
      <c r="I497" s="21"/>
    </row>
    <row r="498" spans="1:9" x14ac:dyDescent="0.25">
      <c r="A498" s="32" t="s">
        <v>825</v>
      </c>
      <c r="B498" s="33"/>
      <c r="C498" s="33"/>
      <c r="D498" s="33"/>
      <c r="E498" s="33"/>
      <c r="F498" s="33"/>
      <c r="G498" s="33"/>
      <c r="H498" s="33"/>
      <c r="I498" s="34"/>
    </row>
    <row r="500" spans="1:9" x14ac:dyDescent="0.25">
      <c r="A500" s="262" t="s">
        <v>14</v>
      </c>
      <c r="B500" s="276" t="s">
        <v>79</v>
      </c>
      <c r="C500" s="264" t="s">
        <v>15</v>
      </c>
      <c r="D500" s="222"/>
      <c r="E500" s="222"/>
      <c r="F500" s="222"/>
      <c r="G500" s="222"/>
      <c r="H500" s="222"/>
      <c r="I500" s="222"/>
    </row>
    <row r="501" spans="1:9" x14ac:dyDescent="0.25">
      <c r="A501" s="265" t="s">
        <v>16</v>
      </c>
      <c r="B501" s="213">
        <v>2015</v>
      </c>
      <c r="C501" s="277">
        <v>2016</v>
      </c>
      <c r="D501" s="213">
        <v>2017</v>
      </c>
      <c r="E501" s="278">
        <v>2018</v>
      </c>
      <c r="F501" s="278">
        <v>2019</v>
      </c>
      <c r="G501" s="213">
        <v>2020</v>
      </c>
      <c r="H501" s="213">
        <v>2021</v>
      </c>
      <c r="I501" s="213">
        <v>2022</v>
      </c>
    </row>
    <row r="502" spans="1:9" x14ac:dyDescent="0.25">
      <c r="A502" s="265" t="s">
        <v>17</v>
      </c>
      <c r="B502" s="216">
        <v>50</v>
      </c>
      <c r="C502" s="285">
        <v>50</v>
      </c>
      <c r="D502" s="216">
        <v>50</v>
      </c>
      <c r="E502" s="286">
        <v>50</v>
      </c>
      <c r="F502" s="286">
        <v>50</v>
      </c>
      <c r="G502" s="216">
        <v>50</v>
      </c>
      <c r="H502" s="216">
        <v>50</v>
      </c>
      <c r="I502" s="216">
        <v>50</v>
      </c>
    </row>
    <row r="503" spans="1:9" x14ac:dyDescent="0.25">
      <c r="A503" s="265" t="s">
        <v>18</v>
      </c>
      <c r="B503" s="216">
        <v>55</v>
      </c>
      <c r="C503" s="285">
        <v>55</v>
      </c>
      <c r="D503" s="216">
        <v>55</v>
      </c>
      <c r="E503" s="286">
        <v>55</v>
      </c>
      <c r="F503" s="286">
        <v>55</v>
      </c>
      <c r="G503" s="216">
        <f>G502*1.1</f>
        <v>55.000000000000007</v>
      </c>
      <c r="H503" s="216">
        <f>H502*1.1</f>
        <v>55.000000000000007</v>
      </c>
      <c r="I503" s="216"/>
    </row>
    <row r="504" spans="1:9" x14ac:dyDescent="0.25">
      <c r="A504" s="265" t="s">
        <v>19</v>
      </c>
      <c r="B504" s="287" t="s">
        <v>112</v>
      </c>
      <c r="C504" s="287" t="s">
        <v>112</v>
      </c>
      <c r="D504" s="287" t="s">
        <v>112</v>
      </c>
      <c r="E504" s="288" t="s">
        <v>112</v>
      </c>
      <c r="F504" s="288" t="s">
        <v>112</v>
      </c>
      <c r="G504" s="288" t="s">
        <v>112</v>
      </c>
      <c r="H504" s="288" t="s">
        <v>112</v>
      </c>
      <c r="I504" s="288"/>
    </row>
    <row r="505" spans="1:9" x14ac:dyDescent="0.25">
      <c r="A505" s="265" t="s">
        <v>20</v>
      </c>
      <c r="B505" s="216">
        <v>12</v>
      </c>
      <c r="C505" s="216">
        <v>10</v>
      </c>
      <c r="D505" s="216">
        <v>5</v>
      </c>
      <c r="E505" s="216">
        <v>6</v>
      </c>
      <c r="F505" s="216">
        <v>2</v>
      </c>
      <c r="G505" s="216">
        <v>5.4</v>
      </c>
      <c r="H505" s="216">
        <v>5.2</v>
      </c>
      <c r="I505" s="216">
        <v>2</v>
      </c>
    </row>
    <row r="506" spans="1:9" x14ac:dyDescent="0.25">
      <c r="A506" s="265" t="s">
        <v>21</v>
      </c>
      <c r="B506" s="216">
        <v>43</v>
      </c>
      <c r="C506" s="216">
        <f>C503-C505</f>
        <v>45</v>
      </c>
      <c r="D506" s="216">
        <f t="shared" ref="D506:H506" si="17">D503-D505</f>
        <v>50</v>
      </c>
      <c r="E506" s="216">
        <f t="shared" si="17"/>
        <v>49</v>
      </c>
      <c r="F506" s="216">
        <f t="shared" si="17"/>
        <v>53</v>
      </c>
      <c r="G506" s="216">
        <f t="shared" si="17"/>
        <v>49.600000000000009</v>
      </c>
      <c r="H506" s="216">
        <f t="shared" si="17"/>
        <v>49.800000000000004</v>
      </c>
      <c r="I506" s="216">
        <f>I502-I505</f>
        <v>48</v>
      </c>
    </row>
    <row r="507" spans="1:9" x14ac:dyDescent="0.25">
      <c r="A507" s="219" t="s">
        <v>22</v>
      </c>
      <c r="B507" s="245">
        <v>2017</v>
      </c>
      <c r="C507" s="289">
        <v>2018</v>
      </c>
      <c r="D507" s="289">
        <v>2019</v>
      </c>
      <c r="E507" s="289">
        <v>2020</v>
      </c>
      <c r="F507" s="289">
        <v>2021</v>
      </c>
      <c r="G507" s="289" t="s">
        <v>161</v>
      </c>
      <c r="H507" s="289" t="s">
        <v>161</v>
      </c>
      <c r="I507" s="289" t="s">
        <v>161</v>
      </c>
    </row>
    <row r="508" spans="1:9" x14ac:dyDescent="0.25">
      <c r="A508" s="219" t="s">
        <v>23</v>
      </c>
      <c r="B508" s="220"/>
      <c r="C508" s="220"/>
      <c r="D508" s="220"/>
      <c r="E508" s="220"/>
      <c r="F508" s="220"/>
      <c r="G508" s="220"/>
      <c r="H508" s="218"/>
      <c r="I508" s="218"/>
    </row>
    <row r="509" spans="1:9" x14ac:dyDescent="0.25">
      <c r="A509" s="644" t="s">
        <v>113</v>
      </c>
      <c r="B509" s="645"/>
      <c r="C509" s="645"/>
      <c r="D509" s="645"/>
      <c r="E509" s="645"/>
      <c r="F509" s="645"/>
      <c r="G509" s="220"/>
      <c r="H509" s="220"/>
      <c r="I509" s="218"/>
    </row>
    <row r="510" spans="1:9" x14ac:dyDescent="0.25">
      <c r="A510" s="76" t="s">
        <v>361</v>
      </c>
      <c r="B510" s="108"/>
      <c r="C510" s="108"/>
      <c r="D510" s="108"/>
      <c r="E510" s="108"/>
      <c r="F510" s="108"/>
      <c r="I510" s="21"/>
    </row>
    <row r="511" spans="1:9" x14ac:dyDescent="0.25">
      <c r="A511" s="76" t="s">
        <v>459</v>
      </c>
      <c r="B511" s="108"/>
      <c r="C511" s="108"/>
      <c r="D511" s="108"/>
      <c r="E511" s="108"/>
      <c r="F511" s="108"/>
      <c r="I511" s="21"/>
    </row>
    <row r="512" spans="1:9" x14ac:dyDescent="0.25">
      <c r="A512" s="76" t="s">
        <v>680</v>
      </c>
      <c r="B512" s="108"/>
      <c r="C512" s="108"/>
      <c r="D512" s="108"/>
      <c r="E512" s="108"/>
      <c r="F512" s="108"/>
      <c r="I512" s="21"/>
    </row>
    <row r="513" spans="1:9" x14ac:dyDescent="0.25">
      <c r="A513" s="32" t="s">
        <v>825</v>
      </c>
      <c r="B513" s="33"/>
      <c r="C513" s="33"/>
      <c r="D513" s="33"/>
      <c r="E513" s="33"/>
      <c r="F513" s="33"/>
      <c r="G513" s="33"/>
      <c r="H513" s="33"/>
      <c r="I513" s="34"/>
    </row>
    <row r="516" spans="1:9" x14ac:dyDescent="0.25">
      <c r="A516" s="559" t="s">
        <v>12</v>
      </c>
      <c r="B516" s="560" t="s">
        <v>628</v>
      </c>
      <c r="C516" s="222"/>
      <c r="D516" s="222"/>
      <c r="E516" s="222"/>
      <c r="F516" s="222"/>
      <c r="G516" s="222"/>
      <c r="H516" s="222"/>
      <c r="I516" s="222"/>
    </row>
    <row r="517" spans="1:9" x14ac:dyDescent="0.25">
      <c r="A517" s="557" t="s">
        <v>14</v>
      </c>
      <c r="B517" s="558" t="s">
        <v>638</v>
      </c>
      <c r="C517" s="252" t="s">
        <v>152</v>
      </c>
      <c r="D517" s="254"/>
      <c r="E517" s="254"/>
      <c r="F517" s="254"/>
      <c r="G517" s="254"/>
      <c r="H517" s="222"/>
      <c r="I517" s="222"/>
    </row>
    <row r="518" spans="1:9" s="236" customFormat="1" x14ac:dyDescent="0.25">
      <c r="A518" s="290" t="s">
        <v>27</v>
      </c>
      <c r="B518" s="291">
        <v>2016</v>
      </c>
      <c r="C518" s="291">
        <v>2017</v>
      </c>
      <c r="D518" s="292">
        <v>2018</v>
      </c>
      <c r="E518" s="291">
        <v>2019</v>
      </c>
      <c r="F518" s="293">
        <v>2020</v>
      </c>
      <c r="G518" s="293">
        <v>2021</v>
      </c>
      <c r="H518" s="293">
        <v>2022</v>
      </c>
      <c r="I518" s="293">
        <v>2023</v>
      </c>
    </row>
    <row r="519" spans="1:9" s="236" customFormat="1" x14ac:dyDescent="0.25">
      <c r="A519" s="290" t="s">
        <v>28</v>
      </c>
      <c r="B519" s="294">
        <v>200</v>
      </c>
      <c r="C519" s="294">
        <v>200</v>
      </c>
      <c r="D519" s="294">
        <v>200</v>
      </c>
      <c r="E519" s="294">
        <v>215</v>
      </c>
      <c r="F519" s="295">
        <v>215</v>
      </c>
      <c r="G519" s="295">
        <v>242</v>
      </c>
      <c r="H519" s="294">
        <v>242</v>
      </c>
      <c r="I519" s="294">
        <v>242</v>
      </c>
    </row>
    <row r="520" spans="1:9" s="236" customFormat="1" x14ac:dyDescent="0.25">
      <c r="A520" s="290" t="s">
        <v>29</v>
      </c>
      <c r="B520" s="296">
        <f>(B519+0.25*200)</f>
        <v>250</v>
      </c>
      <c r="C520" s="296">
        <f>(C519+0.25*B519)</f>
        <v>250</v>
      </c>
      <c r="D520" s="296">
        <f t="shared" ref="D520:I520" si="18">(D519+0.25*C519)</f>
        <v>250</v>
      </c>
      <c r="E520" s="296">
        <f t="shared" si="18"/>
        <v>265</v>
      </c>
      <c r="F520" s="296">
        <f t="shared" si="18"/>
        <v>268.75</v>
      </c>
      <c r="G520" s="296">
        <f t="shared" si="18"/>
        <v>295.75</v>
      </c>
      <c r="H520" s="297">
        <f t="shared" si="18"/>
        <v>302.5</v>
      </c>
      <c r="I520" s="297">
        <f t="shared" si="18"/>
        <v>302.5</v>
      </c>
    </row>
    <row r="521" spans="1:9" s="236" customFormat="1" x14ac:dyDescent="0.25">
      <c r="A521" s="290" t="s">
        <v>30</v>
      </c>
      <c r="B521" s="296"/>
      <c r="C521" s="296"/>
      <c r="D521" s="298"/>
      <c r="E521" s="296"/>
      <c r="F521" s="299"/>
      <c r="G521" s="299"/>
      <c r="H521" s="299"/>
      <c r="I521" s="299"/>
    </row>
    <row r="522" spans="1:9" s="236" customFormat="1" x14ac:dyDescent="0.25">
      <c r="A522" s="290" t="s">
        <v>31</v>
      </c>
      <c r="B522" s="294">
        <v>4.6470000000000002</v>
      </c>
      <c r="C522" s="294">
        <v>11.226000000000001</v>
      </c>
      <c r="D522" s="294">
        <v>4.8979999999999997</v>
      </c>
      <c r="E522" s="295">
        <v>1.35</v>
      </c>
      <c r="F522" s="295">
        <v>0.64</v>
      </c>
      <c r="G522" s="295">
        <v>2.34</v>
      </c>
      <c r="H522" s="299">
        <v>1.49</v>
      </c>
      <c r="I522" s="299"/>
    </row>
    <row r="523" spans="1:9" s="236" customFormat="1" x14ac:dyDescent="0.25">
      <c r="A523" s="290" t="s">
        <v>32</v>
      </c>
      <c r="B523" s="297">
        <f>B520-B522</f>
        <v>245.35300000000001</v>
      </c>
      <c r="C523" s="297">
        <f>C520-C522</f>
        <v>238.774</v>
      </c>
      <c r="D523" s="297">
        <f t="shared" ref="D523:H523" si="19">D520-D522</f>
        <v>245.102</v>
      </c>
      <c r="E523" s="297">
        <f t="shared" si="19"/>
        <v>263.64999999999998</v>
      </c>
      <c r="F523" s="297">
        <f t="shared" si="19"/>
        <v>268.11</v>
      </c>
      <c r="G523" s="297">
        <f t="shared" si="19"/>
        <v>293.41000000000003</v>
      </c>
      <c r="H523" s="297">
        <f t="shared" si="19"/>
        <v>301.01</v>
      </c>
      <c r="I523" s="297"/>
    </row>
    <row r="524" spans="1:9" s="236" customFormat="1" x14ac:dyDescent="0.25">
      <c r="A524" s="300" t="s">
        <v>33</v>
      </c>
      <c r="B524" s="513">
        <v>2017</v>
      </c>
      <c r="C524" s="513">
        <v>2018</v>
      </c>
      <c r="D524" s="514">
        <v>2019</v>
      </c>
      <c r="E524" s="513">
        <v>2020</v>
      </c>
      <c r="F524" s="515">
        <v>2021</v>
      </c>
      <c r="G524" s="515">
        <v>2022</v>
      </c>
      <c r="H524" s="515">
        <v>2023</v>
      </c>
      <c r="I524" s="515">
        <v>2024</v>
      </c>
    </row>
    <row r="525" spans="1:9" s="236" customFormat="1" x14ac:dyDescent="0.25">
      <c r="A525" s="290" t="s">
        <v>34</v>
      </c>
      <c r="B525" s="314"/>
      <c r="C525" s="314"/>
      <c r="D525" s="314"/>
      <c r="E525" s="314"/>
      <c r="F525" s="314"/>
      <c r="G525" s="314"/>
      <c r="H525" s="314"/>
      <c r="I525" s="312"/>
    </row>
    <row r="526" spans="1:9" s="236" customFormat="1" x14ac:dyDescent="0.25">
      <c r="A526" s="300" t="s">
        <v>629</v>
      </c>
      <c r="B526" s="301"/>
      <c r="C526" s="301"/>
      <c r="D526" s="301"/>
      <c r="E526" s="301"/>
      <c r="F526" s="301"/>
      <c r="G526" s="301"/>
      <c r="H526" s="301"/>
      <c r="I526" s="302"/>
    </row>
    <row r="527" spans="1:9" s="236" customFormat="1" x14ac:dyDescent="0.25">
      <c r="A527" s="243" t="s">
        <v>630</v>
      </c>
      <c r="B527" s="235"/>
      <c r="C527" s="235"/>
      <c r="D527" s="235"/>
      <c r="E527" s="235"/>
      <c r="F527" s="235"/>
      <c r="G527" s="235"/>
      <c r="H527" s="235"/>
      <c r="I527" s="303"/>
    </row>
    <row r="528" spans="1:9" s="236" customFormat="1" x14ac:dyDescent="0.25">
      <c r="A528" s="243" t="s">
        <v>631</v>
      </c>
      <c r="B528" s="235"/>
      <c r="C528" s="235"/>
      <c r="D528" s="235"/>
      <c r="E528" s="235"/>
      <c r="F528" s="235"/>
      <c r="G528" s="235"/>
      <c r="H528" s="235"/>
      <c r="I528" s="303"/>
    </row>
    <row r="529" spans="1:9" s="236" customFormat="1" x14ac:dyDescent="0.25">
      <c r="A529" s="243" t="s">
        <v>632</v>
      </c>
      <c r="B529" s="235"/>
      <c r="C529" s="235"/>
      <c r="D529" s="235"/>
      <c r="E529" s="235"/>
      <c r="F529" s="235"/>
      <c r="G529" s="235"/>
      <c r="H529" s="235"/>
      <c r="I529" s="303"/>
    </row>
    <row r="530" spans="1:9" s="236" customFormat="1" x14ac:dyDescent="0.25">
      <c r="A530" s="243" t="s">
        <v>633</v>
      </c>
      <c r="B530" s="235"/>
      <c r="C530" s="235"/>
      <c r="D530" s="235"/>
      <c r="E530" s="235"/>
      <c r="F530" s="235"/>
      <c r="G530" s="235"/>
      <c r="H530" s="235"/>
      <c r="I530" s="303"/>
    </row>
    <row r="531" spans="1:9" s="236" customFormat="1" x14ac:dyDescent="0.25">
      <c r="A531" s="243" t="s">
        <v>634</v>
      </c>
      <c r="B531" s="235"/>
      <c r="C531" s="235"/>
      <c r="D531" s="235"/>
      <c r="E531" s="235"/>
      <c r="F531" s="235"/>
      <c r="G531" s="235"/>
      <c r="H531" s="235"/>
      <c r="I531" s="303"/>
    </row>
    <row r="532" spans="1:9" s="236" customFormat="1" x14ac:dyDescent="0.25">
      <c r="A532" s="243" t="s">
        <v>635</v>
      </c>
      <c r="B532" s="235"/>
      <c r="C532" s="235"/>
      <c r="D532" s="235"/>
      <c r="E532" s="235"/>
      <c r="F532" s="235"/>
      <c r="G532" s="235"/>
      <c r="H532" s="235"/>
      <c r="I532" s="303"/>
    </row>
    <row r="533" spans="1:9" s="236" customFormat="1" x14ac:dyDescent="0.25">
      <c r="A533" s="243" t="s">
        <v>636</v>
      </c>
      <c r="B533" s="235"/>
      <c r="C533" s="235"/>
      <c r="D533" s="235"/>
      <c r="E533" s="235"/>
      <c r="F533" s="235"/>
      <c r="G533" s="235"/>
      <c r="H533" s="235"/>
      <c r="I533" s="303"/>
    </row>
    <row r="534" spans="1:9" s="236" customFormat="1" x14ac:dyDescent="0.25">
      <c r="A534" s="304" t="s">
        <v>837</v>
      </c>
      <c r="B534" s="305"/>
      <c r="C534" s="305"/>
      <c r="D534" s="305"/>
      <c r="E534" s="305"/>
      <c r="F534" s="305"/>
      <c r="G534" s="305"/>
      <c r="H534" s="305"/>
      <c r="I534" s="306"/>
    </row>
    <row r="535" spans="1:9" s="236" customFormat="1" x14ac:dyDescent="0.25">
      <c r="A535" s="235"/>
      <c r="B535" s="235"/>
      <c r="C535" s="235"/>
      <c r="D535" s="235"/>
      <c r="E535" s="235"/>
      <c r="F535" s="235"/>
      <c r="G535" s="235"/>
      <c r="H535" s="235"/>
      <c r="I535" s="235"/>
    </row>
    <row r="536" spans="1:9" x14ac:dyDescent="0.25">
      <c r="A536" s="251" t="s">
        <v>14</v>
      </c>
      <c r="B536" s="252" t="s">
        <v>637</v>
      </c>
      <c r="C536" s="252" t="s">
        <v>152</v>
      </c>
      <c r="D536" s="307"/>
      <c r="E536" s="307"/>
      <c r="F536" s="307"/>
      <c r="G536" s="307"/>
      <c r="H536" s="222"/>
      <c r="I536" s="222"/>
    </row>
    <row r="537" spans="1:9" s="236" customFormat="1" x14ac:dyDescent="0.25">
      <c r="A537" s="290" t="s">
        <v>27</v>
      </c>
      <c r="B537" s="291">
        <v>2016</v>
      </c>
      <c r="C537" s="291">
        <v>2017</v>
      </c>
      <c r="D537" s="292">
        <v>2018</v>
      </c>
      <c r="E537" s="291">
        <v>2019</v>
      </c>
      <c r="F537" s="293">
        <v>2020</v>
      </c>
      <c r="G537" s="293">
        <v>2021</v>
      </c>
      <c r="H537" s="293">
        <v>2022</v>
      </c>
      <c r="I537" s="293">
        <v>2023</v>
      </c>
    </row>
    <row r="538" spans="1:9" s="236" customFormat="1" x14ac:dyDescent="0.25">
      <c r="A538" s="290" t="s">
        <v>28</v>
      </c>
      <c r="B538" s="308">
        <v>0</v>
      </c>
      <c r="C538" s="308">
        <v>0</v>
      </c>
      <c r="D538" s="308">
        <v>0</v>
      </c>
      <c r="E538" s="308">
        <v>0</v>
      </c>
      <c r="F538" s="309">
        <v>0</v>
      </c>
      <c r="G538" s="309">
        <v>0</v>
      </c>
      <c r="H538" s="308">
        <v>0</v>
      </c>
      <c r="I538" s="308">
        <v>0</v>
      </c>
    </row>
    <row r="539" spans="1:9" s="236" customFormat="1" x14ac:dyDescent="0.25">
      <c r="A539" s="290" t="s">
        <v>29</v>
      </c>
      <c r="B539" s="310">
        <v>-19.86</v>
      </c>
      <c r="C539" s="311">
        <f t="shared" ref="C539:I539" si="20">B542</f>
        <v>-48.64</v>
      </c>
      <c r="D539" s="311">
        <f t="shared" si="20"/>
        <v>-96.69</v>
      </c>
      <c r="E539" s="311">
        <f t="shared" si="20"/>
        <v>-149.34</v>
      </c>
      <c r="F539" s="311">
        <f t="shared" si="20"/>
        <v>-172.85</v>
      </c>
      <c r="G539" s="311">
        <f t="shared" si="20"/>
        <v>-196.03</v>
      </c>
      <c r="H539" s="311">
        <f t="shared" si="20"/>
        <v>-246.64</v>
      </c>
      <c r="I539" s="311">
        <f t="shared" si="20"/>
        <v>-272.18</v>
      </c>
    </row>
    <row r="540" spans="1:9" s="236" customFormat="1" x14ac:dyDescent="0.25">
      <c r="A540" s="290" t="s">
        <v>30</v>
      </c>
      <c r="B540" s="296" t="s">
        <v>403</v>
      </c>
      <c r="C540" s="298" t="s">
        <v>404</v>
      </c>
      <c r="D540" s="296" t="s">
        <v>405</v>
      </c>
      <c r="E540" s="299" t="s">
        <v>406</v>
      </c>
      <c r="F540" s="299" t="s">
        <v>575</v>
      </c>
      <c r="G540" s="299" t="s">
        <v>618</v>
      </c>
      <c r="H540" s="299" t="s">
        <v>639</v>
      </c>
      <c r="I540" s="299" t="s">
        <v>838</v>
      </c>
    </row>
    <row r="541" spans="1:9" s="236" customFormat="1" x14ac:dyDescent="0.25">
      <c r="A541" s="290" t="s">
        <v>31</v>
      </c>
      <c r="B541" s="308">
        <v>28.78</v>
      </c>
      <c r="C541" s="308">
        <v>48.05</v>
      </c>
      <c r="D541" s="308">
        <v>52.65</v>
      </c>
      <c r="E541" s="309">
        <v>23.51</v>
      </c>
      <c r="F541" s="309">
        <v>23.18</v>
      </c>
      <c r="G541" s="309">
        <v>50.61</v>
      </c>
      <c r="H541" s="312">
        <v>25.54</v>
      </c>
      <c r="I541" s="312"/>
    </row>
    <row r="542" spans="1:9" s="236" customFormat="1" x14ac:dyDescent="0.25">
      <c r="A542" s="290" t="s">
        <v>32</v>
      </c>
      <c r="B542" s="297">
        <f>B539-B541</f>
        <v>-48.64</v>
      </c>
      <c r="C542" s="297">
        <f>C539-C541</f>
        <v>-96.69</v>
      </c>
      <c r="D542" s="297">
        <f t="shared" ref="D542:H542" si="21">D539-D541</f>
        <v>-149.34</v>
      </c>
      <c r="E542" s="297">
        <f t="shared" si="21"/>
        <v>-172.85</v>
      </c>
      <c r="F542" s="297">
        <f t="shared" si="21"/>
        <v>-196.03</v>
      </c>
      <c r="G542" s="297">
        <f t="shared" si="21"/>
        <v>-246.64</v>
      </c>
      <c r="H542" s="297">
        <f t="shared" si="21"/>
        <v>-272.18</v>
      </c>
      <c r="I542" s="297"/>
    </row>
    <row r="543" spans="1:9" s="236" customFormat="1" x14ac:dyDescent="0.25">
      <c r="A543" s="300" t="s">
        <v>33</v>
      </c>
      <c r="B543" s="313">
        <v>2017</v>
      </c>
      <c r="C543" s="313">
        <v>2018</v>
      </c>
      <c r="D543" s="301">
        <v>2019</v>
      </c>
      <c r="E543" s="313">
        <v>2020</v>
      </c>
      <c r="F543" s="302">
        <v>2021</v>
      </c>
      <c r="G543" s="302">
        <v>2022</v>
      </c>
      <c r="H543" s="302">
        <v>2023</v>
      </c>
      <c r="I543" s="302">
        <v>2024</v>
      </c>
    </row>
    <row r="544" spans="1:9" s="236" customFormat="1" x14ac:dyDescent="0.25">
      <c r="A544" s="290" t="s">
        <v>34</v>
      </c>
      <c r="B544" s="290"/>
      <c r="C544" s="314"/>
      <c r="D544" s="314"/>
      <c r="E544" s="314"/>
      <c r="F544" s="314"/>
      <c r="G544" s="314"/>
      <c r="H544" s="314"/>
      <c r="I544" s="312"/>
    </row>
    <row r="545" spans="1:9" s="236" customFormat="1" x14ac:dyDescent="0.25">
      <c r="A545" s="316" t="s">
        <v>640</v>
      </c>
      <c r="B545" s="243"/>
      <c r="C545" s="235"/>
      <c r="D545" s="235"/>
      <c r="E545" s="235"/>
      <c r="F545" s="235"/>
      <c r="G545" s="235"/>
      <c r="H545" s="235"/>
      <c r="I545" s="303"/>
    </row>
    <row r="546" spans="1:9" s="236" customFormat="1" x14ac:dyDescent="0.25">
      <c r="A546" s="316" t="s">
        <v>641</v>
      </c>
      <c r="B546" s="243"/>
      <c r="C546" s="235"/>
      <c r="D546" s="235"/>
      <c r="E546" s="235"/>
      <c r="F546" s="235"/>
      <c r="G546" s="235"/>
      <c r="H546" s="235"/>
      <c r="I546" s="303"/>
    </row>
    <row r="547" spans="1:9" s="236" customFormat="1" x14ac:dyDescent="0.25">
      <c r="A547" s="316" t="s">
        <v>642</v>
      </c>
      <c r="B547" s="243"/>
      <c r="C547" s="235"/>
      <c r="D547" s="235"/>
      <c r="E547" s="235"/>
      <c r="F547" s="235"/>
      <c r="G547" s="235"/>
      <c r="H547" s="235"/>
      <c r="I547" s="303"/>
    </row>
    <row r="548" spans="1:9" s="236" customFormat="1" x14ac:dyDescent="0.25">
      <c r="A548" s="316" t="s">
        <v>643</v>
      </c>
      <c r="B548" s="243"/>
      <c r="C548" s="235"/>
      <c r="D548" s="235"/>
      <c r="E548" s="235"/>
      <c r="F548" s="235"/>
      <c r="G548" s="235"/>
      <c r="H548" s="235"/>
      <c r="I548" s="303"/>
    </row>
    <row r="549" spans="1:9" s="236" customFormat="1" x14ac:dyDescent="0.25">
      <c r="A549" s="316" t="s">
        <v>644</v>
      </c>
      <c r="B549" s="243"/>
      <c r="C549" s="235"/>
      <c r="D549" s="235"/>
      <c r="E549" s="235"/>
      <c r="F549" s="235"/>
      <c r="G549" s="235"/>
      <c r="H549" s="235"/>
      <c r="I549" s="303"/>
    </row>
    <row r="550" spans="1:9" s="236" customFormat="1" x14ac:dyDescent="0.25">
      <c r="A550" s="316" t="s">
        <v>645</v>
      </c>
      <c r="B550" s="243"/>
      <c r="C550" s="235"/>
      <c r="D550" s="235"/>
      <c r="E550" s="235"/>
      <c r="F550" s="235"/>
      <c r="G550" s="235"/>
      <c r="H550" s="235"/>
      <c r="I550" s="303"/>
    </row>
    <row r="551" spans="1:9" s="236" customFormat="1" x14ac:dyDescent="0.25">
      <c r="A551" s="316" t="s">
        <v>646</v>
      </c>
      <c r="B551" s="243"/>
      <c r="C551" s="235"/>
      <c r="D551" s="235"/>
      <c r="E551" s="235"/>
      <c r="F551" s="235"/>
      <c r="G551" s="235"/>
      <c r="H551" s="235"/>
      <c r="I551" s="303"/>
    </row>
    <row r="552" spans="1:9" s="236" customFormat="1" x14ac:dyDescent="0.25">
      <c r="A552" s="317" t="s">
        <v>839</v>
      </c>
      <c r="B552" s="304"/>
      <c r="C552" s="305"/>
      <c r="D552" s="305"/>
      <c r="E552" s="305"/>
      <c r="F552" s="305"/>
      <c r="G552" s="305"/>
      <c r="H552" s="305"/>
      <c r="I552" s="306"/>
    </row>
    <row r="553" spans="1:9" s="236" customFormat="1" x14ac:dyDescent="0.25">
      <c r="A553" s="235"/>
      <c r="B553" s="235"/>
      <c r="C553" s="235"/>
      <c r="D553" s="235"/>
      <c r="E553" s="235"/>
      <c r="F553" s="235"/>
      <c r="G553" s="235"/>
      <c r="H553" s="235"/>
      <c r="I553" s="235"/>
    </row>
    <row r="554" spans="1:9" s="236" customFormat="1" x14ac:dyDescent="0.25">
      <c r="A554" s="251" t="s">
        <v>14</v>
      </c>
      <c r="B554" s="252" t="s">
        <v>74</v>
      </c>
      <c r="C554" s="252" t="s">
        <v>152</v>
      </c>
      <c r="D554" s="235"/>
      <c r="E554" s="235"/>
      <c r="F554" s="235"/>
      <c r="G554" s="235"/>
      <c r="H554" s="235"/>
      <c r="I554" s="235"/>
    </row>
    <row r="555" spans="1:9" s="236" customFormat="1" x14ac:dyDescent="0.25">
      <c r="A555" s="290" t="s">
        <v>27</v>
      </c>
      <c r="B555" s="318">
        <v>2016</v>
      </c>
      <c r="C555" s="318">
        <v>2017</v>
      </c>
      <c r="D555" s="319">
        <v>2018</v>
      </c>
      <c r="E555" s="318">
        <v>2019</v>
      </c>
      <c r="F555" s="320">
        <v>2020</v>
      </c>
      <c r="G555" s="320">
        <v>2021</v>
      </c>
      <c r="H555" s="320">
        <v>2022</v>
      </c>
      <c r="I555" s="320">
        <v>2023</v>
      </c>
    </row>
    <row r="556" spans="1:9" s="236" customFormat="1" x14ac:dyDescent="0.25">
      <c r="A556" s="290" t="s">
        <v>28</v>
      </c>
      <c r="B556" s="294">
        <v>10</v>
      </c>
      <c r="C556" s="294">
        <v>10</v>
      </c>
      <c r="D556" s="294">
        <v>10</v>
      </c>
      <c r="E556" s="294">
        <v>10</v>
      </c>
      <c r="F556" s="294">
        <v>10</v>
      </c>
      <c r="G556" s="294">
        <v>10</v>
      </c>
      <c r="H556" s="294">
        <v>10</v>
      </c>
      <c r="I556" s="294">
        <v>10</v>
      </c>
    </row>
    <row r="557" spans="1:9" s="236" customFormat="1" x14ac:dyDescent="0.25">
      <c r="A557" s="290" t="s">
        <v>29</v>
      </c>
      <c r="B557" s="297">
        <v>10</v>
      </c>
      <c r="C557" s="297">
        <f t="shared" ref="C557:G557" si="22">B560+10</f>
        <v>-31.037900001525877</v>
      </c>
      <c r="D557" s="297">
        <f t="shared" si="22"/>
        <v>-100.44840000534057</v>
      </c>
      <c r="E557" s="297">
        <f t="shared" si="22"/>
        <v>-131.83390000534058</v>
      </c>
      <c r="F557" s="297">
        <f t="shared" si="22"/>
        <v>-149.28490000534057</v>
      </c>
      <c r="G557" s="297">
        <f t="shared" si="22"/>
        <v>-157.49490000534058</v>
      </c>
      <c r="H557" s="297">
        <f>G560+10</f>
        <v>-171.18490000534058</v>
      </c>
      <c r="I557" s="297">
        <f>H560+10</f>
        <v>-171.69490000534057</v>
      </c>
    </row>
    <row r="558" spans="1:9" s="236" customFormat="1" x14ac:dyDescent="0.25">
      <c r="A558" s="290" t="s">
        <v>30</v>
      </c>
      <c r="B558" s="296"/>
      <c r="C558" s="296" t="s">
        <v>403</v>
      </c>
      <c r="D558" s="298" t="s">
        <v>404</v>
      </c>
      <c r="E558" s="296" t="s">
        <v>405</v>
      </c>
      <c r="F558" s="299" t="s">
        <v>406</v>
      </c>
      <c r="G558" s="299" t="s">
        <v>575</v>
      </c>
      <c r="H558" s="299" t="s">
        <v>618</v>
      </c>
      <c r="I558" s="299" t="s">
        <v>639</v>
      </c>
    </row>
    <row r="559" spans="1:9" s="236" customFormat="1" x14ac:dyDescent="0.25">
      <c r="A559" s="290" t="s">
        <v>31</v>
      </c>
      <c r="B559" s="321">
        <v>51.037900001525877</v>
      </c>
      <c r="C559" s="321">
        <v>79.410500003814704</v>
      </c>
      <c r="D559" s="321">
        <v>41.3855</v>
      </c>
      <c r="E559" s="322">
        <v>27.451000000000001</v>
      </c>
      <c r="F559" s="322">
        <v>18.21</v>
      </c>
      <c r="G559" s="295">
        <v>23.69</v>
      </c>
      <c r="H559" s="299">
        <v>10.51</v>
      </c>
      <c r="I559" s="299"/>
    </row>
    <row r="560" spans="1:9" s="236" customFormat="1" x14ac:dyDescent="0.25">
      <c r="A560" s="290" t="s">
        <v>32</v>
      </c>
      <c r="B560" s="297">
        <f>B557-B559</f>
        <v>-41.037900001525877</v>
      </c>
      <c r="C560" s="297">
        <f>C557-C559</f>
        <v>-110.44840000534057</v>
      </c>
      <c r="D560" s="297">
        <f t="shared" ref="D560:F560" si="23">D557-D559</f>
        <v>-141.83390000534058</v>
      </c>
      <c r="E560" s="297">
        <f t="shared" si="23"/>
        <v>-159.28490000534057</v>
      </c>
      <c r="F560" s="297">
        <f t="shared" si="23"/>
        <v>-167.49490000534058</v>
      </c>
      <c r="G560" s="297">
        <f>G557-G559</f>
        <v>-181.18490000534058</v>
      </c>
      <c r="H560" s="297">
        <f>H557-H559</f>
        <v>-181.69490000534057</v>
      </c>
      <c r="I560" s="297"/>
    </row>
    <row r="561" spans="1:11" s="236" customFormat="1" x14ac:dyDescent="0.25">
      <c r="A561" s="300" t="s">
        <v>33</v>
      </c>
      <c r="B561" s="513">
        <v>2017</v>
      </c>
      <c r="C561" s="513">
        <v>2018</v>
      </c>
      <c r="D561" s="514">
        <v>2019</v>
      </c>
      <c r="E561" s="513">
        <v>2020</v>
      </c>
      <c r="F561" s="515">
        <v>2021</v>
      </c>
      <c r="G561" s="515">
        <v>2022</v>
      </c>
      <c r="H561" s="515">
        <v>2023</v>
      </c>
      <c r="I561" s="515">
        <v>2024</v>
      </c>
    </row>
    <row r="562" spans="1:11" s="236" customFormat="1" x14ac:dyDescent="0.25">
      <c r="A562" s="290" t="s">
        <v>34</v>
      </c>
      <c r="B562" s="314"/>
      <c r="C562" s="314"/>
      <c r="D562" s="314"/>
      <c r="E562" s="314"/>
      <c r="F562" s="314"/>
      <c r="G562" s="314"/>
      <c r="H562" s="314"/>
      <c r="I562" s="312"/>
    </row>
    <row r="563" spans="1:11" s="236" customFormat="1" x14ac:dyDescent="0.25">
      <c r="A563" s="315" t="s">
        <v>647</v>
      </c>
      <c r="B563" s="301"/>
      <c r="C563" s="301"/>
      <c r="D563" s="301"/>
      <c r="E563" s="301"/>
      <c r="F563" s="301"/>
      <c r="G563" s="301"/>
      <c r="H563" s="301"/>
      <c r="I563" s="302"/>
    </row>
    <row r="564" spans="1:11" s="236" customFormat="1" x14ac:dyDescent="0.25">
      <c r="A564" s="316" t="s">
        <v>648</v>
      </c>
      <c r="B564" s="235"/>
      <c r="C564" s="235"/>
      <c r="D564" s="235"/>
      <c r="E564" s="235"/>
      <c r="F564" s="235"/>
      <c r="G564" s="235"/>
      <c r="H564" s="235"/>
      <c r="I564" s="303"/>
    </row>
    <row r="565" spans="1:11" s="236" customFormat="1" x14ac:dyDescent="0.25">
      <c r="A565" s="316" t="s">
        <v>649</v>
      </c>
      <c r="B565" s="235"/>
      <c r="C565" s="235"/>
      <c r="D565" s="235"/>
      <c r="E565" s="235"/>
      <c r="F565" s="235"/>
      <c r="G565" s="235"/>
      <c r="H565" s="235"/>
      <c r="I565" s="303"/>
    </row>
    <row r="566" spans="1:11" s="236" customFormat="1" x14ac:dyDescent="0.25">
      <c r="A566" s="316" t="s">
        <v>650</v>
      </c>
      <c r="B566" s="235"/>
      <c r="C566" s="235"/>
      <c r="D566" s="235"/>
      <c r="E566" s="235"/>
      <c r="F566" s="235"/>
      <c r="G566" s="235"/>
      <c r="H566" s="235"/>
      <c r="I566" s="303"/>
    </row>
    <row r="567" spans="1:11" s="236" customFormat="1" x14ac:dyDescent="0.25">
      <c r="A567" s="316" t="s">
        <v>651</v>
      </c>
      <c r="B567" s="235"/>
      <c r="C567" s="235"/>
      <c r="D567" s="235"/>
      <c r="E567" s="235"/>
      <c r="F567" s="235"/>
      <c r="G567" s="235"/>
      <c r="H567" s="235"/>
      <c r="I567" s="303"/>
    </row>
    <row r="568" spans="1:11" s="236" customFormat="1" x14ac:dyDescent="0.25">
      <c r="A568" s="316" t="s">
        <v>652</v>
      </c>
      <c r="B568" s="235"/>
      <c r="C568" s="235"/>
      <c r="D568" s="235"/>
      <c r="E568" s="235"/>
      <c r="F568" s="235"/>
      <c r="G568" s="235"/>
      <c r="H568" s="235"/>
      <c r="I568" s="303"/>
    </row>
    <row r="569" spans="1:11" s="236" customFormat="1" x14ac:dyDescent="0.25">
      <c r="A569" s="317" t="s">
        <v>840</v>
      </c>
      <c r="B569" s="305"/>
      <c r="C569" s="305"/>
      <c r="D569" s="305"/>
      <c r="E569" s="305"/>
      <c r="F569" s="305"/>
      <c r="G569" s="305"/>
      <c r="H569" s="305"/>
      <c r="I569" s="306"/>
    </row>
    <row r="570" spans="1:11" x14ac:dyDescent="0.25">
      <c r="A570" s="222"/>
      <c r="B570" s="222"/>
      <c r="C570" s="222"/>
      <c r="D570" s="222"/>
      <c r="E570" s="222"/>
      <c r="F570" s="222"/>
      <c r="G570" s="222"/>
      <c r="H570" s="222"/>
      <c r="I570" s="222"/>
    </row>
    <row r="571" spans="1:11" x14ac:dyDescent="0.25">
      <c r="A571" s="222"/>
      <c r="B571" s="222"/>
      <c r="C571" s="222"/>
      <c r="D571" s="222"/>
      <c r="E571" s="222"/>
      <c r="F571" s="222"/>
      <c r="G571" s="222"/>
      <c r="H571" s="222"/>
      <c r="I571" s="222"/>
    </row>
    <row r="572" spans="1:11" x14ac:dyDescent="0.25">
      <c r="A572" s="559" t="s">
        <v>12</v>
      </c>
      <c r="B572" s="560" t="s">
        <v>246</v>
      </c>
      <c r="C572" s="222"/>
      <c r="D572" s="222"/>
      <c r="E572" s="222"/>
      <c r="F572" s="222"/>
      <c r="G572" s="222"/>
      <c r="H572" s="222"/>
      <c r="I572" s="222"/>
    </row>
    <row r="573" spans="1:11" x14ac:dyDescent="0.25">
      <c r="A573" s="557" t="s">
        <v>14</v>
      </c>
      <c r="B573" s="558" t="s">
        <v>637</v>
      </c>
      <c r="C573" s="252" t="s">
        <v>152</v>
      </c>
      <c r="D573" s="254"/>
      <c r="E573" s="254"/>
      <c r="F573" s="254"/>
      <c r="G573" s="254"/>
      <c r="H573" s="222"/>
      <c r="I573" s="222"/>
    </row>
    <row r="574" spans="1:11" x14ac:dyDescent="0.25">
      <c r="A574" s="323" t="s">
        <v>16</v>
      </c>
      <c r="B574" s="324"/>
      <c r="C574" s="325">
        <v>2015</v>
      </c>
      <c r="D574" s="325">
        <v>2016</v>
      </c>
      <c r="E574" s="325" t="s">
        <v>242</v>
      </c>
      <c r="F574" s="325" t="s">
        <v>243</v>
      </c>
      <c r="G574" s="325" t="s">
        <v>244</v>
      </c>
      <c r="H574" s="325" t="s">
        <v>287</v>
      </c>
      <c r="I574" s="325" t="s">
        <v>512</v>
      </c>
      <c r="J574" s="325" t="s">
        <v>699</v>
      </c>
      <c r="K574" s="325" t="s">
        <v>887</v>
      </c>
    </row>
    <row r="575" spans="1:11" x14ac:dyDescent="0.25">
      <c r="A575" s="255" t="s">
        <v>17</v>
      </c>
      <c r="B575" s="326"/>
      <c r="C575" s="327">
        <v>50</v>
      </c>
      <c r="D575" s="327">
        <v>50</v>
      </c>
      <c r="E575" s="327">
        <v>50</v>
      </c>
      <c r="F575" s="327">
        <v>50</v>
      </c>
      <c r="G575" s="327">
        <v>50</v>
      </c>
      <c r="H575" s="327">
        <v>50</v>
      </c>
      <c r="I575" s="327">
        <v>50</v>
      </c>
      <c r="J575" s="327">
        <v>50</v>
      </c>
      <c r="K575" s="327">
        <v>50</v>
      </c>
    </row>
    <row r="576" spans="1:11" x14ac:dyDescent="0.25">
      <c r="A576" s="255" t="s">
        <v>18</v>
      </c>
      <c r="B576" s="328"/>
      <c r="C576" s="327">
        <v>75</v>
      </c>
      <c r="D576" s="327">
        <v>75</v>
      </c>
      <c r="E576" s="327">
        <v>75</v>
      </c>
      <c r="F576" s="327">
        <v>70</v>
      </c>
      <c r="G576" s="327">
        <v>70</v>
      </c>
      <c r="H576" s="327">
        <f>H575+F579</f>
        <v>62.6</v>
      </c>
      <c r="I576" s="327">
        <v>70</v>
      </c>
      <c r="J576" s="327">
        <v>70</v>
      </c>
      <c r="K576" s="327">
        <v>70</v>
      </c>
    </row>
    <row r="577" spans="1:11" x14ac:dyDescent="0.25">
      <c r="A577" s="255" t="s">
        <v>19</v>
      </c>
      <c r="B577" s="329"/>
      <c r="C577" s="330" t="s">
        <v>141</v>
      </c>
      <c r="D577" s="330" t="s">
        <v>141</v>
      </c>
      <c r="E577" s="330" t="s">
        <v>141</v>
      </c>
      <c r="F577" s="331" t="s">
        <v>245</v>
      </c>
      <c r="G577" s="331" t="s">
        <v>245</v>
      </c>
      <c r="H577" s="330" t="s">
        <v>330</v>
      </c>
      <c r="I577" s="330" t="s">
        <v>596</v>
      </c>
      <c r="J577" s="330" t="s">
        <v>955</v>
      </c>
      <c r="K577" s="330" t="s">
        <v>956</v>
      </c>
    </row>
    <row r="578" spans="1:11" x14ac:dyDescent="0.25">
      <c r="A578" s="255" t="s">
        <v>20</v>
      </c>
      <c r="B578" s="326"/>
      <c r="C578" s="327">
        <v>0</v>
      </c>
      <c r="D578" s="327">
        <v>27.449000000000002</v>
      </c>
      <c r="E578" s="327">
        <v>21.13</v>
      </c>
      <c r="F578" s="327">
        <v>57.4</v>
      </c>
      <c r="G578" s="327">
        <v>21.8</v>
      </c>
      <c r="H578" s="327">
        <v>27.576000000000001</v>
      </c>
      <c r="I578" s="327">
        <v>0</v>
      </c>
      <c r="J578" s="327">
        <v>0</v>
      </c>
      <c r="K578" s="327"/>
    </row>
    <row r="579" spans="1:11" x14ac:dyDescent="0.25">
      <c r="A579" s="255" t="s">
        <v>21</v>
      </c>
      <c r="B579" s="326"/>
      <c r="C579" s="327">
        <v>75</v>
      </c>
      <c r="D579" s="327">
        <f>D576-D578</f>
        <v>47.551000000000002</v>
      </c>
      <c r="E579" s="327">
        <f>E576-E578</f>
        <v>53.870000000000005</v>
      </c>
      <c r="F579" s="327">
        <f>F576-F578</f>
        <v>12.600000000000001</v>
      </c>
      <c r="G579" s="327">
        <f>G576-G578</f>
        <v>48.2</v>
      </c>
      <c r="H579" s="327">
        <f>H576-H578</f>
        <v>35.024000000000001</v>
      </c>
      <c r="I579" s="327">
        <f t="shared" ref="I579:J579" si="24">I576-I578</f>
        <v>70</v>
      </c>
      <c r="J579" s="327">
        <f t="shared" si="24"/>
        <v>70</v>
      </c>
      <c r="K579" s="327"/>
    </row>
    <row r="580" spans="1:11" x14ac:dyDescent="0.25">
      <c r="A580" s="258" t="s">
        <v>22</v>
      </c>
      <c r="B580" s="259"/>
      <c r="C580" s="332">
        <v>2017</v>
      </c>
      <c r="D580" s="332">
        <v>2018</v>
      </c>
      <c r="E580" s="332">
        <v>2019</v>
      </c>
      <c r="F580" s="332">
        <v>2020</v>
      </c>
      <c r="G580" s="332">
        <v>2021</v>
      </c>
      <c r="H580" s="332">
        <v>2022</v>
      </c>
      <c r="I580" s="332">
        <v>2023</v>
      </c>
      <c r="J580" s="332">
        <v>2024</v>
      </c>
      <c r="K580" s="332">
        <v>2025</v>
      </c>
    </row>
    <row r="581" spans="1:11" x14ac:dyDescent="0.25">
      <c r="A581" s="258" t="s">
        <v>510</v>
      </c>
      <c r="B581" s="260"/>
      <c r="C581" s="423"/>
      <c r="D581" s="423"/>
      <c r="E581" s="423"/>
      <c r="F581" s="423"/>
      <c r="G581" s="423"/>
      <c r="H581" s="423"/>
      <c r="I581" s="423"/>
      <c r="J581" s="423"/>
      <c r="K581" s="546"/>
    </row>
    <row r="582" spans="1:11" x14ac:dyDescent="0.25">
      <c r="A582" s="547" t="s">
        <v>957</v>
      </c>
      <c r="B582" s="548"/>
      <c r="C582" s="548"/>
      <c r="D582" s="548"/>
      <c r="E582" s="548"/>
      <c r="F582" s="548"/>
      <c r="G582" s="548"/>
      <c r="H582" s="548"/>
      <c r="I582" s="548"/>
      <c r="J582" s="548"/>
      <c r="K582" s="549"/>
    </row>
    <row r="583" spans="1:11" x14ac:dyDescent="0.25">
      <c r="A583" s="307"/>
      <c r="B583" s="307"/>
      <c r="C583" s="307"/>
      <c r="D583" s="307"/>
      <c r="E583" s="307"/>
      <c r="F583" s="307"/>
      <c r="G583" s="307"/>
      <c r="H583" s="222"/>
      <c r="I583" s="222"/>
    </row>
    <row r="584" spans="1:11" x14ac:dyDescent="0.25">
      <c r="A584" s="251" t="s">
        <v>14</v>
      </c>
      <c r="B584" s="252" t="s">
        <v>660</v>
      </c>
      <c r="C584" s="252" t="s">
        <v>152</v>
      </c>
      <c r="D584" s="254"/>
      <c r="E584" s="254"/>
      <c r="F584" s="254"/>
      <c r="G584" s="254"/>
      <c r="H584" s="222"/>
      <c r="I584" s="222"/>
    </row>
    <row r="585" spans="1:11" x14ac:dyDescent="0.25">
      <c r="A585" s="323" t="s">
        <v>16</v>
      </c>
      <c r="B585" s="324"/>
      <c r="C585" s="325">
        <v>2015</v>
      </c>
      <c r="D585" s="325">
        <v>2016</v>
      </c>
      <c r="E585" s="325" t="s">
        <v>242</v>
      </c>
      <c r="F585" s="325" t="s">
        <v>243</v>
      </c>
      <c r="G585" s="325" t="s">
        <v>244</v>
      </c>
      <c r="H585" s="325" t="s">
        <v>287</v>
      </c>
      <c r="I585" s="325" t="s">
        <v>512</v>
      </c>
      <c r="J585" s="325" t="s">
        <v>699</v>
      </c>
      <c r="K585" s="325" t="s">
        <v>887</v>
      </c>
    </row>
    <row r="586" spans="1:11" x14ac:dyDescent="0.25">
      <c r="A586" s="255" t="s">
        <v>17</v>
      </c>
      <c r="B586" s="326"/>
      <c r="C586" s="327">
        <v>125</v>
      </c>
      <c r="D586" s="327">
        <v>125</v>
      </c>
      <c r="E586" s="327">
        <v>125</v>
      </c>
      <c r="F586" s="327">
        <v>125</v>
      </c>
      <c r="G586" s="327">
        <v>125</v>
      </c>
      <c r="H586" s="327">
        <v>125</v>
      </c>
      <c r="I586" s="327">
        <v>125</v>
      </c>
      <c r="J586" s="327">
        <v>125</v>
      </c>
      <c r="K586" s="327">
        <v>125</v>
      </c>
    </row>
    <row r="587" spans="1:11" x14ac:dyDescent="0.25">
      <c r="A587" s="255" t="s">
        <v>18</v>
      </c>
      <c r="B587" s="328"/>
      <c r="C587" s="327">
        <f>C586*1.3</f>
        <v>162.5</v>
      </c>
      <c r="D587" s="327">
        <f>D586*1.3+25</f>
        <v>187.5</v>
      </c>
      <c r="E587" s="327">
        <f t="shared" ref="E587" si="25">E586*1.3+25</f>
        <v>187.5</v>
      </c>
      <c r="F587" s="327">
        <f>F586*1.2+25</f>
        <v>175</v>
      </c>
      <c r="G587" s="327">
        <f t="shared" ref="G587:H587" si="26">G586*1.2+25</f>
        <v>175</v>
      </c>
      <c r="H587" s="327">
        <f t="shared" si="26"/>
        <v>175</v>
      </c>
      <c r="I587" s="327">
        <v>150</v>
      </c>
      <c r="J587" s="327">
        <v>150</v>
      </c>
      <c r="K587" s="327">
        <v>150</v>
      </c>
    </row>
    <row r="588" spans="1:11" x14ac:dyDescent="0.25">
      <c r="A588" s="255" t="s">
        <v>19</v>
      </c>
      <c r="B588" s="329"/>
      <c r="C588" s="330" t="s">
        <v>334</v>
      </c>
      <c r="D588" s="330" t="s">
        <v>335</v>
      </c>
      <c r="E588" s="330" t="s">
        <v>335</v>
      </c>
      <c r="F588" s="330" t="s">
        <v>336</v>
      </c>
      <c r="G588" s="330" t="s">
        <v>336</v>
      </c>
      <c r="H588" s="330" t="s">
        <v>336</v>
      </c>
      <c r="I588" s="330" t="s">
        <v>597</v>
      </c>
      <c r="J588" s="330" t="s">
        <v>597</v>
      </c>
      <c r="K588" s="330" t="s">
        <v>597</v>
      </c>
    </row>
    <row r="589" spans="1:11" x14ac:dyDescent="0.25">
      <c r="A589" s="255" t="s">
        <v>20</v>
      </c>
      <c r="B589" s="326"/>
      <c r="C589" s="327">
        <v>41.9</v>
      </c>
      <c r="D589" s="327">
        <v>25.21</v>
      </c>
      <c r="E589" s="327">
        <v>16.8</v>
      </c>
      <c r="F589" s="327">
        <v>46.8</v>
      </c>
      <c r="G589" s="327">
        <v>101.46</v>
      </c>
      <c r="H589" s="327">
        <v>17.2</v>
      </c>
      <c r="I589" s="327">
        <v>0</v>
      </c>
      <c r="J589" s="327">
        <v>23.78</v>
      </c>
      <c r="K589" s="327"/>
    </row>
    <row r="590" spans="1:11" x14ac:dyDescent="0.25">
      <c r="A590" s="255" t="s">
        <v>21</v>
      </c>
      <c r="B590" s="326"/>
      <c r="C590" s="327">
        <f>C587-C589</f>
        <v>120.6</v>
      </c>
      <c r="D590" s="327">
        <f t="shared" ref="D590:G590" si="27">D587-D589</f>
        <v>162.29</v>
      </c>
      <c r="E590" s="327">
        <f t="shared" si="27"/>
        <v>170.7</v>
      </c>
      <c r="F590" s="327">
        <f t="shared" si="27"/>
        <v>128.19999999999999</v>
      </c>
      <c r="G590" s="327">
        <f t="shared" si="27"/>
        <v>73.540000000000006</v>
      </c>
      <c r="H590" s="327">
        <f>H587-H589</f>
        <v>157.80000000000001</v>
      </c>
      <c r="I590" s="327">
        <f t="shared" ref="I590:J590" si="28">I587-I589</f>
        <v>150</v>
      </c>
      <c r="J590" s="327">
        <f t="shared" si="28"/>
        <v>126.22</v>
      </c>
      <c r="K590" s="327"/>
    </row>
    <row r="591" spans="1:11" x14ac:dyDescent="0.25">
      <c r="A591" s="258" t="s">
        <v>22</v>
      </c>
      <c r="B591" s="259"/>
      <c r="C591" s="332">
        <v>2017</v>
      </c>
      <c r="D591" s="332">
        <v>2018</v>
      </c>
      <c r="E591" s="332">
        <v>2019</v>
      </c>
      <c r="F591" s="332">
        <v>2020</v>
      </c>
      <c r="G591" s="332">
        <v>2021</v>
      </c>
      <c r="H591" s="332">
        <v>2022</v>
      </c>
      <c r="I591" s="332">
        <v>2023</v>
      </c>
      <c r="J591" s="332">
        <v>2024</v>
      </c>
      <c r="K591" s="332">
        <v>2025</v>
      </c>
    </row>
    <row r="592" spans="1:11" ht="12.75" customHeight="1" x14ac:dyDescent="0.25">
      <c r="A592" s="333" t="s">
        <v>332</v>
      </c>
      <c r="B592" s="333"/>
      <c r="C592" s="334"/>
      <c r="D592" s="334"/>
      <c r="E592" s="334"/>
      <c r="F592" s="334"/>
      <c r="G592" s="334"/>
      <c r="H592" s="334"/>
      <c r="I592" s="220"/>
      <c r="J592" s="30"/>
      <c r="K592" s="31"/>
    </row>
    <row r="593" spans="1:16" x14ac:dyDescent="0.25">
      <c r="A593" s="335" t="s">
        <v>333</v>
      </c>
      <c r="B593" s="550"/>
      <c r="C593" s="307"/>
      <c r="D593" s="307"/>
      <c r="E593" s="307"/>
      <c r="F593" s="307"/>
      <c r="G593" s="307"/>
      <c r="H593" s="222"/>
      <c r="I593" s="222"/>
      <c r="K593" s="21"/>
    </row>
    <row r="594" spans="1:16" ht="13.2" customHeight="1" x14ac:dyDescent="0.25">
      <c r="A594" s="335" t="s">
        <v>331</v>
      </c>
      <c r="B594" s="550"/>
      <c r="C594" s="307"/>
      <c r="D594" s="307"/>
      <c r="E594" s="307"/>
      <c r="F594" s="307"/>
      <c r="G594" s="307"/>
      <c r="H594" s="222"/>
      <c r="I594" s="222"/>
      <c r="K594" s="21"/>
    </row>
    <row r="595" spans="1:16" x14ac:dyDescent="0.25">
      <c r="A595" s="336"/>
      <c r="B595" s="336"/>
      <c r="C595" s="337"/>
      <c r="D595" s="337"/>
      <c r="E595" s="337"/>
      <c r="F595" s="337"/>
      <c r="G595" s="337"/>
      <c r="H595" s="224"/>
      <c r="I595" s="224"/>
      <c r="J595" s="33"/>
      <c r="K595" s="34"/>
    </row>
    <row r="596" spans="1:16" x14ac:dyDescent="0.25">
      <c r="A596" s="307"/>
      <c r="B596" s="307"/>
      <c r="C596" s="307"/>
      <c r="D596" s="307"/>
      <c r="E596" s="307"/>
      <c r="F596" s="307"/>
      <c r="G596" s="307"/>
      <c r="H596" s="222"/>
      <c r="I596" s="222"/>
    </row>
    <row r="597" spans="1:16" x14ac:dyDescent="0.25">
      <c r="A597" s="307"/>
      <c r="B597" s="307"/>
      <c r="C597" s="307"/>
      <c r="D597" s="307"/>
      <c r="E597" s="307"/>
      <c r="F597" s="307"/>
      <c r="G597" s="307"/>
      <c r="H597" s="222"/>
      <c r="I597" s="222"/>
    </row>
    <row r="598" spans="1:16" x14ac:dyDescent="0.25">
      <c r="A598" s="559" t="s">
        <v>12</v>
      </c>
      <c r="B598" s="560" t="s">
        <v>617</v>
      </c>
      <c r="C598" s="222"/>
      <c r="D598" s="222"/>
      <c r="E598" s="222"/>
      <c r="F598" s="222"/>
      <c r="G598" s="222"/>
      <c r="H598" s="222"/>
      <c r="I598" s="222"/>
      <c r="J598" s="222"/>
      <c r="K598" s="222"/>
      <c r="L598" s="222"/>
      <c r="M598" s="222"/>
      <c r="N598" s="222"/>
      <c r="O598" s="222"/>
      <c r="P598" s="222"/>
    </row>
    <row r="599" spans="1:16" x14ac:dyDescent="0.25">
      <c r="A599" s="561" t="s">
        <v>14</v>
      </c>
      <c r="B599" s="562" t="s">
        <v>74</v>
      </c>
      <c r="C599" s="338" t="s">
        <v>152</v>
      </c>
      <c r="D599" s="254"/>
      <c r="E599" s="254"/>
      <c r="F599" s="254"/>
      <c r="G599" s="254"/>
      <c r="H599" s="222"/>
      <c r="I599" s="222"/>
      <c r="J599" s="222"/>
      <c r="K599" s="222"/>
      <c r="L599" s="222"/>
      <c r="M599" s="222"/>
      <c r="N599" s="222"/>
      <c r="O599" s="222"/>
      <c r="P599" s="222"/>
    </row>
    <row r="600" spans="1:16" x14ac:dyDescent="0.25">
      <c r="A600" s="255" t="s">
        <v>16</v>
      </c>
      <c r="B600" s="339">
        <v>2016</v>
      </c>
      <c r="C600" s="339">
        <v>2017</v>
      </c>
      <c r="D600" s="339">
        <v>2018</v>
      </c>
      <c r="E600" s="339">
        <v>2019</v>
      </c>
      <c r="F600" s="339">
        <v>2020</v>
      </c>
      <c r="G600" s="339">
        <v>2021</v>
      </c>
      <c r="H600" s="339">
        <v>2022</v>
      </c>
      <c r="I600" s="339">
        <v>2023</v>
      </c>
      <c r="J600" s="339">
        <v>2024</v>
      </c>
      <c r="K600" s="339">
        <v>2025</v>
      </c>
      <c r="L600" s="339">
        <v>2026</v>
      </c>
      <c r="M600" s="339">
        <v>2027</v>
      </c>
      <c r="N600" s="339">
        <v>2028</v>
      </c>
      <c r="O600" s="339">
        <v>2029</v>
      </c>
      <c r="P600" s="339">
        <v>2030</v>
      </c>
    </row>
    <row r="601" spans="1:16" x14ac:dyDescent="0.25">
      <c r="A601" s="255" t="s">
        <v>17</v>
      </c>
      <c r="B601" s="327">
        <v>10</v>
      </c>
      <c r="C601" s="327">
        <v>10</v>
      </c>
      <c r="D601" s="327">
        <v>10</v>
      </c>
      <c r="E601" s="327">
        <v>10</v>
      </c>
      <c r="F601" s="327">
        <v>10</v>
      </c>
      <c r="G601" s="327">
        <v>10</v>
      </c>
      <c r="H601" s="327">
        <v>10</v>
      </c>
      <c r="I601" s="327">
        <v>10</v>
      </c>
      <c r="J601" s="327">
        <v>10</v>
      </c>
      <c r="K601" s="327">
        <v>10</v>
      </c>
      <c r="L601" s="327">
        <v>10</v>
      </c>
      <c r="M601" s="327">
        <v>10</v>
      </c>
      <c r="N601" s="327">
        <v>10</v>
      </c>
      <c r="O601" s="327">
        <v>10</v>
      </c>
      <c r="P601" s="327">
        <v>10</v>
      </c>
    </row>
    <row r="602" spans="1:16" x14ac:dyDescent="0.25">
      <c r="A602" s="255" t="s">
        <v>18</v>
      </c>
      <c r="B602" s="327"/>
      <c r="C602" s="327"/>
      <c r="D602" s="327">
        <f>C605+D601</f>
        <v>-28</v>
      </c>
      <c r="E602" s="327">
        <f t="shared" ref="E602:G602" si="29">D605+E601</f>
        <v>-20.3</v>
      </c>
      <c r="F602" s="327">
        <f t="shared" si="29"/>
        <v>-30.6</v>
      </c>
      <c r="G602" s="327">
        <f t="shared" si="29"/>
        <v>-20.6</v>
      </c>
      <c r="H602" s="327">
        <f>-2.53+H601</f>
        <v>7.4700000000000006</v>
      </c>
      <c r="I602" s="327">
        <f>-2.5+I601</f>
        <v>7.5</v>
      </c>
      <c r="J602" s="327">
        <f t="shared" ref="J602:P602" si="30">-2.5+J601</f>
        <v>7.5</v>
      </c>
      <c r="K602" s="327">
        <f t="shared" si="30"/>
        <v>7.5</v>
      </c>
      <c r="L602" s="327">
        <f t="shared" si="30"/>
        <v>7.5</v>
      </c>
      <c r="M602" s="327">
        <f t="shared" si="30"/>
        <v>7.5</v>
      </c>
      <c r="N602" s="327">
        <f t="shared" si="30"/>
        <v>7.5</v>
      </c>
      <c r="O602" s="327">
        <f t="shared" si="30"/>
        <v>7.5</v>
      </c>
      <c r="P602" s="327">
        <f t="shared" si="30"/>
        <v>7.5</v>
      </c>
    </row>
    <row r="603" spans="1:16" x14ac:dyDescent="0.25">
      <c r="A603" s="255" t="s">
        <v>19</v>
      </c>
      <c r="B603" s="340"/>
      <c r="C603" s="340"/>
      <c r="D603" s="340"/>
      <c r="E603" s="340"/>
      <c r="F603" s="340"/>
      <c r="G603" s="340"/>
      <c r="H603" s="341" t="s">
        <v>552</v>
      </c>
      <c r="I603" s="341" t="s">
        <v>552</v>
      </c>
      <c r="J603" s="248" t="s">
        <v>552</v>
      </c>
      <c r="K603" s="248" t="s">
        <v>552</v>
      </c>
      <c r="L603" s="248" t="s">
        <v>552</v>
      </c>
      <c r="M603" s="248" t="s">
        <v>552</v>
      </c>
      <c r="N603" s="248" t="s">
        <v>552</v>
      </c>
      <c r="O603" s="248" t="s">
        <v>552</v>
      </c>
      <c r="P603" s="248" t="s">
        <v>552</v>
      </c>
    </row>
    <row r="604" spans="1:16" x14ac:dyDescent="0.25">
      <c r="A604" s="255" t="s">
        <v>20</v>
      </c>
      <c r="B604" s="327">
        <v>0</v>
      </c>
      <c r="C604" s="327">
        <v>48</v>
      </c>
      <c r="D604" s="327">
        <v>2.2999999999999998</v>
      </c>
      <c r="E604" s="327">
        <v>20.3</v>
      </c>
      <c r="F604" s="327">
        <v>0</v>
      </c>
      <c r="G604" s="327">
        <v>1.9330000000000001</v>
      </c>
      <c r="H604" s="327">
        <v>6.29</v>
      </c>
      <c r="I604" s="327"/>
      <c r="J604" s="29"/>
      <c r="K604" s="29"/>
      <c r="L604" s="29"/>
      <c r="M604" s="29"/>
      <c r="N604" s="29"/>
      <c r="O604" s="29"/>
      <c r="P604" s="29"/>
    </row>
    <row r="605" spans="1:16" x14ac:dyDescent="0.25">
      <c r="A605" s="255" t="s">
        <v>21</v>
      </c>
      <c r="B605" s="327">
        <f>B601-B604</f>
        <v>10</v>
      </c>
      <c r="C605" s="327">
        <f>C601-C604</f>
        <v>-38</v>
      </c>
      <c r="D605" s="327">
        <f>D602-D604</f>
        <v>-30.3</v>
      </c>
      <c r="E605" s="327">
        <f>E602-E604</f>
        <v>-40.6</v>
      </c>
      <c r="F605" s="327">
        <f>F602-F604</f>
        <v>-30.6</v>
      </c>
      <c r="G605" s="327">
        <f>G602-G604</f>
        <v>-22.533000000000001</v>
      </c>
      <c r="H605" s="327">
        <f>H602-H604</f>
        <v>1.1800000000000006</v>
      </c>
      <c r="I605" s="327"/>
      <c r="J605" s="202"/>
      <c r="K605" s="202"/>
      <c r="L605" s="202"/>
      <c r="M605" s="202"/>
      <c r="N605" s="202"/>
      <c r="O605" s="202"/>
      <c r="P605" s="202"/>
    </row>
    <row r="606" spans="1:16" x14ac:dyDescent="0.25">
      <c r="A606" s="258" t="s">
        <v>22</v>
      </c>
      <c r="B606" s="259">
        <v>2017</v>
      </c>
      <c r="C606" s="259">
        <v>2018</v>
      </c>
      <c r="D606" s="259">
        <v>2019</v>
      </c>
      <c r="E606" s="259">
        <v>2020</v>
      </c>
      <c r="F606" s="259">
        <v>2021</v>
      </c>
      <c r="G606" s="259">
        <v>2022</v>
      </c>
      <c r="H606" s="259">
        <v>2023</v>
      </c>
      <c r="I606" s="259">
        <v>2024</v>
      </c>
      <c r="J606" s="38">
        <v>2025</v>
      </c>
      <c r="K606" s="38">
        <v>2026</v>
      </c>
      <c r="L606" s="38">
        <v>2027</v>
      </c>
      <c r="M606" s="38">
        <v>2028</v>
      </c>
      <c r="N606" s="38">
        <v>2029</v>
      </c>
      <c r="O606" s="38">
        <v>2030</v>
      </c>
      <c r="P606" s="38">
        <v>2031</v>
      </c>
    </row>
    <row r="607" spans="1:16" x14ac:dyDescent="0.25">
      <c r="A607" s="258" t="s">
        <v>436</v>
      </c>
      <c r="B607" s="260"/>
      <c r="C607" s="260"/>
      <c r="D607" s="260"/>
      <c r="E607" s="260"/>
      <c r="F607" s="260"/>
      <c r="G607" s="260"/>
      <c r="H607" s="260"/>
      <c r="I607" s="220"/>
      <c r="J607" s="30"/>
      <c r="K607" s="30"/>
      <c r="L607" s="30"/>
      <c r="M607" s="30"/>
      <c r="N607" s="30"/>
      <c r="O607" s="30"/>
      <c r="P607" s="31"/>
    </row>
    <row r="608" spans="1:16" ht="12.75" customHeight="1" x14ac:dyDescent="0.25">
      <c r="A608" s="640" t="s">
        <v>761</v>
      </c>
      <c r="B608" s="641"/>
      <c r="C608" s="641"/>
      <c r="D608" s="641"/>
      <c r="E608" s="641"/>
      <c r="F608" s="641"/>
      <c r="G608" s="641"/>
      <c r="H608" s="641"/>
      <c r="I608" s="224"/>
      <c r="J608" s="33"/>
      <c r="K608" s="33"/>
      <c r="L608" s="33"/>
      <c r="M608" s="33"/>
      <c r="N608" s="33"/>
      <c r="O608" s="33"/>
      <c r="P608" s="34"/>
    </row>
    <row r="609" spans="1:9" x14ac:dyDescent="0.25">
      <c r="A609" s="222"/>
      <c r="B609" s="222"/>
      <c r="C609" s="222"/>
      <c r="D609" s="222"/>
      <c r="E609" s="222"/>
      <c r="F609" s="222"/>
      <c r="G609" s="222"/>
      <c r="H609" s="222"/>
      <c r="I609" s="222"/>
    </row>
    <row r="610" spans="1:9" x14ac:dyDescent="0.25">
      <c r="A610" s="307"/>
      <c r="B610" s="307"/>
      <c r="C610" s="307"/>
      <c r="D610" s="307"/>
      <c r="E610" s="307"/>
      <c r="F610" s="307"/>
      <c r="G610" s="307"/>
      <c r="H610" s="222"/>
      <c r="I610" s="222"/>
    </row>
    <row r="611" spans="1:9" x14ac:dyDescent="0.25">
      <c r="A611" s="307"/>
      <c r="B611" s="307"/>
      <c r="C611" s="307"/>
      <c r="D611" s="307"/>
      <c r="E611" s="307"/>
      <c r="F611" s="307"/>
      <c r="G611" s="307"/>
      <c r="H611" s="222"/>
      <c r="I611" s="222"/>
    </row>
    <row r="612" spans="1:9" x14ac:dyDescent="0.25">
      <c r="A612" s="559" t="s">
        <v>12</v>
      </c>
      <c r="B612" s="560" t="s">
        <v>733</v>
      </c>
      <c r="C612" s="222"/>
      <c r="D612" s="222"/>
      <c r="E612" s="222"/>
      <c r="F612" s="222"/>
      <c r="G612" s="222"/>
      <c r="H612" s="222"/>
      <c r="I612" s="222"/>
    </row>
    <row r="613" spans="1:9" x14ac:dyDescent="0.25">
      <c r="A613" s="557" t="s">
        <v>14</v>
      </c>
      <c r="B613" s="558" t="s">
        <v>661</v>
      </c>
      <c r="C613" s="252" t="s">
        <v>152</v>
      </c>
      <c r="D613" s="254"/>
      <c r="E613" s="254"/>
      <c r="F613" s="254"/>
      <c r="G613" s="254"/>
      <c r="H613" s="222"/>
      <c r="I613" s="222"/>
    </row>
    <row r="614" spans="1:9" x14ac:dyDescent="0.25">
      <c r="A614" s="323" t="s">
        <v>16</v>
      </c>
      <c r="B614" s="339"/>
      <c r="C614" s="339">
        <v>2021</v>
      </c>
      <c r="D614" s="339">
        <v>2022</v>
      </c>
      <c r="E614" s="339">
        <v>2023</v>
      </c>
      <c r="F614" s="222"/>
      <c r="G614" s="222"/>
      <c r="H614" s="222"/>
      <c r="I614" s="222"/>
    </row>
    <row r="615" spans="1:9" x14ac:dyDescent="0.25">
      <c r="A615" s="255" t="s">
        <v>17</v>
      </c>
      <c r="B615" s="327"/>
      <c r="C615" s="327">
        <v>330</v>
      </c>
      <c r="D615" s="327">
        <v>330</v>
      </c>
      <c r="E615" s="327">
        <v>513</v>
      </c>
      <c r="F615" s="222"/>
      <c r="G615" s="222"/>
      <c r="H615" s="222"/>
      <c r="I615" s="222"/>
    </row>
    <row r="616" spans="1:9" x14ac:dyDescent="0.25">
      <c r="A616" s="255" t="s">
        <v>18</v>
      </c>
      <c r="B616" s="327"/>
      <c r="C616" s="327"/>
      <c r="D616" s="327">
        <f>D615-259.62</f>
        <v>70.38</v>
      </c>
      <c r="E616" s="327">
        <f>E615-507.87</f>
        <v>5.1299999999999955</v>
      </c>
      <c r="F616" s="222"/>
      <c r="G616" s="222"/>
      <c r="H616" s="222"/>
      <c r="I616" s="222"/>
    </row>
    <row r="617" spans="1:9" x14ac:dyDescent="0.25">
      <c r="A617" s="255" t="s">
        <v>19</v>
      </c>
      <c r="B617" s="340"/>
      <c r="C617" s="340"/>
      <c r="D617" s="340"/>
      <c r="E617" s="340"/>
      <c r="F617" s="222"/>
      <c r="G617" s="222"/>
      <c r="H617" s="222"/>
      <c r="I617" s="222"/>
    </row>
    <row r="618" spans="1:9" x14ac:dyDescent="0.25">
      <c r="A618" s="255" t="s">
        <v>20</v>
      </c>
      <c r="B618" s="327"/>
      <c r="C618" s="327">
        <v>326.61</v>
      </c>
      <c r="D618" s="327">
        <v>67.08</v>
      </c>
      <c r="E618" s="327"/>
      <c r="F618" s="222"/>
      <c r="G618" s="222"/>
      <c r="H618" s="222"/>
      <c r="I618" s="222"/>
    </row>
    <row r="619" spans="1:9" x14ac:dyDescent="0.25">
      <c r="A619" s="255" t="s">
        <v>21</v>
      </c>
      <c r="B619" s="327"/>
      <c r="C619" s="327">
        <f>C615-C618</f>
        <v>3.3899999999999864</v>
      </c>
      <c r="D619" s="327">
        <f>D616-D618</f>
        <v>3.2999999999999972</v>
      </c>
      <c r="E619" s="327"/>
      <c r="F619" s="222"/>
      <c r="G619" s="222"/>
      <c r="H619" s="222"/>
      <c r="I619" s="222"/>
    </row>
    <row r="620" spans="1:9" x14ac:dyDescent="0.25">
      <c r="A620" s="258" t="s">
        <v>22</v>
      </c>
      <c r="B620" s="259"/>
      <c r="C620" s="259"/>
      <c r="D620" s="259"/>
      <c r="E620" s="259"/>
      <c r="F620" s="222"/>
      <c r="G620" s="222"/>
      <c r="H620" s="222"/>
      <c r="I620" s="222"/>
    </row>
    <row r="621" spans="1:9" ht="13.2" customHeight="1" x14ac:dyDescent="0.25">
      <c r="A621" s="518" t="s">
        <v>23</v>
      </c>
      <c r="B621" s="518"/>
      <c r="C621" s="518"/>
      <c r="D621" s="518"/>
      <c r="E621" s="518"/>
      <c r="F621" s="222"/>
      <c r="G621" s="222"/>
      <c r="H621" s="222"/>
      <c r="I621" s="222"/>
    </row>
    <row r="622" spans="1:9" x14ac:dyDescent="0.25">
      <c r="A622" s="258" t="s">
        <v>681</v>
      </c>
      <c r="B622" s="260"/>
      <c r="C622" s="260"/>
      <c r="D622" s="260"/>
      <c r="E622" s="519"/>
      <c r="F622" s="222"/>
      <c r="G622" s="222"/>
      <c r="H622" s="222"/>
      <c r="I622" s="222"/>
    </row>
    <row r="623" spans="1:9" x14ac:dyDescent="0.25">
      <c r="A623" s="640" t="s">
        <v>841</v>
      </c>
      <c r="B623" s="641"/>
      <c r="C623" s="641"/>
      <c r="D623" s="641"/>
      <c r="E623" s="407"/>
      <c r="F623" s="222"/>
      <c r="G623" s="222"/>
      <c r="H623" s="222"/>
      <c r="I623" s="222"/>
    </row>
    <row r="624" spans="1:9" x14ac:dyDescent="0.25">
      <c r="A624" s="35"/>
      <c r="B624" s="35"/>
      <c r="C624" s="35"/>
      <c r="D624" s="35"/>
      <c r="E624" s="28"/>
      <c r="F624" s="28"/>
      <c r="G624" s="28"/>
      <c r="H624" s="28"/>
    </row>
    <row r="626" spans="1:8" x14ac:dyDescent="0.25">
      <c r="A626" s="115" t="s">
        <v>12</v>
      </c>
      <c r="B626" s="560" t="s">
        <v>259</v>
      </c>
      <c r="C626" s="222"/>
      <c r="D626" s="222"/>
      <c r="E626" s="222"/>
    </row>
    <row r="627" spans="1:8" x14ac:dyDescent="0.25">
      <c r="A627" s="563" t="s">
        <v>14</v>
      </c>
      <c r="B627" s="558" t="s">
        <v>66</v>
      </c>
      <c r="C627" s="252" t="s">
        <v>152</v>
      </c>
      <c r="D627" s="254"/>
      <c r="E627" s="254"/>
      <c r="F627" s="7"/>
      <c r="G627" s="7"/>
    </row>
    <row r="628" spans="1:8" x14ac:dyDescent="0.25">
      <c r="A628" s="14" t="s">
        <v>16</v>
      </c>
      <c r="B628" s="343" t="s">
        <v>243</v>
      </c>
      <c r="C628" s="339" t="s">
        <v>244</v>
      </c>
      <c r="D628" s="339" t="s">
        <v>287</v>
      </c>
      <c r="E628" s="339" t="s">
        <v>605</v>
      </c>
      <c r="F628" s="339" t="s">
        <v>844</v>
      </c>
    </row>
    <row r="629" spans="1:8" x14ac:dyDescent="0.25">
      <c r="A629" s="8" t="s">
        <v>17</v>
      </c>
      <c r="B629" s="327" t="s">
        <v>47</v>
      </c>
      <c r="C629" s="327" t="s">
        <v>47</v>
      </c>
      <c r="D629" s="327">
        <v>1552.77</v>
      </c>
      <c r="E629" s="327">
        <v>1527.9256800000001</v>
      </c>
      <c r="F629" s="327">
        <v>1540.3478400000001</v>
      </c>
    </row>
    <row r="630" spans="1:8" x14ac:dyDescent="0.25">
      <c r="A630" s="8" t="s">
        <v>18</v>
      </c>
      <c r="B630" s="327" t="s">
        <v>47</v>
      </c>
      <c r="C630" s="327" t="s">
        <v>47</v>
      </c>
      <c r="D630" s="327"/>
      <c r="E630" s="327"/>
      <c r="F630" s="327"/>
    </row>
    <row r="631" spans="1:8" x14ac:dyDescent="0.25">
      <c r="A631" s="8" t="s">
        <v>19</v>
      </c>
      <c r="B631" s="340"/>
      <c r="C631" s="340"/>
      <c r="D631" s="340"/>
      <c r="E631" s="340"/>
      <c r="F631" s="340"/>
    </row>
    <row r="632" spans="1:8" x14ac:dyDescent="0.25">
      <c r="A632" s="8" t="s">
        <v>20</v>
      </c>
      <c r="B632" s="327">
        <v>2633.56</v>
      </c>
      <c r="C632" s="327">
        <v>2463.83</v>
      </c>
      <c r="D632" s="327">
        <v>1518</v>
      </c>
      <c r="E632" s="327">
        <v>1491.84</v>
      </c>
      <c r="F632" s="327">
        <v>1499.98</v>
      </c>
    </row>
    <row r="633" spans="1:8" x14ac:dyDescent="0.25">
      <c r="A633" s="8" t="s">
        <v>21</v>
      </c>
      <c r="B633" s="327" t="s">
        <v>47</v>
      </c>
      <c r="C633" s="327" t="s">
        <v>47</v>
      </c>
      <c r="D633" s="327">
        <f>D629-D632</f>
        <v>34.769999999999982</v>
      </c>
      <c r="E633" s="327">
        <f>E629-E632</f>
        <v>36.085680000000139</v>
      </c>
      <c r="F633" s="327">
        <f>F629-F632</f>
        <v>40.367840000000115</v>
      </c>
    </row>
    <row r="634" spans="1:8" x14ac:dyDescent="0.25">
      <c r="A634" s="37" t="s">
        <v>22</v>
      </c>
      <c r="B634" s="259"/>
      <c r="C634" s="259"/>
      <c r="D634" s="259"/>
      <c r="E634" s="259"/>
      <c r="F634" s="259"/>
    </row>
    <row r="635" spans="1:8" x14ac:dyDescent="0.25">
      <c r="A635" s="658" t="s">
        <v>842</v>
      </c>
      <c r="B635" s="659"/>
      <c r="C635" s="659"/>
      <c r="D635" s="659"/>
      <c r="E635" s="659"/>
      <c r="F635" s="520"/>
      <c r="G635" s="28"/>
      <c r="H635" s="28"/>
    </row>
    <row r="636" spans="1:8" x14ac:dyDescent="0.25">
      <c r="A636" s="20" t="s">
        <v>843</v>
      </c>
      <c r="F636" s="21"/>
    </row>
    <row r="637" spans="1:8" x14ac:dyDescent="0.25">
      <c r="A637" s="32" t="s">
        <v>845</v>
      </c>
      <c r="B637" s="33"/>
      <c r="C637" s="33"/>
      <c r="D637" s="33"/>
      <c r="E637" s="33"/>
      <c r="F637" s="34"/>
    </row>
    <row r="639" spans="1:8" ht="13.2" customHeight="1" x14ac:dyDescent="0.25"/>
    <row r="640" spans="1:8" x14ac:dyDescent="0.25">
      <c r="A640" s="115" t="s">
        <v>12</v>
      </c>
      <c r="B640" s="565" t="s">
        <v>39</v>
      </c>
    </row>
    <row r="641" spans="1:13" x14ac:dyDescent="0.25">
      <c r="A641" s="72" t="s">
        <v>14</v>
      </c>
      <c r="B641" s="564" t="s">
        <v>638</v>
      </c>
      <c r="C641" s="55" t="s">
        <v>15</v>
      </c>
    </row>
    <row r="642" spans="1:13" x14ac:dyDescent="0.25">
      <c r="A642" s="32" t="s">
        <v>16</v>
      </c>
      <c r="B642" s="102">
        <v>2014</v>
      </c>
      <c r="C642" s="51">
        <v>2015</v>
      </c>
      <c r="D642" s="51">
        <v>2016</v>
      </c>
      <c r="E642" s="51">
        <v>2017</v>
      </c>
      <c r="F642" s="51">
        <v>2018</v>
      </c>
      <c r="G642" s="51">
        <v>2019</v>
      </c>
      <c r="H642" s="51">
        <v>2020</v>
      </c>
      <c r="I642" s="51">
        <v>2021</v>
      </c>
      <c r="J642" s="51">
        <v>2022</v>
      </c>
      <c r="K642" s="51">
        <v>2023</v>
      </c>
    </row>
    <row r="643" spans="1:13" x14ac:dyDescent="0.25">
      <c r="A643" s="46" t="s">
        <v>17</v>
      </c>
      <c r="B643" s="60">
        <v>21551.3</v>
      </c>
      <c r="C643" s="60">
        <v>21551.3</v>
      </c>
      <c r="D643" s="60">
        <v>21551.3</v>
      </c>
      <c r="E643" s="60">
        <v>21551.3</v>
      </c>
      <c r="F643" s="60">
        <v>25861.599999999999</v>
      </c>
      <c r="G643" s="60">
        <v>25861.599999999999</v>
      </c>
      <c r="H643" s="60">
        <v>25861.599999999999</v>
      </c>
      <c r="I643" s="23">
        <v>29095.1</v>
      </c>
      <c r="J643" s="23">
        <v>29095.1</v>
      </c>
      <c r="K643" s="23">
        <v>29095.1</v>
      </c>
    </row>
    <row r="644" spans="1:13" x14ac:dyDescent="0.25">
      <c r="A644" s="46" t="s">
        <v>18</v>
      </c>
      <c r="B644" s="60">
        <v>26534.959999999999</v>
      </c>
      <c r="C644" s="60">
        <v>26939.13</v>
      </c>
      <c r="D644" s="60">
        <v>24541.7</v>
      </c>
      <c r="E644" s="60">
        <v>26939.125</v>
      </c>
      <c r="F644" s="60">
        <v>26094.649999999998</v>
      </c>
      <c r="G644" s="60">
        <v>29536.849000000002</v>
      </c>
      <c r="H644" s="60">
        <v>26869.420999999995</v>
      </c>
      <c r="I644" s="23">
        <f>I643+G647-434.04</f>
        <v>28121.021000000001</v>
      </c>
      <c r="J644" s="23">
        <f>J643+H647-0.0152*J643</f>
        <v>29941.571479999991</v>
      </c>
      <c r="K644" s="23">
        <f>K643+I647-0.0152*I643</f>
        <v>30678.782479999994</v>
      </c>
      <c r="L644" s="41"/>
      <c r="M644" s="41"/>
    </row>
    <row r="645" spans="1:13" ht="52.8" x14ac:dyDescent="0.25">
      <c r="A645" s="46" t="s">
        <v>19</v>
      </c>
      <c r="B645" s="61" t="s">
        <v>40</v>
      </c>
      <c r="C645" s="61" t="s">
        <v>41</v>
      </c>
      <c r="D645" s="61" t="s">
        <v>42</v>
      </c>
      <c r="E645" s="128" t="s">
        <v>43</v>
      </c>
      <c r="F645" s="128" t="s">
        <v>44</v>
      </c>
      <c r="G645" s="128" t="s">
        <v>45</v>
      </c>
      <c r="H645" s="128" t="s">
        <v>46</v>
      </c>
      <c r="I645" s="84" t="s">
        <v>479</v>
      </c>
      <c r="J645" s="84" t="s">
        <v>480</v>
      </c>
      <c r="K645" s="84" t="s">
        <v>653</v>
      </c>
    </row>
    <row r="646" spans="1:13" ht="12.6" customHeight="1" x14ac:dyDescent="0.25">
      <c r="A646" s="46" t="s">
        <v>20</v>
      </c>
      <c r="B646" s="23">
        <v>23544.560000000001</v>
      </c>
      <c r="C646" s="23">
        <v>20891.8</v>
      </c>
      <c r="D646" s="23">
        <v>24308.65</v>
      </c>
      <c r="E646" s="23">
        <v>23263.875999999997</v>
      </c>
      <c r="F646" s="23">
        <v>25086.829000000002</v>
      </c>
      <c r="G646" s="23">
        <v>30076.887999999999</v>
      </c>
      <c r="H646" s="23">
        <v>25580.704000000002</v>
      </c>
      <c r="I646" s="23">
        <v>26095.093000000004</v>
      </c>
      <c r="J646" s="23">
        <v>26844.75</v>
      </c>
      <c r="K646" s="23"/>
    </row>
    <row r="647" spans="1:13" x14ac:dyDescent="0.25">
      <c r="A647" s="46" t="s">
        <v>21</v>
      </c>
      <c r="B647" s="23">
        <v>2990.4</v>
      </c>
      <c r="C647" s="23">
        <v>6047.33</v>
      </c>
      <c r="D647" s="23">
        <v>233.04999999999927</v>
      </c>
      <c r="E647" s="23">
        <v>3675.2490000000034</v>
      </c>
      <c r="F647" s="23">
        <v>1007.8209999999963</v>
      </c>
      <c r="G647" s="23">
        <f>G644-G646</f>
        <v>-540.03899999999703</v>
      </c>
      <c r="H647" s="23">
        <f>H644-H646</f>
        <v>1288.7169999999933</v>
      </c>
      <c r="I647" s="23">
        <f>I644-I646</f>
        <v>2025.9279999999962</v>
      </c>
      <c r="J647" s="23">
        <f>J644-J646</f>
        <v>3096.8214799999914</v>
      </c>
      <c r="K647" s="23"/>
    </row>
    <row r="648" spans="1:13" x14ac:dyDescent="0.25">
      <c r="A648" s="49" t="s">
        <v>22</v>
      </c>
      <c r="B648" s="57">
        <v>2016</v>
      </c>
      <c r="C648" s="57">
        <v>2017</v>
      </c>
      <c r="D648" s="57">
        <v>2018</v>
      </c>
      <c r="E648" s="57">
        <v>2019</v>
      </c>
      <c r="F648" s="57">
        <v>2020</v>
      </c>
      <c r="G648" s="57">
        <v>2021</v>
      </c>
      <c r="H648" s="57">
        <v>2022</v>
      </c>
      <c r="I648" s="57">
        <v>2023</v>
      </c>
      <c r="J648" s="57">
        <v>2024</v>
      </c>
      <c r="K648" s="57">
        <v>2025</v>
      </c>
    </row>
    <row r="649" spans="1:13" x14ac:dyDescent="0.25">
      <c r="A649" s="49" t="s">
        <v>477</v>
      </c>
      <c r="B649" s="83"/>
      <c r="C649" s="83"/>
      <c r="D649" s="83"/>
      <c r="E649" s="83"/>
      <c r="F649" s="83"/>
      <c r="G649" s="83"/>
      <c r="H649" s="83"/>
      <c r="I649" s="83"/>
      <c r="J649" s="30"/>
      <c r="K649" s="31"/>
    </row>
    <row r="650" spans="1:13" x14ac:dyDescent="0.25">
      <c r="A650" s="20" t="s">
        <v>478</v>
      </c>
      <c r="B650" s="82"/>
      <c r="C650" s="82"/>
      <c r="D650" s="82"/>
      <c r="E650" s="82"/>
      <c r="F650" s="82"/>
      <c r="G650" s="82"/>
      <c r="H650" s="82"/>
      <c r="I650" s="82"/>
      <c r="K650" s="21"/>
    </row>
    <row r="651" spans="1:13" x14ac:dyDescent="0.25">
      <c r="A651" s="20" t="s">
        <v>481</v>
      </c>
      <c r="B651" s="82"/>
      <c r="C651" s="82"/>
      <c r="D651" s="82"/>
      <c r="E651" s="82"/>
      <c r="F651" s="82"/>
      <c r="G651" s="82"/>
      <c r="H651" s="82"/>
      <c r="I651" s="82"/>
      <c r="K651" s="21"/>
    </row>
    <row r="652" spans="1:13" x14ac:dyDescent="0.25">
      <c r="A652" s="20" t="s">
        <v>482</v>
      </c>
      <c r="B652" s="82"/>
      <c r="C652" s="82"/>
      <c r="D652" s="82"/>
      <c r="E652" s="82"/>
      <c r="F652" s="82"/>
      <c r="G652" s="82"/>
      <c r="H652" s="82"/>
      <c r="I652" s="82"/>
      <c r="K652" s="21"/>
    </row>
    <row r="653" spans="1:13" x14ac:dyDescent="0.25">
      <c r="A653" s="32" t="s">
        <v>654</v>
      </c>
      <c r="B653" s="85"/>
      <c r="C653" s="85"/>
      <c r="D653" s="85"/>
      <c r="E653" s="85"/>
      <c r="F653" s="85"/>
      <c r="G653" s="85"/>
      <c r="H653" s="85"/>
      <c r="I653" s="85"/>
      <c r="J653" s="33"/>
      <c r="K653" s="34"/>
    </row>
    <row r="655" spans="1:13" x14ac:dyDescent="0.25">
      <c r="A655" s="91" t="s">
        <v>14</v>
      </c>
      <c r="B655" s="103" t="s">
        <v>657</v>
      </c>
      <c r="C655" s="55" t="s">
        <v>15</v>
      </c>
    </row>
    <row r="656" spans="1:13" x14ac:dyDescent="0.25">
      <c r="A656" s="32" t="s">
        <v>16</v>
      </c>
      <c r="B656" s="102">
        <v>2014</v>
      </c>
      <c r="C656" s="51">
        <v>2015</v>
      </c>
      <c r="D656" s="51">
        <v>2016</v>
      </c>
      <c r="E656" s="51">
        <v>2017</v>
      </c>
      <c r="F656" s="51">
        <v>2018</v>
      </c>
      <c r="G656" s="51">
        <v>2019</v>
      </c>
      <c r="H656" s="51">
        <v>2020</v>
      </c>
      <c r="I656" s="51">
        <v>2021</v>
      </c>
      <c r="J656" s="51">
        <v>2022</v>
      </c>
      <c r="K656" s="51">
        <v>2023</v>
      </c>
    </row>
    <row r="657" spans="1:11" x14ac:dyDescent="0.25">
      <c r="A657" s="46" t="s">
        <v>17</v>
      </c>
      <c r="B657" s="60">
        <v>1470</v>
      </c>
      <c r="C657" s="60">
        <v>1470</v>
      </c>
      <c r="D657" s="60">
        <v>1470</v>
      </c>
      <c r="E657" s="60">
        <v>1470</v>
      </c>
      <c r="F657" s="60">
        <v>1470</v>
      </c>
      <c r="G657" s="60">
        <v>1470</v>
      </c>
      <c r="H657" s="60">
        <v>1470</v>
      </c>
      <c r="I657" s="23">
        <v>1470</v>
      </c>
      <c r="J657" s="23">
        <v>1470</v>
      </c>
      <c r="K657" s="45">
        <v>1765</v>
      </c>
    </row>
    <row r="658" spans="1:11" x14ac:dyDescent="0.25">
      <c r="A658" s="46" t="s">
        <v>18</v>
      </c>
      <c r="B658" s="60">
        <v>1470</v>
      </c>
      <c r="C658" s="60">
        <v>1719</v>
      </c>
      <c r="D658" s="60">
        <v>1837.5</v>
      </c>
      <c r="E658" s="60">
        <v>1837.5</v>
      </c>
      <c r="F658" s="60">
        <v>1837.5</v>
      </c>
      <c r="G658" s="60">
        <v>1837.5</v>
      </c>
      <c r="H658" s="60">
        <v>1837.5</v>
      </c>
      <c r="I658" s="60">
        <f>+I657+G657*0.25</f>
        <v>1837.5</v>
      </c>
      <c r="J658" s="60">
        <f>+J657+H657*0.25</f>
        <v>1837.5</v>
      </c>
      <c r="K658" s="344">
        <f>K657+I657*0.25</f>
        <v>2132.5</v>
      </c>
    </row>
    <row r="659" spans="1:11" ht="26.4" x14ac:dyDescent="0.25">
      <c r="A659" s="46" t="s">
        <v>19</v>
      </c>
      <c r="B659" s="61" t="s">
        <v>47</v>
      </c>
      <c r="C659" s="61" t="s">
        <v>48</v>
      </c>
      <c r="D659" s="61" t="s">
        <v>49</v>
      </c>
      <c r="E659" s="128" t="s">
        <v>43</v>
      </c>
      <c r="F659" s="128" t="s">
        <v>50</v>
      </c>
      <c r="G659" s="128" t="s">
        <v>51</v>
      </c>
      <c r="H659" s="128" t="s">
        <v>52</v>
      </c>
      <c r="I659" s="84" t="s">
        <v>264</v>
      </c>
      <c r="J659" s="84" t="s">
        <v>486</v>
      </c>
      <c r="K659" s="84" t="s">
        <v>737</v>
      </c>
    </row>
    <row r="660" spans="1:11" x14ac:dyDescent="0.25">
      <c r="A660" s="46" t="s">
        <v>20</v>
      </c>
      <c r="B660" s="23">
        <v>335.36</v>
      </c>
      <c r="C660" s="23">
        <v>472.71</v>
      </c>
      <c r="D660" s="23">
        <v>54.77</v>
      </c>
      <c r="E660" s="23">
        <v>178.2</v>
      </c>
      <c r="F660" s="23">
        <v>102.81099999999999</v>
      </c>
      <c r="G660" s="128">
        <v>81.733813276999982</v>
      </c>
      <c r="H660" s="23">
        <v>60.466000000000008</v>
      </c>
      <c r="I660" s="23">
        <v>70.94</v>
      </c>
      <c r="J660" s="23">
        <v>71.53</v>
      </c>
      <c r="K660" s="23"/>
    </row>
    <row r="661" spans="1:11" x14ac:dyDescent="0.25">
      <c r="A661" s="46" t="s">
        <v>21</v>
      </c>
      <c r="B661" s="23">
        <v>1135</v>
      </c>
      <c r="C661" s="23">
        <v>1246.29</v>
      </c>
      <c r="D661" s="23">
        <v>1782.73</v>
      </c>
      <c r="E661" s="23">
        <v>1659.3</v>
      </c>
      <c r="F661" s="23">
        <v>1734.6890000000001</v>
      </c>
      <c r="G661" s="128">
        <f>G658-G660</f>
        <v>1755.7661867229999</v>
      </c>
      <c r="H661" s="23">
        <f>H658-H660</f>
        <v>1777.0340000000001</v>
      </c>
      <c r="I661" s="23">
        <f>I658-I660</f>
        <v>1766.56</v>
      </c>
      <c r="J661" s="23">
        <f>J658-J660</f>
        <v>1765.97</v>
      </c>
      <c r="K661" s="23"/>
    </row>
    <row r="662" spans="1:11" x14ac:dyDescent="0.25">
      <c r="A662" s="49" t="s">
        <v>22</v>
      </c>
      <c r="B662" s="57">
        <v>2016</v>
      </c>
      <c r="C662" s="57">
        <v>2017</v>
      </c>
      <c r="D662" s="57">
        <v>2018</v>
      </c>
      <c r="E662" s="57">
        <v>2019</v>
      </c>
      <c r="F662" s="57">
        <v>2020</v>
      </c>
      <c r="G662" s="57">
        <v>2021</v>
      </c>
      <c r="H662" s="57">
        <v>2022</v>
      </c>
      <c r="I662" s="57">
        <v>2023</v>
      </c>
      <c r="J662" s="57">
        <v>2024</v>
      </c>
      <c r="K662" s="57">
        <v>2025</v>
      </c>
    </row>
    <row r="663" spans="1:11" x14ac:dyDescent="0.25">
      <c r="A663" s="49" t="s">
        <v>484</v>
      </c>
      <c r="B663" s="83"/>
      <c r="C663" s="83"/>
      <c r="D663" s="83"/>
      <c r="E663" s="83"/>
      <c r="F663" s="83"/>
      <c r="G663" s="83"/>
      <c r="H663" s="83"/>
      <c r="I663" s="83"/>
      <c r="J663" s="30"/>
      <c r="K663" s="31"/>
    </row>
    <row r="664" spans="1:11" x14ac:dyDescent="0.25">
      <c r="A664" s="20" t="s">
        <v>483</v>
      </c>
      <c r="K664" s="21"/>
    </row>
    <row r="665" spans="1:11" x14ac:dyDescent="0.25">
      <c r="A665" s="20" t="s">
        <v>485</v>
      </c>
      <c r="K665" s="21"/>
    </row>
    <row r="666" spans="1:11" x14ac:dyDescent="0.25">
      <c r="A666" s="32" t="s">
        <v>738</v>
      </c>
      <c r="B666" s="33"/>
      <c r="C666" s="33"/>
      <c r="D666" s="33"/>
      <c r="E666" s="33"/>
      <c r="F666" s="33"/>
      <c r="G666" s="33"/>
      <c r="H666" s="33"/>
      <c r="I666" s="33"/>
      <c r="J666" s="33"/>
      <c r="K666" s="34"/>
    </row>
    <row r="668" spans="1:11" x14ac:dyDescent="0.25">
      <c r="A668" s="91" t="s">
        <v>14</v>
      </c>
      <c r="B668" s="103" t="s">
        <v>637</v>
      </c>
      <c r="C668" s="55" t="s">
        <v>15</v>
      </c>
    </row>
    <row r="669" spans="1:11" x14ac:dyDescent="0.25">
      <c r="A669" s="32" t="s">
        <v>16</v>
      </c>
      <c r="B669" s="102">
        <v>2014</v>
      </c>
      <c r="C669" s="51">
        <v>2015</v>
      </c>
      <c r="D669" s="51">
        <v>2016</v>
      </c>
      <c r="E669" s="51">
        <v>2017</v>
      </c>
      <c r="F669" s="51">
        <v>2018</v>
      </c>
      <c r="G669" s="51">
        <v>2019</v>
      </c>
      <c r="H669" s="51">
        <v>2020</v>
      </c>
      <c r="I669" s="51">
        <v>2021</v>
      </c>
      <c r="J669" s="51">
        <v>2022</v>
      </c>
      <c r="K669" s="51">
        <v>2023</v>
      </c>
    </row>
    <row r="670" spans="1:11" x14ac:dyDescent="0.25">
      <c r="A670" s="46" t="s">
        <v>17</v>
      </c>
      <c r="B670" s="60">
        <v>6718</v>
      </c>
      <c r="C670" s="60">
        <v>6718</v>
      </c>
      <c r="D670" s="60">
        <v>6718</v>
      </c>
      <c r="E670" s="60">
        <v>6718</v>
      </c>
      <c r="F670" s="60">
        <v>6718</v>
      </c>
      <c r="G670" s="60">
        <v>6718</v>
      </c>
      <c r="H670" s="60">
        <v>6718</v>
      </c>
      <c r="I670" s="23">
        <v>6718</v>
      </c>
      <c r="J670" s="23">
        <v>6718</v>
      </c>
      <c r="K670" s="23">
        <v>6717.33</v>
      </c>
    </row>
    <row r="671" spans="1:11" x14ac:dyDescent="0.25">
      <c r="A671" s="46" t="s">
        <v>18</v>
      </c>
      <c r="B671" s="60">
        <v>7887.5</v>
      </c>
      <c r="C671" s="60">
        <v>7897.5</v>
      </c>
      <c r="D671" s="60">
        <v>7390.7</v>
      </c>
      <c r="E671" s="60">
        <v>7425.7</v>
      </c>
      <c r="F671" s="60">
        <v>7385.7</v>
      </c>
      <c r="G671" s="60">
        <v>7385.7</v>
      </c>
      <c r="H671" s="60">
        <f>H670+F670*0.15-100-40</f>
        <v>7585.7</v>
      </c>
      <c r="I671" s="60">
        <f>I670+0.15*G670-40-200-0.67</f>
        <v>7485.03</v>
      </c>
      <c r="J671" s="60">
        <f>J670+0.15*H670-40-250-0.0001*J670</f>
        <v>7435.0281999999997</v>
      </c>
      <c r="K671" s="344">
        <f>K670+0.15*I670-327</f>
        <v>7398.03</v>
      </c>
    </row>
    <row r="672" spans="1:11" ht="39.6" x14ac:dyDescent="0.25">
      <c r="A672" s="46" t="s">
        <v>19</v>
      </c>
      <c r="B672" s="61" t="s">
        <v>53</v>
      </c>
      <c r="C672" s="61" t="s">
        <v>54</v>
      </c>
      <c r="D672" s="61" t="s">
        <v>55</v>
      </c>
      <c r="E672" s="128" t="s">
        <v>56</v>
      </c>
      <c r="F672" s="128" t="s">
        <v>57</v>
      </c>
      <c r="G672" s="128" t="s">
        <v>58</v>
      </c>
      <c r="H672" s="128" t="s">
        <v>525</v>
      </c>
      <c r="I672" s="87" t="s">
        <v>526</v>
      </c>
      <c r="J672" s="87" t="s">
        <v>656</v>
      </c>
      <c r="K672" s="637" t="s">
        <v>966</v>
      </c>
    </row>
    <row r="673" spans="1:14" s="41" customFormat="1" x14ac:dyDescent="0.25">
      <c r="A673" s="129" t="s">
        <v>20</v>
      </c>
      <c r="B673" s="23">
        <v>5020.43</v>
      </c>
      <c r="C673" s="23">
        <v>5449.08</v>
      </c>
      <c r="D673" s="23">
        <v>5765.63</v>
      </c>
      <c r="E673" s="23">
        <v>5573.6610000000001</v>
      </c>
      <c r="F673" s="23">
        <v>4966.4159999999993</v>
      </c>
      <c r="G673" s="23">
        <v>5740.2240000000002</v>
      </c>
      <c r="H673" s="23">
        <v>5960.2599999999993</v>
      </c>
      <c r="I673" s="23">
        <v>5522.9264400000002</v>
      </c>
      <c r="J673" s="23">
        <v>5527.68</v>
      </c>
      <c r="K673" s="23"/>
    </row>
    <row r="674" spans="1:14" x14ac:dyDescent="0.25">
      <c r="A674" s="46" t="s">
        <v>21</v>
      </c>
      <c r="B674" s="23">
        <v>2867.0699999999997</v>
      </c>
      <c r="C674" s="23">
        <v>2448.42</v>
      </c>
      <c r="D674" s="23">
        <v>1625.0699999999997</v>
      </c>
      <c r="E674" s="23">
        <v>1852.039</v>
      </c>
      <c r="F674" s="23">
        <v>2419.2840000000006</v>
      </c>
      <c r="G674" s="23">
        <v>1645.4759999999997</v>
      </c>
      <c r="H674" s="23">
        <f>H671-H673</f>
        <v>1625.4400000000005</v>
      </c>
      <c r="I674" s="23">
        <f>I671-I673</f>
        <v>1962.1035599999996</v>
      </c>
      <c r="J674" s="23">
        <f>J671-J673</f>
        <v>1907.3481999999995</v>
      </c>
      <c r="K674" s="23"/>
    </row>
    <row r="675" spans="1:14" x14ac:dyDescent="0.25">
      <c r="A675" s="49" t="s">
        <v>22</v>
      </c>
      <c r="B675" s="57">
        <v>2016</v>
      </c>
      <c r="C675" s="57">
        <v>2017</v>
      </c>
      <c r="D675" s="57">
        <v>2018</v>
      </c>
      <c r="E675" s="57">
        <v>2019</v>
      </c>
      <c r="F675" s="57">
        <v>2020</v>
      </c>
      <c r="G675" s="57">
        <v>2021</v>
      </c>
      <c r="H675" s="57">
        <v>2022</v>
      </c>
      <c r="I675" s="57">
        <v>2023</v>
      </c>
      <c r="J675" s="57">
        <v>2024</v>
      </c>
      <c r="K675" s="57">
        <v>2025</v>
      </c>
    </row>
    <row r="676" spans="1:14" x14ac:dyDescent="0.25">
      <c r="A676" s="49" t="s">
        <v>487</v>
      </c>
      <c r="B676" s="86"/>
      <c r="C676" s="86"/>
      <c r="D676" s="86"/>
      <c r="E676" s="86"/>
      <c r="F676" s="86"/>
      <c r="G676" s="86"/>
      <c r="H676" s="86"/>
      <c r="I676" s="86"/>
      <c r="J676" s="30"/>
      <c r="K676" s="31"/>
    </row>
    <row r="677" spans="1:14" x14ac:dyDescent="0.25">
      <c r="A677" s="20" t="s">
        <v>527</v>
      </c>
      <c r="B677" s="18"/>
      <c r="C677" s="18"/>
      <c r="D677" s="18"/>
      <c r="E677" s="18"/>
      <c r="F677" s="18"/>
      <c r="G677" s="18"/>
      <c r="H677" s="18"/>
      <c r="I677" s="18"/>
      <c r="K677" s="21"/>
    </row>
    <row r="678" spans="1:14" x14ac:dyDescent="0.25">
      <c r="A678" s="221" t="s">
        <v>488</v>
      </c>
      <c r="B678" s="363"/>
      <c r="C678" s="363"/>
      <c r="D678" s="363"/>
      <c r="E678" s="363"/>
      <c r="F678" s="363"/>
      <c r="G678" s="363"/>
      <c r="H678" s="363"/>
      <c r="I678" s="363"/>
      <c r="J678" s="222"/>
      <c r="K678" s="223"/>
      <c r="L678" s="222"/>
      <c r="M678" s="222"/>
      <c r="N678" s="222"/>
    </row>
    <row r="679" spans="1:14" x14ac:dyDescent="0.25">
      <c r="A679" s="221" t="s">
        <v>528</v>
      </c>
      <c r="B679" s="363"/>
      <c r="C679" s="363"/>
      <c r="D679" s="363"/>
      <c r="E679" s="363"/>
      <c r="F679" s="363"/>
      <c r="G679" s="363"/>
      <c r="H679" s="363"/>
      <c r="I679" s="363"/>
      <c r="J679" s="222"/>
      <c r="K679" s="223"/>
      <c r="L679" s="222"/>
      <c r="M679" s="222"/>
      <c r="N679" s="222"/>
    </row>
    <row r="680" spans="1:14" x14ac:dyDescent="0.25">
      <c r="A680" s="221" t="s">
        <v>489</v>
      </c>
      <c r="B680" s="363"/>
      <c r="C680" s="363"/>
      <c r="D680" s="363"/>
      <c r="E680" s="363"/>
      <c r="F680" s="363"/>
      <c r="G680" s="363"/>
      <c r="H680" s="363"/>
      <c r="I680" s="363"/>
      <c r="J680" s="222"/>
      <c r="K680" s="223"/>
      <c r="L680" s="222"/>
      <c r="M680" s="222"/>
      <c r="N680" s="222"/>
    </row>
    <row r="681" spans="1:14" x14ac:dyDescent="0.25">
      <c r="A681" s="221" t="s">
        <v>491</v>
      </c>
      <c r="B681" s="363"/>
      <c r="C681" s="363"/>
      <c r="D681" s="363"/>
      <c r="E681" s="363"/>
      <c r="F681" s="363"/>
      <c r="G681" s="363"/>
      <c r="H681" s="363"/>
      <c r="I681" s="363"/>
      <c r="J681" s="222"/>
      <c r="K681" s="223"/>
      <c r="L681" s="222"/>
      <c r="M681" s="222"/>
      <c r="N681" s="222"/>
    </row>
    <row r="682" spans="1:14" x14ac:dyDescent="0.25">
      <c r="A682" s="221" t="s">
        <v>490</v>
      </c>
      <c r="B682" s="363"/>
      <c r="C682" s="363"/>
      <c r="D682" s="363"/>
      <c r="E682" s="363"/>
      <c r="F682" s="363"/>
      <c r="G682" s="363"/>
      <c r="H682" s="363"/>
      <c r="I682" s="363"/>
      <c r="J682" s="222"/>
      <c r="K682" s="223"/>
      <c r="L682" s="222"/>
      <c r="M682" s="222"/>
      <c r="N682" s="222"/>
    </row>
    <row r="683" spans="1:14" ht="44.25" customHeight="1" x14ac:dyDescent="0.25">
      <c r="A683" s="642" t="s">
        <v>655</v>
      </c>
      <c r="B683" s="643"/>
      <c r="C683" s="643"/>
      <c r="D683" s="643"/>
      <c r="E683" s="643"/>
      <c r="F683" s="643"/>
      <c r="G683" s="643"/>
      <c r="H683" s="643"/>
      <c r="I683" s="643"/>
      <c r="J683" s="643"/>
      <c r="K683" s="223"/>
      <c r="L683" s="222"/>
      <c r="M683" s="222"/>
      <c r="N683" s="222"/>
    </row>
    <row r="684" spans="1:14" x14ac:dyDescent="0.25">
      <c r="A684" s="636" t="s">
        <v>965</v>
      </c>
      <c r="B684" s="600"/>
      <c r="C684" s="600"/>
      <c r="D684" s="600"/>
      <c r="E684" s="600"/>
      <c r="F684" s="600"/>
      <c r="G684" s="600"/>
      <c r="H684" s="600"/>
      <c r="I684" s="600"/>
      <c r="J684" s="224"/>
      <c r="K684" s="225"/>
      <c r="L684" s="222"/>
      <c r="M684" s="222"/>
      <c r="N684" s="222"/>
    </row>
    <row r="685" spans="1:14" x14ac:dyDescent="0.25">
      <c r="A685" s="222"/>
      <c r="B685" s="222"/>
      <c r="C685" s="222"/>
      <c r="D685" s="222"/>
      <c r="E685" s="222"/>
      <c r="F685" s="222"/>
      <c r="G685" s="222"/>
      <c r="H685" s="222"/>
      <c r="I685" s="222"/>
      <c r="J685" s="222"/>
      <c r="K685" s="222"/>
      <c r="L685" s="222"/>
      <c r="M685" s="222"/>
      <c r="N685" s="222"/>
    </row>
    <row r="686" spans="1:14" x14ac:dyDescent="0.25">
      <c r="A686" s="262" t="s">
        <v>14</v>
      </c>
      <c r="B686" s="278" t="s">
        <v>660</v>
      </c>
      <c r="C686" s="276" t="s">
        <v>15</v>
      </c>
      <c r="D686" s="222"/>
      <c r="E686" s="222"/>
      <c r="F686" s="222"/>
      <c r="G686" s="222"/>
      <c r="H686" s="222"/>
      <c r="I686" s="222"/>
      <c r="J686" s="222"/>
      <c r="K686" s="222"/>
      <c r="L686" s="222"/>
      <c r="M686" s="222"/>
      <c r="N686" s="222"/>
    </row>
    <row r="687" spans="1:14" x14ac:dyDescent="0.25">
      <c r="A687" s="212" t="s">
        <v>16</v>
      </c>
      <c r="B687" s="345">
        <v>2014</v>
      </c>
      <c r="C687" s="213">
        <v>2015</v>
      </c>
      <c r="D687" s="213">
        <v>2016</v>
      </c>
      <c r="E687" s="213">
        <v>2017</v>
      </c>
      <c r="F687" s="213">
        <v>2018</v>
      </c>
      <c r="G687" s="213">
        <v>2019</v>
      </c>
      <c r="H687" s="213">
        <v>2020</v>
      </c>
      <c r="I687" s="213">
        <v>2021</v>
      </c>
      <c r="J687" s="213">
        <v>2022</v>
      </c>
      <c r="K687" s="213">
        <v>2023</v>
      </c>
      <c r="L687" s="222"/>
      <c r="M687" s="222"/>
      <c r="N687" s="222"/>
    </row>
    <row r="688" spans="1:14" x14ac:dyDescent="0.25">
      <c r="A688" s="265" t="s">
        <v>17</v>
      </c>
      <c r="B688" s="346">
        <v>4824</v>
      </c>
      <c r="C688" s="346">
        <v>4824</v>
      </c>
      <c r="D688" s="346">
        <v>4824</v>
      </c>
      <c r="E688" s="346">
        <v>4824</v>
      </c>
      <c r="F688" s="346">
        <v>4824</v>
      </c>
      <c r="G688" s="346">
        <v>4824</v>
      </c>
      <c r="H688" s="346">
        <v>4824</v>
      </c>
      <c r="I688" s="346">
        <v>4824</v>
      </c>
      <c r="J688" s="346">
        <v>4824</v>
      </c>
      <c r="K688" s="346">
        <v>4824</v>
      </c>
      <c r="L688" s="222"/>
      <c r="M688" s="222"/>
      <c r="N688" s="222"/>
    </row>
    <row r="689" spans="1:14" x14ac:dyDescent="0.25">
      <c r="A689" s="265" t="s">
        <v>18</v>
      </c>
      <c r="B689" s="346">
        <v>5141.7</v>
      </c>
      <c r="C689" s="346">
        <v>5695.4</v>
      </c>
      <c r="D689" s="346">
        <v>5601.06</v>
      </c>
      <c r="E689" s="346">
        <v>5224.38</v>
      </c>
      <c r="F689" s="346">
        <v>4963.5200000000004</v>
      </c>
      <c r="G689" s="346">
        <v>4928.1499999999996</v>
      </c>
      <c r="H689" s="346">
        <v>5011.2030000000004</v>
      </c>
      <c r="I689" s="346">
        <f>I688+G692</f>
        <v>5243.19</v>
      </c>
      <c r="J689" s="346">
        <f>J688+H692</f>
        <v>5085.0014400000018</v>
      </c>
      <c r="K689" s="346">
        <f>K688+0.1*I688</f>
        <v>5306.4</v>
      </c>
      <c r="L689" s="222"/>
      <c r="M689" s="222"/>
      <c r="N689" s="222"/>
    </row>
    <row r="690" spans="1:14" ht="26.4" x14ac:dyDescent="0.25">
      <c r="A690" s="265" t="s">
        <v>19</v>
      </c>
      <c r="B690" s="348" t="s">
        <v>59</v>
      </c>
      <c r="C690" s="348" t="s">
        <v>60</v>
      </c>
      <c r="D690" s="348" t="s">
        <v>61</v>
      </c>
      <c r="E690" s="349" t="s">
        <v>62</v>
      </c>
      <c r="F690" s="349" t="s">
        <v>63</v>
      </c>
      <c r="G690" s="349" t="s">
        <v>64</v>
      </c>
      <c r="H690" s="349" t="s">
        <v>65</v>
      </c>
      <c r="I690" s="244" t="s">
        <v>265</v>
      </c>
      <c r="J690" s="244" t="s">
        <v>495</v>
      </c>
      <c r="K690" s="244" t="s">
        <v>952</v>
      </c>
      <c r="L690" s="222"/>
      <c r="M690" s="222"/>
      <c r="N690" s="222"/>
    </row>
    <row r="691" spans="1:14" s="41" customFormat="1" x14ac:dyDescent="0.25">
      <c r="A691" s="350" t="s">
        <v>20</v>
      </c>
      <c r="B691" s="216">
        <v>4364.6400000000003</v>
      </c>
      <c r="C691" s="216">
        <v>5295.02</v>
      </c>
      <c r="D691" s="216">
        <v>5461.54</v>
      </c>
      <c r="E691" s="216">
        <v>5120.2</v>
      </c>
      <c r="F691" s="216">
        <v>4776.317</v>
      </c>
      <c r="G691" s="216">
        <v>4508.96</v>
      </c>
      <c r="H691" s="216">
        <v>4750.2015599999986</v>
      </c>
      <c r="I691" s="216">
        <v>4695.1249299999999</v>
      </c>
      <c r="J691" s="216">
        <v>3802.12</v>
      </c>
      <c r="K691" s="216"/>
      <c r="L691" s="398"/>
      <c r="M691" s="398"/>
      <c r="N691" s="398"/>
    </row>
    <row r="692" spans="1:14" x14ac:dyDescent="0.25">
      <c r="A692" s="265" t="s">
        <v>21</v>
      </c>
      <c r="B692" s="216">
        <v>777.06</v>
      </c>
      <c r="C692" s="216">
        <v>400.38</v>
      </c>
      <c r="D692" s="216">
        <v>139.52000000000001</v>
      </c>
      <c r="E692" s="216">
        <v>104.2</v>
      </c>
      <c r="F692" s="216">
        <v>187.20300000000043</v>
      </c>
      <c r="G692" s="216">
        <v>419.1899999999996</v>
      </c>
      <c r="H692" s="216">
        <v>261.00144000000182</v>
      </c>
      <c r="I692" s="216">
        <f>I689-I691</f>
        <v>548.06506999999965</v>
      </c>
      <c r="J692" s="216">
        <f>J689-J691</f>
        <v>1282.8814400000019</v>
      </c>
      <c r="K692" s="227"/>
      <c r="L692" s="222"/>
      <c r="M692" s="222"/>
      <c r="N692" s="222"/>
    </row>
    <row r="693" spans="1:14" x14ac:dyDescent="0.25">
      <c r="A693" s="219" t="s">
        <v>22</v>
      </c>
      <c r="B693" s="245">
        <v>2016</v>
      </c>
      <c r="C693" s="245">
        <v>2017</v>
      </c>
      <c r="D693" s="245">
        <v>2018</v>
      </c>
      <c r="E693" s="245">
        <v>2019</v>
      </c>
      <c r="F693" s="245">
        <v>2020</v>
      </c>
      <c r="G693" s="245">
        <v>2021</v>
      </c>
      <c r="H693" s="245">
        <v>2022</v>
      </c>
      <c r="I693" s="245">
        <v>2023</v>
      </c>
      <c r="J693" s="245">
        <v>2024</v>
      </c>
      <c r="K693" s="245">
        <v>2024</v>
      </c>
      <c r="L693" s="222"/>
      <c r="M693" s="222"/>
      <c r="N693" s="222"/>
    </row>
    <row r="694" spans="1:14" x14ac:dyDescent="0.25">
      <c r="A694" s="219" t="s">
        <v>492</v>
      </c>
      <c r="B694" s="351"/>
      <c r="C694" s="351"/>
      <c r="D694" s="351"/>
      <c r="E694" s="351"/>
      <c r="F694" s="351"/>
      <c r="G694" s="351"/>
      <c r="H694" s="351"/>
      <c r="I694" s="351"/>
      <c r="J694" s="220"/>
      <c r="K694" s="218"/>
      <c r="L694" s="222"/>
      <c r="M694" s="222"/>
      <c r="N694" s="222"/>
    </row>
    <row r="695" spans="1:14" x14ac:dyDescent="0.25">
      <c r="A695" s="221" t="s">
        <v>493</v>
      </c>
      <c r="B695" s="352"/>
      <c r="C695" s="352"/>
      <c r="D695" s="352"/>
      <c r="E695" s="352"/>
      <c r="F695" s="352"/>
      <c r="G695" s="352"/>
      <c r="H695" s="352"/>
      <c r="I695" s="352"/>
      <c r="J695" s="222"/>
      <c r="K695" s="223"/>
      <c r="L695" s="222"/>
      <c r="M695" s="222"/>
      <c r="N695" s="222"/>
    </row>
    <row r="696" spans="1:14" x14ac:dyDescent="0.25">
      <c r="A696" s="221" t="s">
        <v>494</v>
      </c>
      <c r="B696" s="352"/>
      <c r="C696" s="352"/>
      <c r="D696" s="352"/>
      <c r="E696" s="352"/>
      <c r="F696" s="352"/>
      <c r="G696" s="352"/>
      <c r="H696" s="352"/>
      <c r="I696" s="352"/>
      <c r="J696" s="222"/>
      <c r="K696" s="223"/>
      <c r="L696" s="222"/>
      <c r="M696" s="222"/>
      <c r="N696" s="222"/>
    </row>
    <row r="697" spans="1:14" x14ac:dyDescent="0.25">
      <c r="A697" s="660" t="s">
        <v>951</v>
      </c>
      <c r="B697" s="661"/>
      <c r="C697" s="661"/>
      <c r="D697" s="661"/>
      <c r="E697" s="661"/>
      <c r="F697" s="661"/>
      <c r="G697" s="661"/>
      <c r="H697" s="661"/>
      <c r="I697" s="661"/>
      <c r="J697" s="661"/>
      <c r="K697" s="225"/>
      <c r="L697" s="222"/>
      <c r="M697" s="222"/>
      <c r="N697" s="222"/>
    </row>
    <row r="698" spans="1:14" customFormat="1" ht="14.4" x14ac:dyDescent="0.3">
      <c r="A698" s="222"/>
      <c r="B698" s="222"/>
      <c r="C698" s="222"/>
      <c r="D698" s="222"/>
      <c r="E698" s="222"/>
      <c r="F698" s="222"/>
      <c r="G698" s="222"/>
      <c r="H698" s="222"/>
      <c r="I698" s="222"/>
      <c r="J698" s="222"/>
      <c r="K698" s="222"/>
      <c r="L698" s="572"/>
      <c r="M698" s="572"/>
      <c r="N698" s="572"/>
    </row>
    <row r="699" spans="1:14" customFormat="1" ht="14.4" x14ac:dyDescent="0.3">
      <c r="A699" s="262" t="s">
        <v>14</v>
      </c>
      <c r="B699" s="278" t="s">
        <v>661</v>
      </c>
      <c r="C699" s="276" t="s">
        <v>15</v>
      </c>
      <c r="D699" s="222"/>
      <c r="E699" s="222"/>
      <c r="F699" s="222"/>
      <c r="G699" s="222"/>
      <c r="H699" s="222"/>
      <c r="I699" s="222"/>
      <c r="J699" s="222"/>
      <c r="K699" s="222"/>
      <c r="L699" s="572"/>
      <c r="M699" s="572"/>
      <c r="N699" s="572"/>
    </row>
    <row r="700" spans="1:14" customFormat="1" ht="14.4" x14ac:dyDescent="0.3">
      <c r="A700" s="212" t="s">
        <v>16</v>
      </c>
      <c r="B700" s="345">
        <v>2020</v>
      </c>
      <c r="C700" s="213">
        <v>2021</v>
      </c>
      <c r="D700" s="213">
        <v>2022</v>
      </c>
      <c r="E700" s="213">
        <v>2023</v>
      </c>
      <c r="F700" s="213"/>
      <c r="G700" s="213"/>
      <c r="H700" s="213"/>
      <c r="I700" s="213"/>
      <c r="J700" s="213"/>
      <c r="K700" s="222"/>
      <c r="L700" s="572"/>
      <c r="M700" s="572"/>
      <c r="N700" s="572"/>
    </row>
    <row r="701" spans="1:14" customFormat="1" ht="14.4" x14ac:dyDescent="0.3">
      <c r="A701" s="265" t="s">
        <v>17</v>
      </c>
      <c r="B701" s="354">
        <v>19460</v>
      </c>
      <c r="C701" s="354">
        <v>19460</v>
      </c>
      <c r="D701" s="354">
        <v>19460</v>
      </c>
      <c r="E701" s="346">
        <v>21503</v>
      </c>
      <c r="F701" s="346"/>
      <c r="G701" s="346"/>
      <c r="H701" s="347"/>
      <c r="I701" s="227"/>
      <c r="J701" s="227"/>
      <c r="K701" s="222"/>
      <c r="L701" s="572"/>
      <c r="M701" s="572"/>
      <c r="N701" s="572"/>
    </row>
    <row r="702" spans="1:14" customFormat="1" ht="14.4" x14ac:dyDescent="0.3">
      <c r="A702" s="265" t="s">
        <v>18</v>
      </c>
      <c r="B702" s="346"/>
      <c r="C702" s="346">
        <f>C701+B705-48.4</f>
        <v>19737.565544000001</v>
      </c>
      <c r="D702" s="216">
        <f>D701+B705-19360*0.0025</f>
        <v>19737.565544000001</v>
      </c>
      <c r="E702" s="346">
        <f>E701+D705</f>
        <v>22289.665543999999</v>
      </c>
      <c r="F702" s="346"/>
      <c r="G702" s="346"/>
      <c r="H702" s="346"/>
      <c r="I702" s="216"/>
      <c r="J702" s="216"/>
      <c r="K702" s="222"/>
      <c r="L702" s="572"/>
      <c r="M702" s="572"/>
      <c r="N702" s="572"/>
    </row>
    <row r="703" spans="1:14" customFormat="1" ht="27" x14ac:dyDescent="0.3">
      <c r="A703" s="265" t="s">
        <v>19</v>
      </c>
      <c r="B703" s="349"/>
      <c r="C703" s="244" t="s">
        <v>946</v>
      </c>
      <c r="D703" s="355" t="s">
        <v>947</v>
      </c>
      <c r="E703" s="349" t="s">
        <v>959</v>
      </c>
      <c r="F703" s="349"/>
      <c r="G703" s="349"/>
      <c r="H703" s="349"/>
      <c r="I703" s="244"/>
      <c r="J703" s="244"/>
      <c r="K703" s="222"/>
      <c r="L703" s="572"/>
      <c r="M703" s="572"/>
      <c r="N703" s="572"/>
    </row>
    <row r="704" spans="1:14" customFormat="1" ht="14.4" x14ac:dyDescent="0.3">
      <c r="A704" s="350" t="s">
        <v>20</v>
      </c>
      <c r="B704" s="216">
        <v>19134.034455999998</v>
      </c>
      <c r="C704" s="216">
        <v>19163.665450999997</v>
      </c>
      <c r="D704" s="216">
        <v>18950.900000000001</v>
      </c>
      <c r="E704" s="216"/>
      <c r="F704" s="216"/>
      <c r="G704" s="216"/>
      <c r="H704" s="216"/>
      <c r="I704" s="216"/>
      <c r="J704" s="216"/>
      <c r="K704" s="222"/>
      <c r="L704" s="572"/>
      <c r="M704" s="572"/>
      <c r="N704" s="572"/>
    </row>
    <row r="705" spans="1:14" customFormat="1" ht="14.4" x14ac:dyDescent="0.3">
      <c r="A705" s="350" t="s">
        <v>21</v>
      </c>
      <c r="B705" s="216">
        <f>B701-B704</f>
        <v>325.96554400000241</v>
      </c>
      <c r="C705" s="216">
        <f>C702-C704</f>
        <v>573.90009300000384</v>
      </c>
      <c r="D705" s="216">
        <f>D702-D704</f>
        <v>786.6655439999995</v>
      </c>
      <c r="E705" s="216"/>
      <c r="F705" s="216"/>
      <c r="G705" s="216"/>
      <c r="H705" s="216"/>
      <c r="I705" s="216"/>
      <c r="J705" s="216"/>
      <c r="K705" s="222"/>
      <c r="L705" s="572"/>
      <c r="M705" s="572"/>
      <c r="N705" s="572"/>
    </row>
    <row r="706" spans="1:14" customFormat="1" ht="14.4" x14ac:dyDescent="0.3">
      <c r="A706" s="219" t="s">
        <v>22</v>
      </c>
      <c r="B706" s="245">
        <v>2021</v>
      </c>
      <c r="C706" s="245">
        <v>2022</v>
      </c>
      <c r="D706" s="245">
        <v>2023</v>
      </c>
      <c r="E706" s="601"/>
      <c r="F706" s="601"/>
      <c r="G706" s="601"/>
      <c r="H706" s="601"/>
      <c r="I706" s="601"/>
      <c r="J706" s="601"/>
      <c r="K706" s="222"/>
      <c r="L706" s="572"/>
      <c r="M706" s="572"/>
      <c r="N706" s="572"/>
    </row>
    <row r="707" spans="1:14" customFormat="1" ht="14.4" x14ac:dyDescent="0.3">
      <c r="A707" s="219" t="s">
        <v>945</v>
      </c>
      <c r="B707" s="351"/>
      <c r="C707" s="351"/>
      <c r="D707" s="351"/>
      <c r="E707" s="351"/>
      <c r="F707" s="351"/>
      <c r="G707" s="351"/>
      <c r="H707" s="351"/>
      <c r="I707" s="351"/>
      <c r="J707" s="356"/>
      <c r="K707" s="222"/>
      <c r="L707" s="572"/>
      <c r="M707" s="572"/>
      <c r="N707" s="572"/>
    </row>
    <row r="708" spans="1:14" customFormat="1" ht="14.4" x14ac:dyDescent="0.3">
      <c r="A708" s="221" t="s">
        <v>948</v>
      </c>
      <c r="B708" s="352"/>
      <c r="C708" s="352"/>
      <c r="D708" s="352"/>
      <c r="E708" s="352"/>
      <c r="F708" s="352"/>
      <c r="G708" s="352"/>
      <c r="H708" s="352"/>
      <c r="I708" s="352"/>
      <c r="J708" s="357"/>
      <c r="K708" s="222"/>
      <c r="L708" s="572"/>
      <c r="M708" s="572"/>
      <c r="N708" s="572"/>
    </row>
    <row r="709" spans="1:14" customFormat="1" ht="14.4" x14ac:dyDescent="0.3">
      <c r="A709" s="221" t="s">
        <v>503</v>
      </c>
      <c r="B709" s="352"/>
      <c r="C709" s="352"/>
      <c r="D709" s="352"/>
      <c r="E709" s="352"/>
      <c r="F709" s="352"/>
      <c r="G709" s="352"/>
      <c r="H709" s="352"/>
      <c r="I709" s="352"/>
      <c r="J709" s="357"/>
      <c r="K709" s="222"/>
      <c r="L709" s="572"/>
      <c r="M709" s="572"/>
      <c r="N709" s="572"/>
    </row>
    <row r="710" spans="1:14" customFormat="1" ht="14.4" x14ac:dyDescent="0.3">
      <c r="A710" s="221" t="s">
        <v>504</v>
      </c>
      <c r="B710" s="352"/>
      <c r="C710" s="352"/>
      <c r="D710" s="352"/>
      <c r="E710" s="352"/>
      <c r="F710" s="352"/>
      <c r="G710" s="352"/>
      <c r="H710" s="352"/>
      <c r="I710" s="352"/>
      <c r="J710" s="357"/>
      <c r="K710" s="222"/>
      <c r="L710" s="572"/>
      <c r="M710" s="572"/>
      <c r="N710" s="572"/>
    </row>
    <row r="711" spans="1:14" customFormat="1" ht="14.4" x14ac:dyDescent="0.3">
      <c r="A711" s="221" t="s">
        <v>949</v>
      </c>
      <c r="B711" s="352"/>
      <c r="C711" s="352"/>
      <c r="D711" s="352"/>
      <c r="E711" s="352"/>
      <c r="F711" s="352"/>
      <c r="G711" s="352"/>
      <c r="H711" s="352"/>
      <c r="I711" s="352"/>
      <c r="J711" s="357"/>
      <c r="K711" s="222"/>
      <c r="L711" s="572"/>
      <c r="M711" s="572"/>
      <c r="N711" s="572"/>
    </row>
    <row r="712" spans="1:14" customFormat="1" ht="14.4" x14ac:dyDescent="0.3">
      <c r="A712" s="602" t="s">
        <v>958</v>
      </c>
      <c r="B712" s="603"/>
      <c r="C712" s="603"/>
      <c r="D712" s="603"/>
      <c r="E712" s="603"/>
      <c r="F712" s="603"/>
      <c r="G712" s="603"/>
      <c r="H712" s="603"/>
      <c r="I712" s="603"/>
      <c r="J712" s="604"/>
      <c r="K712" s="222"/>
      <c r="L712" s="572"/>
      <c r="M712" s="572"/>
      <c r="N712" s="572"/>
    </row>
    <row r="713" spans="1:14" x14ac:dyDescent="0.25">
      <c r="A713" s="222"/>
      <c r="B713" s="222"/>
      <c r="C713" s="222"/>
      <c r="D713" s="222"/>
      <c r="E713" s="222"/>
      <c r="F713" s="222"/>
      <c r="G713" s="222"/>
      <c r="H713" s="222"/>
      <c r="I713" s="222"/>
      <c r="J713" s="222"/>
      <c r="K713" s="222"/>
      <c r="L713" s="222"/>
      <c r="M713" s="222"/>
      <c r="N713" s="222"/>
    </row>
    <row r="714" spans="1:14" x14ac:dyDescent="0.25">
      <c r="A714" s="262" t="s">
        <v>14</v>
      </c>
      <c r="B714" s="278" t="s">
        <v>66</v>
      </c>
      <c r="C714" s="276" t="s">
        <v>15</v>
      </c>
      <c r="D714" s="222"/>
      <c r="E714" s="222"/>
      <c r="F714" s="222"/>
      <c r="G714" s="222"/>
      <c r="H714" s="222"/>
      <c r="I714" s="222"/>
      <c r="J714" s="222"/>
      <c r="K714" s="222"/>
      <c r="L714" s="222"/>
      <c r="M714" s="222"/>
      <c r="N714" s="222"/>
    </row>
    <row r="715" spans="1:14" x14ac:dyDescent="0.25">
      <c r="A715" s="212" t="s">
        <v>16</v>
      </c>
      <c r="B715" s="345">
        <v>2014</v>
      </c>
      <c r="C715" s="213">
        <v>2015</v>
      </c>
      <c r="D715" s="213">
        <v>2016</v>
      </c>
      <c r="E715" s="213">
        <v>2017</v>
      </c>
      <c r="F715" s="213">
        <v>2018</v>
      </c>
      <c r="G715" s="213">
        <v>2019</v>
      </c>
      <c r="H715" s="213">
        <v>2020</v>
      </c>
      <c r="I715" s="213">
        <v>2021</v>
      </c>
      <c r="J715" s="213">
        <v>2022</v>
      </c>
      <c r="K715" s="213">
        <v>2023</v>
      </c>
      <c r="L715" s="222"/>
      <c r="M715" s="222"/>
      <c r="N715" s="222"/>
    </row>
    <row r="716" spans="1:14" x14ac:dyDescent="0.25">
      <c r="A716" s="265" t="s">
        <v>17</v>
      </c>
      <c r="B716" s="346">
        <v>22667</v>
      </c>
      <c r="C716" s="346">
        <v>22667</v>
      </c>
      <c r="D716" s="346">
        <v>16989</v>
      </c>
      <c r="E716" s="346">
        <v>16989</v>
      </c>
      <c r="F716" s="346">
        <v>16989</v>
      </c>
      <c r="G716" s="346">
        <v>16989</v>
      </c>
      <c r="H716" s="347">
        <v>13421.3</v>
      </c>
      <c r="I716" s="227">
        <v>13206.57</v>
      </c>
      <c r="J716" s="227">
        <v>13313.94</v>
      </c>
      <c r="K716" s="227">
        <v>13313.94</v>
      </c>
      <c r="L716" s="222"/>
      <c r="M716" s="222"/>
      <c r="N716" s="222"/>
    </row>
    <row r="717" spans="1:14" x14ac:dyDescent="0.25">
      <c r="A717" s="265" t="s">
        <v>18</v>
      </c>
      <c r="B717" s="346">
        <v>29467.1</v>
      </c>
      <c r="C717" s="346">
        <v>29467.1</v>
      </c>
      <c r="D717" s="346">
        <v>23789.1</v>
      </c>
      <c r="E717" s="346">
        <v>20389.099999999999</v>
      </c>
      <c r="F717" s="346">
        <v>19537.400000000001</v>
      </c>
      <c r="G717" s="346">
        <v>17157.5</v>
      </c>
      <c r="H717" s="346">
        <f>H716+F720+300</f>
        <v>15842.646000000001</v>
      </c>
      <c r="I717" s="216">
        <f>I716+G720</f>
        <v>13453.544999999998</v>
      </c>
      <c r="J717" s="216">
        <f>J716+0.1*H716</f>
        <v>14656.07</v>
      </c>
      <c r="K717" s="216">
        <f>K716+0.1*I716</f>
        <v>14634.597000000002</v>
      </c>
      <c r="L717" s="222"/>
      <c r="M717" s="222"/>
      <c r="N717" s="222"/>
    </row>
    <row r="718" spans="1:14" ht="26.4" x14ac:dyDescent="0.25">
      <c r="A718" s="265" t="s">
        <v>19</v>
      </c>
      <c r="B718" s="348" t="s">
        <v>67</v>
      </c>
      <c r="C718" s="348" t="s">
        <v>67</v>
      </c>
      <c r="D718" s="348" t="s">
        <v>68</v>
      </c>
      <c r="E718" s="349" t="s">
        <v>69</v>
      </c>
      <c r="F718" s="349" t="s">
        <v>70</v>
      </c>
      <c r="G718" s="349" t="s">
        <v>71</v>
      </c>
      <c r="H718" s="349" t="s">
        <v>266</v>
      </c>
      <c r="I718" s="244" t="s">
        <v>267</v>
      </c>
      <c r="J718" s="244" t="s">
        <v>592</v>
      </c>
      <c r="K718" s="244" t="s">
        <v>950</v>
      </c>
      <c r="L718" s="222"/>
      <c r="M718" s="222"/>
      <c r="N718" s="222"/>
    </row>
    <row r="719" spans="1:14" x14ac:dyDescent="0.25">
      <c r="A719" s="350" t="s">
        <v>20</v>
      </c>
      <c r="B719" s="216">
        <v>18152.900000000001</v>
      </c>
      <c r="C719" s="216">
        <v>15741.23</v>
      </c>
      <c r="D719" s="216">
        <v>18059.400000000001</v>
      </c>
      <c r="E719" s="216">
        <v>20220.53</v>
      </c>
      <c r="F719" s="216">
        <v>17416.054</v>
      </c>
      <c r="G719" s="216">
        <v>16910.525000000001</v>
      </c>
      <c r="H719" s="216">
        <v>11285.478270000007</v>
      </c>
      <c r="I719" s="216">
        <v>11445.933670000008</v>
      </c>
      <c r="J719" s="216">
        <v>12588.91</v>
      </c>
      <c r="K719" s="216"/>
      <c r="L719" s="222"/>
      <c r="M719" s="222"/>
      <c r="N719" s="222"/>
    </row>
    <row r="720" spans="1:14" x14ac:dyDescent="0.25">
      <c r="A720" s="543" t="s">
        <v>21</v>
      </c>
      <c r="B720" s="544">
        <v>11314.2</v>
      </c>
      <c r="C720" s="544">
        <v>13725.87</v>
      </c>
      <c r="D720" s="544">
        <v>5729.68</v>
      </c>
      <c r="E720" s="544">
        <v>168.52</v>
      </c>
      <c r="F720" s="544">
        <v>2121.3460000000014</v>
      </c>
      <c r="G720" s="544">
        <f>G717-G719</f>
        <v>246.97499999999854</v>
      </c>
      <c r="H720" s="544">
        <f>H717-H719</f>
        <v>4557.1677299999938</v>
      </c>
      <c r="I720" s="544">
        <f>I717-I719</f>
        <v>2007.6113299999906</v>
      </c>
      <c r="J720" s="544">
        <f>J717-J719</f>
        <v>2067.16</v>
      </c>
      <c r="K720" s="544"/>
      <c r="L720" s="222"/>
      <c r="M720" s="222"/>
      <c r="N720" s="222"/>
    </row>
    <row r="721" spans="1:14" x14ac:dyDescent="0.25">
      <c r="A721" s="227" t="s">
        <v>22</v>
      </c>
      <c r="B721" s="289">
        <v>2016</v>
      </c>
      <c r="C721" s="289">
        <v>2017</v>
      </c>
      <c r="D721" s="289">
        <v>2018</v>
      </c>
      <c r="E721" s="289">
        <v>2019</v>
      </c>
      <c r="F721" s="289" t="s">
        <v>72</v>
      </c>
      <c r="G721" s="289" t="s">
        <v>73</v>
      </c>
      <c r="H721" s="289">
        <v>2022</v>
      </c>
      <c r="I721" s="289">
        <v>2023</v>
      </c>
      <c r="J721" s="289">
        <v>2024</v>
      </c>
      <c r="K721" s="289"/>
      <c r="L721" s="222"/>
      <c r="M721" s="222"/>
      <c r="N721" s="222"/>
    </row>
    <row r="722" spans="1:14" x14ac:dyDescent="0.25">
      <c r="A722" s="219" t="s">
        <v>496</v>
      </c>
      <c r="B722" s="351"/>
      <c r="C722" s="351"/>
      <c r="D722" s="351"/>
      <c r="E722" s="351"/>
      <c r="F722" s="351"/>
      <c r="G722" s="351"/>
      <c r="H722" s="351"/>
      <c r="I722" s="351"/>
      <c r="J722" s="220"/>
      <c r="K722" s="218"/>
      <c r="L722" s="222"/>
      <c r="M722" s="222"/>
      <c r="N722" s="222"/>
    </row>
    <row r="723" spans="1:14" x14ac:dyDescent="0.25">
      <c r="A723" s="221" t="s">
        <v>497</v>
      </c>
      <c r="B723" s="352"/>
      <c r="C723" s="352"/>
      <c r="D723" s="352"/>
      <c r="E723" s="352"/>
      <c r="F723" s="352"/>
      <c r="G723" s="352"/>
      <c r="H723" s="352"/>
      <c r="I723" s="352"/>
      <c r="J723" s="222"/>
      <c r="K723" s="223"/>
      <c r="L723" s="222"/>
      <c r="M723" s="222"/>
      <c r="N723" s="222"/>
    </row>
    <row r="724" spans="1:14" ht="14.4" x14ac:dyDescent="0.25">
      <c r="A724" s="221" t="s">
        <v>762</v>
      </c>
      <c r="B724" s="352"/>
      <c r="C724" s="352"/>
      <c r="D724" s="352"/>
      <c r="E724" s="352"/>
      <c r="F724" s="352"/>
      <c r="G724" s="352"/>
      <c r="H724" s="352"/>
      <c r="I724" s="352"/>
      <c r="J724" s="222"/>
      <c r="K724" s="223"/>
      <c r="L724" s="222"/>
      <c r="M724" s="222"/>
      <c r="N724" s="222"/>
    </row>
    <row r="725" spans="1:14" x14ac:dyDescent="0.25">
      <c r="A725" s="212" t="s">
        <v>593</v>
      </c>
      <c r="B725" s="545"/>
      <c r="C725" s="545"/>
      <c r="D725" s="545"/>
      <c r="E725" s="545"/>
      <c r="F725" s="545"/>
      <c r="G725" s="545"/>
      <c r="H725" s="545"/>
      <c r="I725" s="545"/>
      <c r="J725" s="224"/>
      <c r="K725" s="225"/>
      <c r="L725" s="222"/>
      <c r="M725" s="222"/>
      <c r="N725" s="222"/>
    </row>
    <row r="726" spans="1:14" x14ac:dyDescent="0.25">
      <c r="A726" s="222"/>
      <c r="B726" s="371"/>
      <c r="C726" s="371"/>
      <c r="D726" s="371"/>
      <c r="E726" s="371"/>
      <c r="F726" s="371"/>
      <c r="G726" s="371"/>
      <c r="H726" s="371"/>
      <c r="I726" s="371"/>
      <c r="J726" s="222"/>
      <c r="K726" s="222"/>
      <c r="L726" s="222"/>
      <c r="M726" s="222"/>
      <c r="N726" s="222"/>
    </row>
    <row r="727" spans="1:14" x14ac:dyDescent="0.25">
      <c r="A727" s="222"/>
      <c r="B727" s="222"/>
      <c r="C727" s="222"/>
      <c r="D727" s="222"/>
      <c r="E727" s="222"/>
      <c r="F727" s="222"/>
      <c r="G727" s="222"/>
      <c r="H727" s="222"/>
      <c r="I727" s="222"/>
      <c r="J727" s="222"/>
      <c r="K727" s="222"/>
      <c r="L727" s="222"/>
      <c r="M727" s="222"/>
      <c r="N727" s="222"/>
    </row>
    <row r="728" spans="1:14" x14ac:dyDescent="0.25">
      <c r="A728" s="262" t="s">
        <v>14</v>
      </c>
      <c r="B728" s="278" t="s">
        <v>74</v>
      </c>
      <c r="C728" s="276" t="s">
        <v>15</v>
      </c>
      <c r="D728" s="222"/>
      <c r="E728" s="222"/>
      <c r="F728" s="222"/>
      <c r="G728" s="222"/>
      <c r="H728" s="222"/>
      <c r="I728" s="222"/>
      <c r="J728" s="222"/>
      <c r="K728" s="222"/>
      <c r="L728" s="222"/>
      <c r="M728" s="222"/>
      <c r="N728" s="222"/>
    </row>
    <row r="729" spans="1:14" x14ac:dyDescent="0.25">
      <c r="A729" s="212" t="s">
        <v>16</v>
      </c>
      <c r="B729" s="345">
        <v>2014</v>
      </c>
      <c r="C729" s="213">
        <v>2015</v>
      </c>
      <c r="D729" s="213">
        <v>2016</v>
      </c>
      <c r="E729" s="213">
        <v>2017</v>
      </c>
      <c r="F729" s="213">
        <v>2018</v>
      </c>
      <c r="G729" s="213">
        <v>2019</v>
      </c>
      <c r="H729" s="213">
        <v>2020</v>
      </c>
      <c r="I729" s="213">
        <v>2021</v>
      </c>
      <c r="J729" s="213">
        <v>2022</v>
      </c>
      <c r="K729" s="213">
        <v>2023</v>
      </c>
      <c r="L729" s="222"/>
      <c r="M729" s="222"/>
      <c r="N729" s="222"/>
    </row>
    <row r="730" spans="1:14" x14ac:dyDescent="0.25">
      <c r="A730" s="265" t="s">
        <v>17</v>
      </c>
      <c r="B730" s="346">
        <v>480</v>
      </c>
      <c r="C730" s="346">
        <v>480</v>
      </c>
      <c r="D730" s="346">
        <v>480</v>
      </c>
      <c r="E730" s="346">
        <v>480</v>
      </c>
      <c r="F730" s="346">
        <v>480</v>
      </c>
      <c r="G730" s="346">
        <v>480</v>
      </c>
      <c r="H730" s="354">
        <v>403.8</v>
      </c>
      <c r="I730" s="227">
        <v>403.8</v>
      </c>
      <c r="J730" s="227">
        <v>403.8</v>
      </c>
      <c r="K730" s="227">
        <v>403.8</v>
      </c>
      <c r="L730" s="222"/>
      <c r="M730" s="222"/>
      <c r="N730" s="222"/>
    </row>
    <row r="731" spans="1:14" x14ac:dyDescent="0.25">
      <c r="A731" s="265" t="s">
        <v>18</v>
      </c>
      <c r="B731" s="346">
        <v>480</v>
      </c>
      <c r="C731" s="346">
        <v>528</v>
      </c>
      <c r="D731" s="346">
        <v>407.63</v>
      </c>
      <c r="E731" s="346">
        <v>414.75</v>
      </c>
      <c r="F731" s="346">
        <v>462.75</v>
      </c>
      <c r="G731" s="346">
        <v>528</v>
      </c>
      <c r="H731" s="346">
        <v>449.8</v>
      </c>
      <c r="I731" s="227">
        <f>I730+0.1*G730-2</f>
        <v>449.8</v>
      </c>
      <c r="J731" s="227">
        <v>401.8</v>
      </c>
      <c r="K731" s="227">
        <v>401.8</v>
      </c>
      <c r="L731" s="222"/>
      <c r="M731" s="222"/>
      <c r="N731" s="222"/>
    </row>
    <row r="732" spans="1:14" ht="26.4" x14ac:dyDescent="0.25">
      <c r="A732" s="265" t="s">
        <v>19</v>
      </c>
      <c r="B732" s="348">
        <v>480</v>
      </c>
      <c r="C732" s="348">
        <v>528</v>
      </c>
      <c r="D732" s="348" t="s">
        <v>75</v>
      </c>
      <c r="E732" s="349" t="s">
        <v>76</v>
      </c>
      <c r="F732" s="349" t="s">
        <v>77</v>
      </c>
      <c r="G732" s="349" t="s">
        <v>78</v>
      </c>
      <c r="H732" s="349" t="s">
        <v>268</v>
      </c>
      <c r="I732" s="355" t="s">
        <v>269</v>
      </c>
      <c r="J732" s="355" t="s">
        <v>498</v>
      </c>
      <c r="K732" s="355" t="s">
        <v>953</v>
      </c>
      <c r="L732" s="222"/>
      <c r="M732" s="222"/>
      <c r="N732" s="222"/>
    </row>
    <row r="733" spans="1:14" x14ac:dyDescent="0.25">
      <c r="A733" s="265" t="s">
        <v>20</v>
      </c>
      <c r="B733" s="216">
        <v>552.37</v>
      </c>
      <c r="C733" s="216">
        <v>658.51</v>
      </c>
      <c r="D733" s="216">
        <v>355.07</v>
      </c>
      <c r="E733" s="216">
        <v>338.75</v>
      </c>
      <c r="F733" s="216">
        <v>120.791</v>
      </c>
      <c r="G733" s="216">
        <v>79.62</v>
      </c>
      <c r="H733" s="216">
        <v>138.81700000000001</v>
      </c>
      <c r="I733" s="227">
        <v>105.06</v>
      </c>
      <c r="J733" s="227">
        <v>282.19</v>
      </c>
      <c r="K733" s="227"/>
      <c r="L733" s="222"/>
      <c r="M733" s="222"/>
      <c r="N733" s="222"/>
    </row>
    <row r="734" spans="1:14" x14ac:dyDescent="0.25">
      <c r="A734" s="265" t="s">
        <v>21</v>
      </c>
      <c r="B734" s="216">
        <v>-72.37</v>
      </c>
      <c r="C734" s="216">
        <v>-130.51</v>
      </c>
      <c r="D734" s="216">
        <f>D731-D733</f>
        <v>52.56</v>
      </c>
      <c r="E734" s="216">
        <f>E731-E733</f>
        <v>76</v>
      </c>
      <c r="F734" s="216">
        <v>341.959</v>
      </c>
      <c r="G734" s="216">
        <f>G731-G733</f>
        <v>448.38</v>
      </c>
      <c r="H734" s="216">
        <f>H731-H733</f>
        <v>310.983</v>
      </c>
      <c r="I734" s="227">
        <f>I731-I733</f>
        <v>344.74</v>
      </c>
      <c r="J734" s="227">
        <f>J731-J733</f>
        <v>119.61000000000001</v>
      </c>
      <c r="K734" s="227"/>
      <c r="L734" s="222"/>
      <c r="M734" s="222"/>
      <c r="N734" s="222"/>
    </row>
    <row r="735" spans="1:14" x14ac:dyDescent="0.25">
      <c r="A735" s="219" t="s">
        <v>22</v>
      </c>
      <c r="B735" s="245">
        <v>2016</v>
      </c>
      <c r="C735" s="245">
        <v>2017</v>
      </c>
      <c r="D735" s="245">
        <v>2018</v>
      </c>
      <c r="E735" s="245">
        <v>2019</v>
      </c>
      <c r="F735" s="245" t="s">
        <v>72</v>
      </c>
      <c r="G735" s="245" t="s">
        <v>73</v>
      </c>
      <c r="H735" s="245" t="s">
        <v>161</v>
      </c>
      <c r="I735" s="245" t="s">
        <v>161</v>
      </c>
      <c r="J735" s="245" t="s">
        <v>161</v>
      </c>
      <c r="K735" s="245" t="s">
        <v>161</v>
      </c>
      <c r="L735" s="222"/>
      <c r="M735" s="222"/>
      <c r="N735" s="222"/>
    </row>
    <row r="736" spans="1:14" x14ac:dyDescent="0.25">
      <c r="A736" s="219" t="s">
        <v>499</v>
      </c>
      <c r="B736" s="351"/>
      <c r="C736" s="351"/>
      <c r="D736" s="351"/>
      <c r="E736" s="351"/>
      <c r="F736" s="351"/>
      <c r="G736" s="351"/>
      <c r="H736" s="351"/>
      <c r="I736" s="351"/>
      <c r="J736" s="356"/>
      <c r="K736" s="356"/>
      <c r="L736" s="222"/>
      <c r="M736" s="222"/>
      <c r="N736" s="222"/>
    </row>
    <row r="737" spans="1:14" x14ac:dyDescent="0.25">
      <c r="A737" s="221" t="s">
        <v>500</v>
      </c>
      <c r="B737" s="352"/>
      <c r="C737" s="352"/>
      <c r="D737" s="352"/>
      <c r="E737" s="352"/>
      <c r="F737" s="352"/>
      <c r="G737" s="352"/>
      <c r="H737" s="352"/>
      <c r="I737" s="352"/>
      <c r="J737" s="357"/>
      <c r="K737" s="357"/>
      <c r="L737" s="222"/>
      <c r="M737" s="222"/>
      <c r="N737" s="222"/>
    </row>
    <row r="738" spans="1:14" x14ac:dyDescent="0.25">
      <c r="A738" s="358" t="s">
        <v>954</v>
      </c>
      <c r="B738" s="359"/>
      <c r="C738" s="359"/>
      <c r="D738" s="359"/>
      <c r="E738" s="359"/>
      <c r="F738" s="359"/>
      <c r="G738" s="359"/>
      <c r="H738" s="359"/>
      <c r="I738" s="224"/>
      <c r="J738" s="225"/>
      <c r="K738" s="225"/>
      <c r="L738" s="222"/>
      <c r="M738" s="222"/>
      <c r="N738" s="222"/>
    </row>
    <row r="739" spans="1:14" x14ac:dyDescent="0.25">
      <c r="A739" s="222"/>
      <c r="B739" s="222"/>
      <c r="C739" s="222"/>
      <c r="D739" s="222"/>
      <c r="E739" s="222"/>
      <c r="F739" s="222"/>
      <c r="G739" s="222"/>
      <c r="H739" s="222"/>
      <c r="I739" s="222"/>
      <c r="J739" s="222"/>
      <c r="K739" s="222"/>
      <c r="L739" s="222"/>
      <c r="M739" s="222"/>
      <c r="N739" s="222"/>
    </row>
    <row r="740" spans="1:14" x14ac:dyDescent="0.25">
      <c r="A740" s="262" t="s">
        <v>14</v>
      </c>
      <c r="B740" s="278" t="s">
        <v>79</v>
      </c>
      <c r="C740" s="276" t="s">
        <v>15</v>
      </c>
      <c r="D740" s="222"/>
      <c r="E740" s="222"/>
      <c r="F740" s="222"/>
      <c r="G740" s="222"/>
      <c r="H740" s="222"/>
      <c r="I740" s="222"/>
      <c r="J740" s="222"/>
      <c r="K740" s="222"/>
      <c r="L740" s="222"/>
      <c r="M740" s="222"/>
      <c r="N740" s="222"/>
    </row>
    <row r="741" spans="1:14" x14ac:dyDescent="0.25">
      <c r="A741" s="212" t="s">
        <v>16</v>
      </c>
      <c r="B741" s="345">
        <v>2014</v>
      </c>
      <c r="C741" s="213">
        <v>2015</v>
      </c>
      <c r="D741" s="213">
        <v>2016</v>
      </c>
      <c r="E741" s="213">
        <v>2017</v>
      </c>
      <c r="F741" s="213">
        <v>2018</v>
      </c>
      <c r="G741" s="213">
        <v>2019</v>
      </c>
      <c r="H741" s="213">
        <v>2020</v>
      </c>
      <c r="I741" s="213">
        <v>2021</v>
      </c>
      <c r="J741" s="213">
        <v>2022</v>
      </c>
      <c r="K741" s="222"/>
      <c r="L741" s="222"/>
      <c r="M741" s="222"/>
      <c r="N741" s="222"/>
    </row>
    <row r="742" spans="1:14" x14ac:dyDescent="0.25">
      <c r="A742" s="265" t="s">
        <v>17</v>
      </c>
      <c r="B742" s="346">
        <v>50</v>
      </c>
      <c r="C742" s="346">
        <v>50</v>
      </c>
      <c r="D742" s="346">
        <v>50</v>
      </c>
      <c r="E742" s="346">
        <v>50</v>
      </c>
      <c r="F742" s="346">
        <v>50</v>
      </c>
      <c r="G742" s="346">
        <v>50</v>
      </c>
      <c r="H742" s="354">
        <v>50</v>
      </c>
      <c r="I742" s="216">
        <v>50</v>
      </c>
      <c r="J742" s="216">
        <v>50</v>
      </c>
      <c r="K742" s="222"/>
      <c r="L742" s="222"/>
      <c r="M742" s="222"/>
      <c r="N742" s="222"/>
    </row>
    <row r="743" spans="1:14" x14ac:dyDescent="0.25">
      <c r="A743" s="265" t="s">
        <v>18</v>
      </c>
      <c r="B743" s="346">
        <v>50</v>
      </c>
      <c r="C743" s="346">
        <v>52.5</v>
      </c>
      <c r="D743" s="346">
        <v>23.9</v>
      </c>
      <c r="E743" s="346">
        <v>23.9</v>
      </c>
      <c r="F743" s="346">
        <v>27.6</v>
      </c>
      <c r="G743" s="346">
        <v>27.6</v>
      </c>
      <c r="H743" s="346">
        <v>32.6</v>
      </c>
      <c r="I743" s="216">
        <v>55</v>
      </c>
      <c r="J743" s="216">
        <v>50</v>
      </c>
      <c r="K743" s="222"/>
      <c r="L743" s="222"/>
      <c r="M743" s="222"/>
      <c r="N743" s="222"/>
    </row>
    <row r="744" spans="1:14" ht="26.4" x14ac:dyDescent="0.25">
      <c r="A744" s="265" t="s">
        <v>19</v>
      </c>
      <c r="B744" s="360">
        <v>50</v>
      </c>
      <c r="C744" s="360">
        <v>52.5</v>
      </c>
      <c r="D744" s="348" t="s">
        <v>80</v>
      </c>
      <c r="E744" s="349" t="s">
        <v>81</v>
      </c>
      <c r="F744" s="349" t="s">
        <v>82</v>
      </c>
      <c r="G744" s="349" t="s">
        <v>83</v>
      </c>
      <c r="H744" s="349" t="s">
        <v>84</v>
      </c>
      <c r="I744" s="244" t="s">
        <v>270</v>
      </c>
      <c r="J744" s="244" t="s">
        <v>581</v>
      </c>
      <c r="K744" s="222"/>
      <c r="L744" s="222"/>
      <c r="M744" s="222"/>
      <c r="N744" s="222"/>
    </row>
    <row r="745" spans="1:14" x14ac:dyDescent="0.25">
      <c r="A745" s="265" t="s">
        <v>20</v>
      </c>
      <c r="B745" s="216">
        <v>102.21</v>
      </c>
      <c r="C745" s="216">
        <v>119.69</v>
      </c>
      <c r="D745" s="216">
        <v>101.54</v>
      </c>
      <c r="E745" s="216">
        <v>14.67</v>
      </c>
      <c r="F745" s="216">
        <v>0.17</v>
      </c>
      <c r="G745" s="216">
        <v>0.7</v>
      </c>
      <c r="H745" s="216">
        <v>3.0670000000000002</v>
      </c>
      <c r="I745" s="216">
        <v>14.32</v>
      </c>
      <c r="J745" s="216">
        <v>1.1000000000000001</v>
      </c>
      <c r="K745" s="222"/>
      <c r="L745" s="222"/>
      <c r="M745" s="222"/>
      <c r="N745" s="222"/>
    </row>
    <row r="746" spans="1:14" x14ac:dyDescent="0.25">
      <c r="A746" s="265" t="s">
        <v>21</v>
      </c>
      <c r="B746" s="216">
        <v>-52.21</v>
      </c>
      <c r="C746" s="216">
        <v>-67.19</v>
      </c>
      <c r="D746" s="216">
        <v>-77.640000000000015</v>
      </c>
      <c r="E746" s="216">
        <f t="shared" ref="E746:J746" si="31">E743-E745</f>
        <v>9.2299999999999986</v>
      </c>
      <c r="F746" s="216">
        <f t="shared" si="31"/>
        <v>27.43</v>
      </c>
      <c r="G746" s="216">
        <f t="shared" si="31"/>
        <v>26.900000000000002</v>
      </c>
      <c r="H746" s="216">
        <f t="shared" si="31"/>
        <v>29.533000000000001</v>
      </c>
      <c r="I746" s="216">
        <f t="shared" si="31"/>
        <v>40.68</v>
      </c>
      <c r="J746" s="216">
        <f t="shared" si="31"/>
        <v>48.9</v>
      </c>
      <c r="K746" s="222"/>
      <c r="L746" s="222"/>
      <c r="M746" s="222"/>
      <c r="N746" s="222"/>
    </row>
    <row r="747" spans="1:14" x14ac:dyDescent="0.25">
      <c r="A747" s="219" t="s">
        <v>22</v>
      </c>
      <c r="B747" s="245">
        <v>2016</v>
      </c>
      <c r="C747" s="245">
        <v>2017</v>
      </c>
      <c r="D747" s="245">
        <v>2018</v>
      </c>
      <c r="E747" s="245">
        <v>2019</v>
      </c>
      <c r="F747" s="245" t="s">
        <v>72</v>
      </c>
      <c r="G747" s="245" t="s">
        <v>73</v>
      </c>
      <c r="H747" s="245" t="s">
        <v>161</v>
      </c>
      <c r="I747" s="245" t="s">
        <v>161</v>
      </c>
      <c r="J747" s="245" t="s">
        <v>161</v>
      </c>
      <c r="K747" s="222"/>
      <c r="L747" s="222"/>
      <c r="M747" s="222"/>
      <c r="N747" s="222"/>
    </row>
    <row r="748" spans="1:14" x14ac:dyDescent="0.25">
      <c r="A748" s="219" t="s">
        <v>501</v>
      </c>
      <c r="B748" s="282"/>
      <c r="C748" s="282"/>
      <c r="D748" s="282"/>
      <c r="E748" s="282"/>
      <c r="F748" s="282"/>
      <c r="G748" s="282"/>
      <c r="H748" s="282"/>
      <c r="I748" s="282"/>
      <c r="J748" s="246"/>
      <c r="K748" s="222"/>
      <c r="L748" s="222"/>
      <c r="M748" s="222"/>
      <c r="N748" s="222"/>
    </row>
    <row r="749" spans="1:14" x14ac:dyDescent="0.25">
      <c r="A749" s="358" t="s">
        <v>502</v>
      </c>
      <c r="B749" s="359"/>
      <c r="C749" s="359"/>
      <c r="D749" s="359"/>
      <c r="E749" s="359"/>
      <c r="F749" s="359"/>
      <c r="G749" s="359"/>
      <c r="H749" s="359"/>
      <c r="I749" s="359"/>
      <c r="J749" s="225"/>
      <c r="K749" s="222"/>
      <c r="L749" s="222"/>
      <c r="M749" s="222"/>
      <c r="N749" s="222"/>
    </row>
    <row r="750" spans="1:14" x14ac:dyDescent="0.25">
      <c r="A750" s="361"/>
      <c r="B750" s="361"/>
      <c r="C750" s="361"/>
      <c r="D750" s="361"/>
      <c r="E750" s="361"/>
      <c r="F750" s="361"/>
      <c r="G750" s="361"/>
      <c r="H750" s="361"/>
      <c r="I750" s="361"/>
      <c r="J750" s="222"/>
      <c r="K750" s="222"/>
      <c r="L750" s="222"/>
      <c r="M750" s="222"/>
      <c r="N750" s="222"/>
    </row>
    <row r="751" spans="1:14" x14ac:dyDescent="0.25">
      <c r="A751" s="222"/>
      <c r="B751" s="222"/>
      <c r="C751" s="222"/>
      <c r="D751" s="222"/>
      <c r="E751" s="222"/>
      <c r="F751" s="222"/>
      <c r="G751" s="222"/>
      <c r="H751" s="222"/>
      <c r="I751" s="222"/>
      <c r="J751" s="222"/>
      <c r="K751" s="222"/>
      <c r="L751" s="222"/>
      <c r="M751" s="222"/>
      <c r="N751" s="222"/>
    </row>
    <row r="752" spans="1:14" x14ac:dyDescent="0.25">
      <c r="A752" s="362" t="s">
        <v>11</v>
      </c>
      <c r="B752" s="553" t="s">
        <v>362</v>
      </c>
      <c r="C752" s="363"/>
      <c r="D752" s="222"/>
      <c r="E752" s="222"/>
      <c r="F752" s="222"/>
      <c r="G752" s="222"/>
      <c r="H752" s="222"/>
      <c r="I752" s="222"/>
      <c r="J752" s="222"/>
      <c r="K752" s="222"/>
      <c r="L752" s="222"/>
      <c r="M752" s="222"/>
      <c r="N752" s="222"/>
    </row>
    <row r="753" spans="1:14" x14ac:dyDescent="0.25">
      <c r="A753" s="364" t="s">
        <v>1</v>
      </c>
      <c r="B753" s="365" t="s">
        <v>638</v>
      </c>
      <c r="C753" s="264" t="s">
        <v>2</v>
      </c>
      <c r="D753" s="222"/>
      <c r="E753" s="222"/>
      <c r="F753" s="222"/>
      <c r="G753" s="222"/>
      <c r="H753" s="222"/>
      <c r="I753" s="222"/>
      <c r="J753" s="222"/>
      <c r="K753" s="222"/>
      <c r="L753" s="222"/>
      <c r="M753" s="222"/>
      <c r="N753" s="222"/>
    </row>
    <row r="754" spans="1:14" x14ac:dyDescent="0.25">
      <c r="A754" s="265" t="s">
        <v>3</v>
      </c>
      <c r="B754" s="213">
        <v>2015</v>
      </c>
      <c r="C754" s="213">
        <v>2016</v>
      </c>
      <c r="D754" s="277">
        <v>2017</v>
      </c>
      <c r="E754" s="213">
        <v>2018</v>
      </c>
      <c r="F754" s="213">
        <v>2019</v>
      </c>
      <c r="G754" s="213">
        <v>2020</v>
      </c>
      <c r="H754" s="213">
        <v>2021</v>
      </c>
      <c r="I754" s="213">
        <v>2022</v>
      </c>
      <c r="J754" s="213">
        <v>2023</v>
      </c>
      <c r="K754" s="222"/>
      <c r="L754" s="222"/>
      <c r="M754" s="222"/>
      <c r="N754" s="222"/>
    </row>
    <row r="755" spans="1:14" x14ac:dyDescent="0.25">
      <c r="A755" s="265" t="s">
        <v>4</v>
      </c>
      <c r="B755" s="232">
        <v>200</v>
      </c>
      <c r="C755" s="279">
        <v>200</v>
      </c>
      <c r="D755" s="232">
        <v>200</v>
      </c>
      <c r="E755" s="214">
        <v>200</v>
      </c>
      <c r="F755" s="214">
        <v>215</v>
      </c>
      <c r="G755" s="214">
        <v>215</v>
      </c>
      <c r="H755" s="214">
        <v>242</v>
      </c>
      <c r="I755" s="214">
        <v>242</v>
      </c>
      <c r="J755" s="214">
        <v>242</v>
      </c>
      <c r="K755" s="222"/>
      <c r="L755" s="222"/>
      <c r="M755" s="222"/>
      <c r="N755" s="222"/>
    </row>
    <row r="756" spans="1:14" x14ac:dyDescent="0.25">
      <c r="A756" s="265" t="s">
        <v>5</v>
      </c>
      <c r="B756" s="232">
        <f t="shared" ref="B756:E756" si="32">200+(200*25%)</f>
        <v>250</v>
      </c>
      <c r="C756" s="232">
        <f t="shared" si="32"/>
        <v>250</v>
      </c>
      <c r="D756" s="232">
        <f t="shared" si="32"/>
        <v>250</v>
      </c>
      <c r="E756" s="232">
        <f t="shared" si="32"/>
        <v>250</v>
      </c>
      <c r="F756" s="214">
        <f>F755+0.25*E755</f>
        <v>265</v>
      </c>
      <c r="G756" s="214">
        <f t="shared" ref="G756:J756" si="33">G755+0.25*F755</f>
        <v>268.75</v>
      </c>
      <c r="H756" s="214">
        <f t="shared" si="33"/>
        <v>295.75</v>
      </c>
      <c r="I756" s="214">
        <f t="shared" si="33"/>
        <v>302.5</v>
      </c>
      <c r="J756" s="214">
        <f t="shared" si="33"/>
        <v>302.5</v>
      </c>
      <c r="K756" s="222"/>
      <c r="L756" s="222"/>
      <c r="M756" s="222"/>
      <c r="N756" s="222"/>
    </row>
    <row r="757" spans="1:14" x14ac:dyDescent="0.25">
      <c r="A757" s="265" t="s">
        <v>6</v>
      </c>
      <c r="B757" s="215">
        <v>2</v>
      </c>
      <c r="C757" s="366">
        <v>3</v>
      </c>
      <c r="D757" s="215">
        <v>4</v>
      </c>
      <c r="E757" s="367">
        <v>5</v>
      </c>
      <c r="F757" s="367">
        <v>6</v>
      </c>
      <c r="G757" s="215">
        <v>7</v>
      </c>
      <c r="H757" s="215">
        <v>8</v>
      </c>
      <c r="I757" s="215">
        <v>9</v>
      </c>
      <c r="J757" s="215">
        <v>10</v>
      </c>
      <c r="K757" s="222"/>
      <c r="L757" s="222"/>
      <c r="M757" s="222"/>
      <c r="N757" s="222"/>
    </row>
    <row r="758" spans="1:14" x14ac:dyDescent="0.25">
      <c r="A758" s="265" t="s">
        <v>7</v>
      </c>
      <c r="B758" s="216">
        <v>0</v>
      </c>
      <c r="C758" s="285">
        <v>0</v>
      </c>
      <c r="D758" s="216">
        <v>0</v>
      </c>
      <c r="E758" s="286">
        <v>0</v>
      </c>
      <c r="F758" s="286">
        <v>0</v>
      </c>
      <c r="G758" s="216">
        <v>0</v>
      </c>
      <c r="H758" s="216">
        <v>0</v>
      </c>
      <c r="I758" s="216">
        <v>0</v>
      </c>
      <c r="J758" s="216"/>
      <c r="K758" s="222"/>
      <c r="L758" s="222"/>
      <c r="M758" s="222"/>
      <c r="N758" s="222"/>
    </row>
    <row r="759" spans="1:14" x14ac:dyDescent="0.25">
      <c r="A759" s="265" t="s">
        <v>8</v>
      </c>
      <c r="B759" s="232">
        <f t="shared" ref="B759:D759" si="34">B756-B758</f>
        <v>250</v>
      </c>
      <c r="C759" s="232">
        <f t="shared" si="34"/>
        <v>250</v>
      </c>
      <c r="D759" s="232">
        <f t="shared" si="34"/>
        <v>250</v>
      </c>
      <c r="E759" s="214">
        <v>250</v>
      </c>
      <c r="F759" s="214">
        <f>F756-F758</f>
        <v>265</v>
      </c>
      <c r="G759" s="214">
        <f>G756-G758</f>
        <v>268.75</v>
      </c>
      <c r="H759" s="214">
        <f t="shared" ref="H759:I759" si="35">H756-H758</f>
        <v>295.75</v>
      </c>
      <c r="I759" s="214">
        <f t="shared" si="35"/>
        <v>302.5</v>
      </c>
      <c r="J759" s="214"/>
      <c r="K759" s="222"/>
      <c r="L759" s="222"/>
      <c r="M759" s="222"/>
      <c r="N759" s="222"/>
    </row>
    <row r="760" spans="1:14" x14ac:dyDescent="0.25">
      <c r="A760" s="265" t="s">
        <v>9</v>
      </c>
      <c r="B760" s="217">
        <v>2016</v>
      </c>
      <c r="C760" s="217">
        <v>2017</v>
      </c>
      <c r="D760" s="217">
        <v>2018</v>
      </c>
      <c r="E760" s="217">
        <v>2019</v>
      </c>
      <c r="F760" s="217">
        <v>2020</v>
      </c>
      <c r="G760" s="217">
        <v>2021</v>
      </c>
      <c r="H760" s="217">
        <v>2022</v>
      </c>
      <c r="I760" s="217">
        <v>2023</v>
      </c>
      <c r="J760" s="217">
        <v>2024</v>
      </c>
      <c r="K760" s="222"/>
      <c r="L760" s="222"/>
      <c r="M760" s="222"/>
      <c r="N760" s="222"/>
    </row>
    <row r="761" spans="1:14" x14ac:dyDescent="0.25">
      <c r="A761" s="219" t="s">
        <v>10</v>
      </c>
      <c r="B761" s="219"/>
      <c r="C761" s="220"/>
      <c r="D761" s="220"/>
      <c r="E761" s="220"/>
      <c r="F761" s="220"/>
      <c r="G761" s="218"/>
      <c r="H761" s="218"/>
      <c r="I761" s="218"/>
      <c r="J761" s="218"/>
      <c r="K761" s="222"/>
      <c r="L761" s="222"/>
      <c r="M761" s="222"/>
      <c r="N761" s="222"/>
    </row>
    <row r="762" spans="1:14" x14ac:dyDescent="0.25">
      <c r="A762" s="219" t="s">
        <v>363</v>
      </c>
      <c r="B762" s="220"/>
      <c r="C762" s="220"/>
      <c r="D762" s="220"/>
      <c r="E762" s="220"/>
      <c r="F762" s="220"/>
      <c r="G762" s="220"/>
      <c r="H762" s="220"/>
      <c r="I762" s="220"/>
      <c r="J762" s="218"/>
      <c r="K762" s="222"/>
      <c r="L762" s="222"/>
      <c r="M762" s="222"/>
      <c r="N762" s="222"/>
    </row>
    <row r="763" spans="1:14" x14ac:dyDescent="0.25">
      <c r="A763" s="221" t="s">
        <v>852</v>
      </c>
      <c r="B763" s="222"/>
      <c r="C763" s="222"/>
      <c r="D763" s="222"/>
      <c r="E763" s="222"/>
      <c r="F763" s="222"/>
      <c r="G763" s="222"/>
      <c r="H763" s="222"/>
      <c r="I763" s="222"/>
      <c r="J763" s="223"/>
      <c r="K763" s="222"/>
      <c r="L763" s="222"/>
      <c r="M763" s="222"/>
      <c r="N763" s="222"/>
    </row>
    <row r="764" spans="1:14" x14ac:dyDescent="0.25">
      <c r="A764" s="221" t="s">
        <v>853</v>
      </c>
      <c r="B764" s="222"/>
      <c r="C764" s="222"/>
      <c r="D764" s="222"/>
      <c r="E764" s="222"/>
      <c r="F764" s="222"/>
      <c r="G764" s="222"/>
      <c r="H764" s="222"/>
      <c r="I764" s="222"/>
      <c r="J764" s="223"/>
      <c r="K764" s="222"/>
      <c r="L764" s="222"/>
      <c r="M764" s="222"/>
      <c r="N764" s="222"/>
    </row>
    <row r="765" spans="1:14" x14ac:dyDescent="0.25">
      <c r="A765" s="221" t="s">
        <v>854</v>
      </c>
      <c r="B765" s="222"/>
      <c r="C765" s="222"/>
      <c r="D765" s="222"/>
      <c r="E765" s="222"/>
      <c r="F765" s="222"/>
      <c r="G765" s="222"/>
      <c r="H765" s="222"/>
      <c r="I765" s="222"/>
      <c r="J765" s="223"/>
      <c r="K765" s="222"/>
      <c r="L765" s="222"/>
      <c r="M765" s="222"/>
      <c r="N765" s="222"/>
    </row>
    <row r="766" spans="1:14" x14ac:dyDescent="0.25">
      <c r="A766" s="221" t="s">
        <v>855</v>
      </c>
      <c r="B766" s="222"/>
      <c r="C766" s="222"/>
      <c r="D766" s="222"/>
      <c r="E766" s="222"/>
      <c r="F766" s="222"/>
      <c r="G766" s="222"/>
      <c r="H766" s="222"/>
      <c r="I766" s="222"/>
      <c r="J766" s="223"/>
      <c r="K766" s="222"/>
      <c r="L766" s="222"/>
      <c r="M766" s="222"/>
      <c r="N766" s="222"/>
    </row>
    <row r="767" spans="1:14" x14ac:dyDescent="0.25">
      <c r="A767" s="221" t="s">
        <v>856</v>
      </c>
      <c r="B767" s="222"/>
      <c r="C767" s="222"/>
      <c r="D767" s="222"/>
      <c r="E767" s="222"/>
      <c r="F767" s="222"/>
      <c r="G767" s="222"/>
      <c r="H767" s="222"/>
      <c r="I767" s="222"/>
      <c r="J767" s="223"/>
      <c r="K767" s="222"/>
      <c r="L767" s="222"/>
      <c r="M767" s="222"/>
      <c r="N767" s="222"/>
    </row>
    <row r="768" spans="1:14" x14ac:dyDescent="0.25">
      <c r="A768" s="221" t="s">
        <v>857</v>
      </c>
      <c r="B768" s="222"/>
      <c r="C768" s="222"/>
      <c r="D768" s="222"/>
      <c r="E768" s="222"/>
      <c r="F768" s="222"/>
      <c r="G768" s="222"/>
      <c r="H768" s="222"/>
      <c r="I768" s="222"/>
      <c r="J768" s="223"/>
      <c r="K768" s="222"/>
      <c r="L768" s="222"/>
      <c r="M768" s="222"/>
      <c r="N768" s="222"/>
    </row>
    <row r="769" spans="1:14" x14ac:dyDescent="0.25">
      <c r="A769" s="221" t="s">
        <v>858</v>
      </c>
      <c r="B769" s="222"/>
      <c r="C769" s="222"/>
      <c r="D769" s="222"/>
      <c r="E769" s="222"/>
      <c r="F769" s="222"/>
      <c r="G769" s="222"/>
      <c r="H769" s="222"/>
      <c r="I769" s="222"/>
      <c r="J769" s="223"/>
      <c r="K769" s="222"/>
      <c r="L769" s="222"/>
      <c r="M769" s="222"/>
      <c r="N769" s="222"/>
    </row>
    <row r="770" spans="1:14" x14ac:dyDescent="0.25">
      <c r="A770" s="221" t="s">
        <v>859</v>
      </c>
      <c r="B770" s="222"/>
      <c r="C770" s="222"/>
      <c r="D770" s="222"/>
      <c r="E770" s="222"/>
      <c r="F770" s="222"/>
      <c r="G770" s="222"/>
      <c r="H770" s="222"/>
      <c r="I770" s="222"/>
      <c r="J770" s="223"/>
      <c r="K770" s="222"/>
      <c r="L770" s="222"/>
      <c r="M770" s="222"/>
      <c r="N770" s="222"/>
    </row>
    <row r="771" spans="1:14" x14ac:dyDescent="0.25">
      <c r="A771" s="212" t="s">
        <v>860</v>
      </c>
      <c r="B771" s="224"/>
      <c r="C771" s="224"/>
      <c r="D771" s="224"/>
      <c r="E771" s="224"/>
      <c r="F771" s="224"/>
      <c r="G771" s="224"/>
      <c r="H771" s="224"/>
      <c r="I771" s="224"/>
      <c r="J771" s="225"/>
      <c r="K771" s="222"/>
      <c r="L771" s="222"/>
      <c r="M771" s="222"/>
      <c r="N771" s="222"/>
    </row>
    <row r="772" spans="1:14" x14ac:dyDescent="0.25">
      <c r="A772" s="222"/>
      <c r="B772" s="222"/>
      <c r="C772" s="222"/>
      <c r="D772" s="222"/>
      <c r="E772" s="222"/>
      <c r="F772" s="222"/>
      <c r="G772" s="222"/>
      <c r="H772" s="222"/>
      <c r="I772" s="222"/>
      <c r="J772" s="222"/>
      <c r="K772" s="222"/>
      <c r="L772" s="222"/>
      <c r="M772" s="222"/>
      <c r="N772" s="222"/>
    </row>
    <row r="773" spans="1:14" s="66" customFormat="1" x14ac:dyDescent="0.25">
      <c r="A773" s="368" t="s">
        <v>1</v>
      </c>
      <c r="B773" s="369" t="s">
        <v>637</v>
      </c>
      <c r="C773" s="370" t="s">
        <v>2</v>
      </c>
      <c r="D773" s="371"/>
      <c r="E773" s="371"/>
      <c r="F773" s="371"/>
      <c r="G773" s="371"/>
      <c r="H773" s="371"/>
      <c r="I773" s="371"/>
      <c r="J773" s="371"/>
      <c r="K773" s="371"/>
      <c r="L773" s="371"/>
      <c r="M773" s="371"/>
      <c r="N773" s="371"/>
    </row>
    <row r="774" spans="1:14" s="66" customFormat="1" x14ac:dyDescent="0.25">
      <c r="A774" s="372" t="s">
        <v>3</v>
      </c>
      <c r="B774" s="373">
        <v>2015</v>
      </c>
      <c r="C774" s="373">
        <v>2016</v>
      </c>
      <c r="D774" s="374">
        <v>2017</v>
      </c>
      <c r="E774" s="373">
        <v>2018</v>
      </c>
      <c r="F774" s="373">
        <v>2019</v>
      </c>
      <c r="G774" s="373">
        <v>2020</v>
      </c>
      <c r="H774" s="373">
        <v>2021</v>
      </c>
      <c r="I774" s="373">
        <v>2022</v>
      </c>
      <c r="J774" s="373">
        <v>2023</v>
      </c>
      <c r="K774" s="371"/>
      <c r="L774" s="371"/>
      <c r="M774" s="371"/>
      <c r="N774" s="371"/>
    </row>
    <row r="775" spans="1:14" s="66" customFormat="1" x14ac:dyDescent="0.25">
      <c r="A775" s="372" t="s">
        <v>4</v>
      </c>
      <c r="B775" s="375">
        <v>40</v>
      </c>
      <c r="C775" s="375">
        <v>40</v>
      </c>
      <c r="D775" s="376">
        <v>40</v>
      </c>
      <c r="E775" s="375">
        <v>40</v>
      </c>
      <c r="F775" s="377">
        <v>40</v>
      </c>
      <c r="G775" s="377">
        <v>40</v>
      </c>
      <c r="H775" s="377">
        <v>40</v>
      </c>
      <c r="I775" s="377">
        <v>40</v>
      </c>
      <c r="J775" s="377">
        <v>40</v>
      </c>
      <c r="K775" s="371"/>
      <c r="L775" s="371"/>
      <c r="M775" s="371"/>
      <c r="N775" s="371"/>
    </row>
    <row r="776" spans="1:14" s="66" customFormat="1" x14ac:dyDescent="0.25">
      <c r="A776" s="372" t="s">
        <v>5</v>
      </c>
      <c r="B776" s="375">
        <f>40+(40*50%)+40</f>
        <v>100</v>
      </c>
      <c r="C776" s="375">
        <f>40+(40*50%)+40</f>
        <v>100</v>
      </c>
      <c r="D776" s="375">
        <v>112.75</v>
      </c>
      <c r="E776" s="375">
        <v>108.75</v>
      </c>
      <c r="F776" s="375">
        <v>108.75</v>
      </c>
      <c r="G776" s="375">
        <v>108.75</v>
      </c>
      <c r="H776" s="375">
        <v>108.75</v>
      </c>
      <c r="I776" s="375">
        <f>I775+0.4*G775+40</f>
        <v>96</v>
      </c>
      <c r="J776" s="637">
        <f>J775+0.4*H775</f>
        <v>56</v>
      </c>
      <c r="K776" s="371"/>
      <c r="L776" s="371"/>
      <c r="M776" s="371"/>
      <c r="N776" s="371"/>
    </row>
    <row r="777" spans="1:14" s="66" customFormat="1" x14ac:dyDescent="0.25">
      <c r="A777" s="372" t="s">
        <v>6</v>
      </c>
      <c r="B777" s="244">
        <v>1</v>
      </c>
      <c r="C777" s="244">
        <v>2</v>
      </c>
      <c r="D777" s="378">
        <v>3</v>
      </c>
      <c r="E777" s="244">
        <v>4</v>
      </c>
      <c r="F777" s="379">
        <v>5</v>
      </c>
      <c r="G777" s="244">
        <v>6</v>
      </c>
      <c r="H777" s="244">
        <v>7</v>
      </c>
      <c r="I777" s="244">
        <v>8</v>
      </c>
      <c r="J777" s="244">
        <v>9</v>
      </c>
      <c r="K777" s="371"/>
      <c r="L777" s="371"/>
      <c r="M777" s="371"/>
      <c r="N777" s="371"/>
    </row>
    <row r="778" spans="1:14" s="66" customFormat="1" x14ac:dyDescent="0.25">
      <c r="A778" s="372" t="s">
        <v>7</v>
      </c>
      <c r="B778" s="375">
        <v>0</v>
      </c>
      <c r="C778" s="375">
        <v>0</v>
      </c>
      <c r="D778" s="376">
        <v>0</v>
      </c>
      <c r="E778" s="375">
        <v>0</v>
      </c>
      <c r="F778" s="377">
        <v>0</v>
      </c>
      <c r="G778" s="375">
        <v>0</v>
      </c>
      <c r="H778" s="375">
        <v>0</v>
      </c>
      <c r="I778" s="375">
        <v>78</v>
      </c>
      <c r="J778" s="375"/>
      <c r="K778" s="371"/>
      <c r="L778" s="371"/>
      <c r="M778" s="371"/>
      <c r="N778" s="371"/>
    </row>
    <row r="779" spans="1:14" s="66" customFormat="1" x14ac:dyDescent="0.25">
      <c r="A779" s="372" t="s">
        <v>8</v>
      </c>
      <c r="B779" s="375">
        <f>B776-B778</f>
        <v>100</v>
      </c>
      <c r="C779" s="375">
        <f t="shared" ref="C779" si="36">C776-C778</f>
        <v>100</v>
      </c>
      <c r="D779" s="375">
        <f>D776-D778</f>
        <v>112.75</v>
      </c>
      <c r="E779" s="375">
        <f t="shared" ref="E779:G779" si="37">E776-E778</f>
        <v>108.75</v>
      </c>
      <c r="F779" s="375">
        <f t="shared" si="37"/>
        <v>108.75</v>
      </c>
      <c r="G779" s="375">
        <f t="shared" si="37"/>
        <v>108.75</v>
      </c>
      <c r="H779" s="375">
        <v>108.75</v>
      </c>
      <c r="I779" s="375">
        <f t="shared" ref="I779" si="38">I776-I778</f>
        <v>18</v>
      </c>
      <c r="J779" s="375"/>
      <c r="K779" s="371"/>
      <c r="L779" s="371"/>
      <c r="M779" s="371"/>
      <c r="N779" s="371"/>
    </row>
    <row r="780" spans="1:14" s="66" customFormat="1" x14ac:dyDescent="0.25">
      <c r="A780" s="380" t="s">
        <v>9</v>
      </c>
      <c r="B780" s="381">
        <v>2017</v>
      </c>
      <c r="C780" s="381">
        <v>2018</v>
      </c>
      <c r="D780" s="381">
        <v>2019</v>
      </c>
      <c r="E780" s="381">
        <v>2020</v>
      </c>
      <c r="F780" s="381">
        <v>2021</v>
      </c>
      <c r="G780" s="381">
        <v>2022</v>
      </c>
      <c r="H780" s="381">
        <v>2023</v>
      </c>
      <c r="I780" s="381">
        <v>2024</v>
      </c>
      <c r="J780" s="381">
        <v>2025</v>
      </c>
      <c r="K780" s="371"/>
      <c r="L780" s="371"/>
      <c r="M780" s="371"/>
      <c r="N780" s="371"/>
    </row>
    <row r="781" spans="1:14" s="66" customFormat="1" x14ac:dyDescent="0.25">
      <c r="A781" s="662" t="s">
        <v>10</v>
      </c>
      <c r="B781" s="663"/>
      <c r="C781" s="663"/>
      <c r="D781" s="663"/>
      <c r="E781" s="663"/>
      <c r="F781" s="663"/>
      <c r="G781" s="378"/>
      <c r="H781" s="378"/>
      <c r="I781" s="378"/>
      <c r="J781" s="379"/>
      <c r="K781" s="371"/>
      <c r="L781" s="371"/>
      <c r="M781" s="371"/>
      <c r="N781" s="371"/>
    </row>
    <row r="782" spans="1:14" s="66" customFormat="1" x14ac:dyDescent="0.25">
      <c r="A782" s="521" t="s">
        <v>363</v>
      </c>
      <c r="B782" s="371"/>
      <c r="C782" s="371"/>
      <c r="D782" s="371"/>
      <c r="E782" s="371"/>
      <c r="F782" s="371"/>
      <c r="G782" s="371"/>
      <c r="H782" s="371"/>
      <c r="I782" s="371"/>
      <c r="J782" s="384"/>
      <c r="K782" s="371"/>
      <c r="L782" s="371"/>
      <c r="M782" s="371"/>
      <c r="N782" s="371"/>
    </row>
    <row r="783" spans="1:14" s="66" customFormat="1" x14ac:dyDescent="0.25">
      <c r="A783" s="642" t="s">
        <v>364</v>
      </c>
      <c r="B783" s="643"/>
      <c r="C783" s="643"/>
      <c r="D783" s="643"/>
      <c r="E783" s="643"/>
      <c r="F783" s="643"/>
      <c r="G783" s="371"/>
      <c r="H783" s="371"/>
      <c r="I783" s="371"/>
      <c r="J783" s="384"/>
      <c r="K783" s="371"/>
      <c r="L783" s="371"/>
      <c r="M783" s="371"/>
      <c r="N783" s="371"/>
    </row>
    <row r="784" spans="1:14" s="66" customFormat="1" x14ac:dyDescent="0.25">
      <c r="A784" s="642" t="s">
        <v>365</v>
      </c>
      <c r="B784" s="643"/>
      <c r="C784" s="643"/>
      <c r="D784" s="643"/>
      <c r="E784" s="643"/>
      <c r="F784" s="643"/>
      <c r="G784" s="371"/>
      <c r="H784" s="371"/>
      <c r="I784" s="371"/>
      <c r="J784" s="384"/>
      <c r="K784" s="371"/>
      <c r="L784" s="371"/>
      <c r="M784" s="371"/>
      <c r="N784" s="371"/>
    </row>
    <row r="785" spans="1:14" s="66" customFormat="1" ht="45" customHeight="1" x14ac:dyDescent="0.25">
      <c r="A785" s="642" t="s">
        <v>366</v>
      </c>
      <c r="B785" s="643"/>
      <c r="C785" s="643"/>
      <c r="D785" s="643"/>
      <c r="E785" s="643"/>
      <c r="F785" s="643"/>
      <c r="G785" s="643"/>
      <c r="H785" s="371"/>
      <c r="I785" s="371"/>
      <c r="J785" s="384"/>
      <c r="K785" s="371"/>
      <c r="L785" s="371"/>
      <c r="M785" s="371"/>
      <c r="N785" s="371"/>
    </row>
    <row r="786" spans="1:14" s="66" customFormat="1" ht="30" customHeight="1" x14ac:dyDescent="0.25">
      <c r="A786" s="642" t="s">
        <v>367</v>
      </c>
      <c r="B786" s="643"/>
      <c r="C786" s="643"/>
      <c r="D786" s="643"/>
      <c r="E786" s="643"/>
      <c r="F786" s="643"/>
      <c r="G786" s="643"/>
      <c r="H786" s="371"/>
      <c r="I786" s="371"/>
      <c r="J786" s="384"/>
      <c r="K786" s="371"/>
      <c r="L786" s="371"/>
      <c r="M786" s="371"/>
      <c r="N786" s="371"/>
    </row>
    <row r="787" spans="1:14" s="66" customFormat="1" ht="30" customHeight="1" x14ac:dyDescent="0.25">
      <c r="A787" s="642" t="s">
        <v>368</v>
      </c>
      <c r="B787" s="643"/>
      <c r="C787" s="643"/>
      <c r="D787" s="643"/>
      <c r="E787" s="643"/>
      <c r="F787" s="643"/>
      <c r="G787" s="643"/>
      <c r="H787" s="371"/>
      <c r="I787" s="371"/>
      <c r="J787" s="384"/>
      <c r="K787" s="371"/>
      <c r="L787" s="371"/>
      <c r="M787" s="371"/>
      <c r="N787" s="371"/>
    </row>
    <row r="788" spans="1:14" s="66" customFormat="1" ht="30" customHeight="1" x14ac:dyDescent="0.25">
      <c r="A788" s="642" t="s">
        <v>369</v>
      </c>
      <c r="B788" s="643"/>
      <c r="C788" s="643"/>
      <c r="D788" s="643"/>
      <c r="E788" s="643"/>
      <c r="F788" s="643"/>
      <c r="G788" s="643"/>
      <c r="H788" s="371"/>
      <c r="I788" s="371"/>
      <c r="J788" s="384"/>
      <c r="K788" s="371"/>
      <c r="L788" s="371"/>
      <c r="M788" s="371"/>
      <c r="N788" s="371"/>
    </row>
    <row r="789" spans="1:14" s="66" customFormat="1" ht="30" customHeight="1" x14ac:dyDescent="0.25">
      <c r="A789" s="642" t="s">
        <v>608</v>
      </c>
      <c r="B789" s="643"/>
      <c r="C789" s="643"/>
      <c r="D789" s="643"/>
      <c r="E789" s="643"/>
      <c r="F789" s="643"/>
      <c r="G789" s="643"/>
      <c r="H789" s="371"/>
      <c r="I789" s="371"/>
      <c r="J789" s="384"/>
      <c r="K789" s="371"/>
      <c r="L789" s="371"/>
      <c r="M789" s="371"/>
      <c r="N789" s="371"/>
    </row>
    <row r="790" spans="1:14" s="66" customFormat="1" ht="30" customHeight="1" x14ac:dyDescent="0.25">
      <c r="A790" s="275" t="s">
        <v>609</v>
      </c>
      <c r="B790" s="512"/>
      <c r="C790" s="512"/>
      <c r="D790" s="512"/>
      <c r="E790" s="512"/>
      <c r="F790" s="512"/>
      <c r="G790" s="512"/>
      <c r="H790" s="371"/>
      <c r="I790" s="371"/>
      <c r="J790" s="384"/>
      <c r="K790" s="371"/>
      <c r="L790" s="371"/>
      <c r="M790" s="371"/>
      <c r="N790" s="371"/>
    </row>
    <row r="791" spans="1:14" s="66" customFormat="1" ht="30" customHeight="1" x14ac:dyDescent="0.25">
      <c r="A791" s="652" t="s">
        <v>967</v>
      </c>
      <c r="B791" s="653"/>
      <c r="C791" s="653"/>
      <c r="D791" s="653"/>
      <c r="E791" s="653"/>
      <c r="F791" s="653"/>
      <c r="G791" s="653"/>
      <c r="H791" s="353"/>
      <c r="I791" s="353"/>
      <c r="J791" s="385"/>
      <c r="K791" s="371"/>
      <c r="L791" s="371"/>
      <c r="M791" s="371"/>
      <c r="N791" s="371"/>
    </row>
    <row r="792" spans="1:14" x14ac:dyDescent="0.25">
      <c r="A792" s="222"/>
      <c r="B792" s="222"/>
      <c r="C792" s="222"/>
      <c r="D792" s="222"/>
      <c r="E792" s="222"/>
      <c r="F792" s="222"/>
      <c r="G792" s="222"/>
      <c r="H792" s="222"/>
      <c r="I792" s="222"/>
      <c r="J792" s="222"/>
      <c r="K792" s="222"/>
      <c r="L792" s="222"/>
      <c r="M792" s="222"/>
      <c r="N792" s="222"/>
    </row>
    <row r="793" spans="1:14" x14ac:dyDescent="0.25">
      <c r="A793" s="262" t="s">
        <v>1</v>
      </c>
      <c r="B793" s="276" t="s">
        <v>664</v>
      </c>
      <c r="C793" s="370" t="s">
        <v>2</v>
      </c>
      <c r="D793" s="222"/>
      <c r="E793" s="222"/>
      <c r="F793" s="222"/>
      <c r="G793" s="222"/>
      <c r="H793" s="222"/>
      <c r="I793" s="222"/>
      <c r="J793" s="222"/>
      <c r="K793" s="222"/>
      <c r="L793" s="222"/>
      <c r="M793" s="222"/>
      <c r="N793" s="222"/>
    </row>
    <row r="794" spans="1:14" x14ac:dyDescent="0.25">
      <c r="A794" s="265" t="s">
        <v>3</v>
      </c>
      <c r="B794" s="386">
        <v>2015</v>
      </c>
      <c r="C794" s="386">
        <v>2016</v>
      </c>
      <c r="D794" s="387">
        <v>2017</v>
      </c>
      <c r="E794" s="386">
        <v>2018</v>
      </c>
      <c r="F794" s="386">
        <v>2019</v>
      </c>
      <c r="G794" s="213">
        <v>2020</v>
      </c>
      <c r="H794" s="213">
        <v>2021</v>
      </c>
      <c r="I794" s="213">
        <v>2022</v>
      </c>
      <c r="J794" s="213">
        <v>2023</v>
      </c>
      <c r="K794" s="222"/>
      <c r="L794" s="222"/>
      <c r="M794" s="222"/>
      <c r="N794" s="222"/>
    </row>
    <row r="795" spans="1:14" x14ac:dyDescent="0.25">
      <c r="A795" s="265" t="s">
        <v>4</v>
      </c>
      <c r="B795" s="388">
        <v>4.51</v>
      </c>
      <c r="C795" s="388">
        <v>4.51</v>
      </c>
      <c r="D795" s="389">
        <v>4.51</v>
      </c>
      <c r="E795" s="388">
        <v>5.31</v>
      </c>
      <c r="F795" s="390">
        <v>5.31</v>
      </c>
      <c r="G795" s="216">
        <v>5.31</v>
      </c>
      <c r="H795" s="216">
        <v>5.31</v>
      </c>
      <c r="I795" s="216">
        <v>6.18</v>
      </c>
      <c r="J795" s="216">
        <v>6.18</v>
      </c>
      <c r="K795" s="222"/>
      <c r="L795" s="222"/>
      <c r="M795" s="222"/>
      <c r="N795" s="222"/>
    </row>
    <row r="796" spans="1:14" x14ac:dyDescent="0.25">
      <c r="A796" s="265" t="s">
        <v>5</v>
      </c>
      <c r="B796" s="388">
        <v>8.51</v>
      </c>
      <c r="C796" s="388">
        <v>9.02</v>
      </c>
      <c r="D796" s="388">
        <v>4.1899999999999995</v>
      </c>
      <c r="E796" s="388">
        <v>9.5</v>
      </c>
      <c r="F796" s="388">
        <f>2*F795-9.62</f>
        <v>1</v>
      </c>
      <c r="G796" s="216">
        <f>G795+F799-4.78</f>
        <v>1.5299999999999994</v>
      </c>
      <c r="H796" s="216">
        <f>H795+G799-4.78</f>
        <v>2.0599999999999987</v>
      </c>
      <c r="I796" s="216">
        <f>I795+H799-4.78</f>
        <v>3.4599999999999982</v>
      </c>
      <c r="J796" s="216">
        <f>J795+I799-5.18</f>
        <v>4.4599999999999973</v>
      </c>
      <c r="K796" s="222"/>
      <c r="L796" s="222"/>
      <c r="M796" s="222"/>
      <c r="N796" s="222"/>
    </row>
    <row r="797" spans="1:14" x14ac:dyDescent="0.25">
      <c r="A797" s="265" t="s">
        <v>6</v>
      </c>
      <c r="B797" s="391">
        <v>1</v>
      </c>
      <c r="C797" s="391">
        <v>2</v>
      </c>
      <c r="D797" s="392">
        <v>3</v>
      </c>
      <c r="E797" s="391">
        <v>4</v>
      </c>
      <c r="F797" s="393">
        <v>5</v>
      </c>
      <c r="G797" s="227">
        <v>6</v>
      </c>
      <c r="H797" s="227">
        <v>7</v>
      </c>
      <c r="I797" s="227">
        <v>8</v>
      </c>
      <c r="J797" s="227">
        <v>9</v>
      </c>
      <c r="K797" s="222"/>
      <c r="L797" s="222"/>
      <c r="M797" s="222"/>
      <c r="N797" s="222"/>
    </row>
    <row r="798" spans="1:14" x14ac:dyDescent="0.25">
      <c r="A798" s="265" t="s">
        <v>7</v>
      </c>
      <c r="B798" s="388">
        <v>0.17</v>
      </c>
      <c r="C798" s="388">
        <v>9.34</v>
      </c>
      <c r="D798" s="389">
        <v>0</v>
      </c>
      <c r="E798" s="388">
        <v>0</v>
      </c>
      <c r="F798" s="390">
        <v>0</v>
      </c>
      <c r="G798" s="216">
        <v>0</v>
      </c>
      <c r="H798" s="216">
        <v>0</v>
      </c>
      <c r="I798" s="216">
        <v>0</v>
      </c>
      <c r="J798" s="216"/>
      <c r="K798" s="222"/>
      <c r="L798" s="222"/>
      <c r="M798" s="222"/>
      <c r="N798" s="222"/>
    </row>
    <row r="799" spans="1:14" x14ac:dyDescent="0.25">
      <c r="A799" s="265" t="s">
        <v>8</v>
      </c>
      <c r="B799" s="388">
        <v>8.34</v>
      </c>
      <c r="C799" s="388">
        <v>-0.32000000000000028</v>
      </c>
      <c r="D799" s="388">
        <v>4.1899999999999995</v>
      </c>
      <c r="E799" s="388">
        <v>9.5</v>
      </c>
      <c r="F799" s="390">
        <f>F796-F798</f>
        <v>1</v>
      </c>
      <c r="G799" s="216">
        <f>G796</f>
        <v>1.5299999999999994</v>
      </c>
      <c r="H799" s="216">
        <f>H796</f>
        <v>2.0599999999999987</v>
      </c>
      <c r="I799" s="216">
        <f>I796-I798</f>
        <v>3.4599999999999982</v>
      </c>
      <c r="J799" s="216"/>
      <c r="K799" s="222"/>
      <c r="L799" s="222"/>
      <c r="M799" s="222"/>
      <c r="N799" s="222"/>
    </row>
    <row r="800" spans="1:14" x14ac:dyDescent="0.25">
      <c r="A800" s="219" t="s">
        <v>9</v>
      </c>
      <c r="B800" s="394">
        <v>2016</v>
      </c>
      <c r="C800" s="394">
        <v>2017</v>
      </c>
      <c r="D800" s="394">
        <v>2018</v>
      </c>
      <c r="E800" s="394">
        <v>2019</v>
      </c>
      <c r="F800" s="394">
        <v>2020</v>
      </c>
      <c r="G800" s="394">
        <v>2021</v>
      </c>
      <c r="H800" s="394">
        <v>2022</v>
      </c>
      <c r="I800" s="394">
        <v>2023</v>
      </c>
      <c r="J800" s="394">
        <v>2024</v>
      </c>
      <c r="K800" s="222"/>
      <c r="L800" s="222"/>
      <c r="M800" s="222"/>
      <c r="N800" s="222"/>
    </row>
    <row r="801" spans="1:14" x14ac:dyDescent="0.25">
      <c r="A801" s="265" t="s">
        <v>10</v>
      </c>
      <c r="B801" s="510"/>
      <c r="C801" s="510"/>
      <c r="D801" s="510"/>
      <c r="E801" s="510"/>
      <c r="F801" s="510"/>
      <c r="G801" s="510"/>
      <c r="H801" s="510"/>
      <c r="I801" s="510"/>
      <c r="J801" s="233"/>
      <c r="K801" s="222"/>
      <c r="L801" s="222"/>
      <c r="M801" s="222"/>
      <c r="N801" s="222"/>
    </row>
    <row r="802" spans="1:14" x14ac:dyDescent="0.25">
      <c r="A802" s="219" t="s">
        <v>370</v>
      </c>
      <c r="B802" s="220"/>
      <c r="C802" s="220"/>
      <c r="D802" s="220"/>
      <c r="E802" s="220"/>
      <c r="F802" s="220"/>
      <c r="G802" s="220"/>
      <c r="H802" s="220"/>
      <c r="I802" s="220"/>
      <c r="J802" s="218"/>
      <c r="K802" s="222"/>
      <c r="L802" s="222"/>
      <c r="M802" s="222"/>
      <c r="N802" s="222"/>
    </row>
    <row r="803" spans="1:14" x14ac:dyDescent="0.25">
      <c r="A803" s="221" t="s">
        <v>371</v>
      </c>
      <c r="B803" s="222"/>
      <c r="C803" s="222"/>
      <c r="D803" s="222"/>
      <c r="E803" s="222"/>
      <c r="F803" s="222"/>
      <c r="G803" s="222"/>
      <c r="H803" s="222"/>
      <c r="I803" s="222"/>
      <c r="J803" s="223"/>
      <c r="K803" s="222"/>
      <c r="L803" s="222"/>
      <c r="M803" s="222"/>
      <c r="N803" s="222"/>
    </row>
    <row r="804" spans="1:14" x14ac:dyDescent="0.25">
      <c r="A804" s="221" t="s">
        <v>372</v>
      </c>
      <c r="B804" s="222"/>
      <c r="C804" s="222"/>
      <c r="D804" s="222"/>
      <c r="E804" s="222"/>
      <c r="F804" s="222"/>
      <c r="G804" s="222"/>
      <c r="H804" s="222"/>
      <c r="I804" s="222"/>
      <c r="J804" s="223"/>
      <c r="K804" s="222"/>
      <c r="L804" s="222"/>
      <c r="M804" s="222"/>
      <c r="N804" s="222"/>
    </row>
    <row r="805" spans="1:14" x14ac:dyDescent="0.25">
      <c r="A805" s="221" t="s">
        <v>373</v>
      </c>
      <c r="B805" s="222"/>
      <c r="C805" s="222"/>
      <c r="D805" s="222"/>
      <c r="E805" s="222"/>
      <c r="F805" s="222"/>
      <c r="G805" s="222"/>
      <c r="H805" s="222"/>
      <c r="I805" s="222"/>
      <c r="J805" s="223"/>
      <c r="K805" s="222"/>
      <c r="L805" s="222"/>
      <c r="M805" s="222"/>
      <c r="N805" s="222"/>
    </row>
    <row r="806" spans="1:14" x14ac:dyDescent="0.25">
      <c r="A806" s="221" t="s">
        <v>610</v>
      </c>
      <c r="B806" s="222"/>
      <c r="C806" s="222"/>
      <c r="D806" s="222"/>
      <c r="E806" s="222"/>
      <c r="F806" s="222"/>
      <c r="G806" s="222"/>
      <c r="H806" s="222"/>
      <c r="I806" s="222"/>
      <c r="J806" s="223"/>
      <c r="K806" s="222"/>
      <c r="L806" s="222"/>
      <c r="M806" s="222"/>
      <c r="N806" s="222"/>
    </row>
    <row r="807" spans="1:14" x14ac:dyDescent="0.25">
      <c r="A807" s="221" t="s">
        <v>599</v>
      </c>
      <c r="B807" s="222"/>
      <c r="C807" s="222"/>
      <c r="D807" s="222"/>
      <c r="E807" s="222"/>
      <c r="F807" s="222"/>
      <c r="G807" s="222"/>
      <c r="H807" s="222"/>
      <c r="I807" s="222"/>
      <c r="J807" s="223"/>
      <c r="K807" s="222"/>
      <c r="L807" s="222"/>
      <c r="M807" s="222"/>
      <c r="N807" s="222"/>
    </row>
    <row r="808" spans="1:14" x14ac:dyDescent="0.25">
      <c r="A808" s="221" t="s">
        <v>598</v>
      </c>
      <c r="B808" s="222"/>
      <c r="C808" s="222"/>
      <c r="D808" s="222"/>
      <c r="E808" s="222"/>
      <c r="F808" s="222"/>
      <c r="G808" s="222"/>
      <c r="H808" s="222"/>
      <c r="I808" s="222"/>
      <c r="J808" s="223"/>
      <c r="K808" s="222"/>
      <c r="L808" s="222"/>
      <c r="M808" s="222"/>
      <c r="N808" s="222"/>
    </row>
    <row r="809" spans="1:14" x14ac:dyDescent="0.25">
      <c r="A809" s="221" t="s">
        <v>611</v>
      </c>
      <c r="B809" s="222"/>
      <c r="C809" s="222"/>
      <c r="D809" s="222"/>
      <c r="E809" s="222"/>
      <c r="F809" s="222"/>
      <c r="G809" s="222"/>
      <c r="H809" s="222"/>
      <c r="I809" s="222"/>
      <c r="J809" s="223"/>
      <c r="K809" s="222"/>
      <c r="L809" s="222"/>
      <c r="M809" s="222"/>
      <c r="N809" s="222"/>
    </row>
    <row r="810" spans="1:14" x14ac:dyDescent="0.25">
      <c r="A810" s="212" t="s">
        <v>861</v>
      </c>
      <c r="B810" s="224"/>
      <c r="C810" s="224"/>
      <c r="D810" s="224"/>
      <c r="E810" s="224"/>
      <c r="F810" s="224"/>
      <c r="G810" s="224"/>
      <c r="H810" s="224"/>
      <c r="I810" s="224"/>
      <c r="J810" s="225"/>
      <c r="K810" s="222"/>
      <c r="L810" s="222"/>
      <c r="M810" s="222"/>
      <c r="N810" s="222"/>
    </row>
    <row r="811" spans="1:14" x14ac:dyDescent="0.25">
      <c r="A811" s="222"/>
      <c r="B811" s="222"/>
      <c r="C811" s="222"/>
      <c r="D811" s="222"/>
      <c r="E811" s="222"/>
      <c r="F811" s="222"/>
      <c r="G811" s="222"/>
      <c r="H811" s="222"/>
      <c r="I811" s="222"/>
      <c r="J811" s="222"/>
      <c r="K811" s="222"/>
      <c r="L811" s="222"/>
      <c r="M811" s="222"/>
      <c r="N811" s="222"/>
    </row>
    <row r="812" spans="1:14" x14ac:dyDescent="0.25">
      <c r="A812" s="222"/>
      <c r="B812" s="222"/>
      <c r="C812" s="222"/>
      <c r="D812" s="222"/>
      <c r="E812" s="222"/>
      <c r="F812" s="222"/>
      <c r="G812" s="222"/>
      <c r="H812" s="222"/>
      <c r="I812" s="222"/>
      <c r="J812" s="222"/>
      <c r="K812" s="222"/>
      <c r="L812" s="222"/>
      <c r="M812" s="222"/>
      <c r="N812" s="222"/>
    </row>
    <row r="813" spans="1:14" x14ac:dyDescent="0.25">
      <c r="A813" s="395" t="s">
        <v>12</v>
      </c>
      <c r="B813" s="554" t="s">
        <v>249</v>
      </c>
      <c r="C813" s="396"/>
      <c r="D813" s="254"/>
      <c r="E813" s="254"/>
      <c r="F813" s="254"/>
      <c r="G813" s="222"/>
      <c r="H813" s="222"/>
      <c r="I813" s="222"/>
      <c r="J813" s="222"/>
      <c r="K813" s="222"/>
      <c r="L813" s="222"/>
      <c r="M813" s="222"/>
      <c r="N813" s="222"/>
    </row>
    <row r="814" spans="1:14" x14ac:dyDescent="0.25">
      <c r="A814" s="251" t="s">
        <v>14</v>
      </c>
      <c r="B814" s="252" t="s">
        <v>66</v>
      </c>
      <c r="C814" s="253" t="s">
        <v>15</v>
      </c>
      <c r="D814" s="254"/>
      <c r="E814" s="254"/>
      <c r="F814" s="254"/>
      <c r="G814" s="222"/>
      <c r="H814" s="222"/>
      <c r="I814" s="222"/>
      <c r="J814" s="222"/>
      <c r="K814" s="222"/>
      <c r="L814" s="222"/>
      <c r="M814" s="222"/>
      <c r="N814" s="222"/>
    </row>
    <row r="815" spans="1:14" x14ac:dyDescent="0.25">
      <c r="A815" s="255" t="s">
        <v>16</v>
      </c>
      <c r="B815" s="339">
        <v>2015</v>
      </c>
      <c r="C815" s="339">
        <v>2016</v>
      </c>
      <c r="D815" s="397">
        <v>2017</v>
      </c>
      <c r="E815" s="339">
        <v>2018</v>
      </c>
      <c r="F815" s="229">
        <v>2019</v>
      </c>
      <c r="G815" s="229">
        <v>2020</v>
      </c>
      <c r="H815" s="229">
        <v>2021</v>
      </c>
      <c r="I815" s="229">
        <v>2022</v>
      </c>
      <c r="J815" s="222"/>
      <c r="K815" s="222"/>
      <c r="L815" s="222"/>
      <c r="M815" s="222"/>
      <c r="N815" s="222"/>
    </row>
    <row r="816" spans="1:14" x14ac:dyDescent="0.25">
      <c r="A816" s="255" t="s">
        <v>17</v>
      </c>
      <c r="B816" s="216">
        <v>4722</v>
      </c>
      <c r="C816" s="216">
        <v>4250</v>
      </c>
      <c r="D816" s="216">
        <v>4250</v>
      </c>
      <c r="E816" s="216">
        <v>4250</v>
      </c>
      <c r="F816" s="216">
        <v>4250</v>
      </c>
      <c r="G816" s="216">
        <v>3968.23</v>
      </c>
      <c r="H816" s="216">
        <v>3904.7383199999999</v>
      </c>
      <c r="I816" s="216">
        <v>3936.48416</v>
      </c>
      <c r="J816" s="222"/>
      <c r="K816" s="222"/>
      <c r="L816" s="222"/>
      <c r="M816" s="222"/>
      <c r="N816" s="222"/>
    </row>
    <row r="817" spans="1:14" x14ac:dyDescent="0.25">
      <c r="A817" s="255" t="s">
        <v>18</v>
      </c>
      <c r="B817" s="216">
        <v>6614.6</v>
      </c>
      <c r="C817" s="216">
        <f>C816+70+583-337</f>
        <v>4566</v>
      </c>
      <c r="D817" s="216">
        <f>D816-337+70+B820+C820</f>
        <v>4433.3230000000003</v>
      </c>
      <c r="E817" s="216">
        <f>E816-337+70</f>
        <v>3983</v>
      </c>
      <c r="F817" s="216">
        <f>F816+70+D820</f>
        <v>4667.3230000000003</v>
      </c>
      <c r="G817" s="216">
        <f>G816+E820</f>
        <v>4380.2299999999996</v>
      </c>
      <c r="H817" s="216">
        <f>H816+425</f>
        <v>4329.7383200000004</v>
      </c>
      <c r="I817" s="216">
        <f>I816+396.82</f>
        <v>4333.3041599999997</v>
      </c>
      <c r="J817" s="222"/>
      <c r="K817" s="222"/>
      <c r="L817" s="222"/>
      <c r="M817" s="222"/>
      <c r="N817" s="222"/>
    </row>
    <row r="818" spans="1:14" x14ac:dyDescent="0.25">
      <c r="A818" s="255" t="s">
        <v>19</v>
      </c>
      <c r="B818" s="215"/>
      <c r="C818" s="215">
        <v>1</v>
      </c>
      <c r="D818" s="215">
        <v>2</v>
      </c>
      <c r="E818" s="215">
        <v>3</v>
      </c>
      <c r="F818" s="215">
        <v>4</v>
      </c>
      <c r="G818" s="215">
        <v>5</v>
      </c>
      <c r="H818" s="215">
        <v>6</v>
      </c>
      <c r="I818" s="215">
        <v>7</v>
      </c>
      <c r="J818" s="398"/>
      <c r="K818" s="222"/>
      <c r="L818" s="222"/>
      <c r="M818" s="222"/>
      <c r="N818" s="222"/>
    </row>
    <row r="819" spans="1:14" x14ac:dyDescent="0.25">
      <c r="A819" s="255" t="s">
        <v>20</v>
      </c>
      <c r="B819" s="216">
        <v>5917.6769999999997</v>
      </c>
      <c r="C819" s="216">
        <v>4812.6000000000004</v>
      </c>
      <c r="D819" s="216">
        <v>4086</v>
      </c>
      <c r="E819" s="216">
        <v>3571</v>
      </c>
      <c r="F819" s="216">
        <v>2864.5</v>
      </c>
      <c r="G819" s="216">
        <v>2932.5</v>
      </c>
      <c r="H819" s="216">
        <v>1925</v>
      </c>
      <c r="I819" s="216"/>
      <c r="J819" s="222"/>
      <c r="K819" s="222"/>
      <c r="L819" s="222"/>
      <c r="M819" s="222"/>
      <c r="N819" s="222"/>
    </row>
    <row r="820" spans="1:14" x14ac:dyDescent="0.25">
      <c r="A820" s="255" t="s">
        <v>21</v>
      </c>
      <c r="B820" s="216">
        <f t="shared" ref="B820:H820" si="39">B817-B819</f>
        <v>696.92300000000068</v>
      </c>
      <c r="C820" s="216">
        <f t="shared" si="39"/>
        <v>-246.60000000000036</v>
      </c>
      <c r="D820" s="216">
        <f t="shared" si="39"/>
        <v>347.32300000000032</v>
      </c>
      <c r="E820" s="216">
        <f t="shared" si="39"/>
        <v>412</v>
      </c>
      <c r="F820" s="216">
        <f t="shared" si="39"/>
        <v>1802.8230000000003</v>
      </c>
      <c r="G820" s="216">
        <f t="shared" si="39"/>
        <v>1447.7299999999996</v>
      </c>
      <c r="H820" s="216">
        <f t="shared" si="39"/>
        <v>2404.7383200000004</v>
      </c>
      <c r="I820" s="216"/>
      <c r="J820" s="398"/>
      <c r="K820" s="222"/>
      <c r="L820" s="222"/>
      <c r="M820" s="222"/>
      <c r="N820" s="222"/>
    </row>
    <row r="821" spans="1:14" x14ac:dyDescent="0.25">
      <c r="A821" s="258" t="s">
        <v>22</v>
      </c>
      <c r="B821" s="230">
        <v>2017</v>
      </c>
      <c r="C821" s="230">
        <v>2018</v>
      </c>
      <c r="D821" s="230">
        <v>2019</v>
      </c>
      <c r="E821" s="230">
        <v>2020</v>
      </c>
      <c r="F821" s="230">
        <v>2021</v>
      </c>
      <c r="G821" s="230">
        <v>2022</v>
      </c>
      <c r="H821" s="230">
        <v>2023</v>
      </c>
      <c r="I821" s="230"/>
      <c r="J821" s="222"/>
      <c r="K821" s="222"/>
      <c r="L821" s="222"/>
      <c r="M821" s="222"/>
      <c r="N821" s="222"/>
    </row>
    <row r="822" spans="1:14" x14ac:dyDescent="0.25">
      <c r="A822" s="399"/>
      <c r="B822" s="220"/>
      <c r="C822" s="400"/>
      <c r="D822" s="220"/>
      <c r="E822" s="220"/>
      <c r="F822" s="220"/>
      <c r="G822" s="220"/>
      <c r="H822" s="220"/>
      <c r="I822" s="218"/>
      <c r="J822" s="222"/>
      <c r="K822" s="222"/>
      <c r="L822" s="222"/>
      <c r="M822" s="222"/>
      <c r="N822" s="222"/>
    </row>
    <row r="823" spans="1:14" x14ac:dyDescent="0.25">
      <c r="A823" s="221" t="s">
        <v>612</v>
      </c>
      <c r="B823" s="222"/>
      <c r="C823" s="222"/>
      <c r="D823" s="222"/>
      <c r="E823" s="222"/>
      <c r="F823" s="222"/>
      <c r="G823" s="222"/>
      <c r="H823" s="222"/>
      <c r="I823" s="223"/>
      <c r="J823" s="222"/>
      <c r="K823" s="222"/>
      <c r="L823" s="222"/>
      <c r="M823" s="222"/>
      <c r="N823" s="222"/>
    </row>
    <row r="824" spans="1:14" x14ac:dyDescent="0.25">
      <c r="A824" s="221" t="s">
        <v>613</v>
      </c>
      <c r="B824" s="222"/>
      <c r="C824" s="222"/>
      <c r="D824" s="222"/>
      <c r="E824" s="222"/>
      <c r="F824" s="222"/>
      <c r="G824" s="222"/>
      <c r="H824" s="222"/>
      <c r="I824" s="223"/>
      <c r="J824" s="222"/>
      <c r="K824" s="222"/>
      <c r="L824" s="222"/>
      <c r="M824" s="222"/>
      <c r="N824" s="222"/>
    </row>
    <row r="825" spans="1:14" x14ac:dyDescent="0.25">
      <c r="A825" s="221" t="s">
        <v>614</v>
      </c>
      <c r="B825" s="222"/>
      <c r="C825" s="401"/>
      <c r="D825" s="222"/>
      <c r="E825" s="222"/>
      <c r="F825" s="222"/>
      <c r="G825" s="222"/>
      <c r="H825" s="222"/>
      <c r="I825" s="223"/>
      <c r="J825" s="222"/>
      <c r="K825" s="222"/>
      <c r="L825" s="222"/>
      <c r="M825" s="222"/>
      <c r="N825" s="222"/>
    </row>
    <row r="826" spans="1:14" x14ac:dyDescent="0.25">
      <c r="A826" s="221" t="s">
        <v>615</v>
      </c>
      <c r="B826" s="222"/>
      <c r="C826" s="401"/>
      <c r="D826" s="222"/>
      <c r="E826" s="222"/>
      <c r="F826" s="222"/>
      <c r="G826" s="222"/>
      <c r="H826" s="222"/>
      <c r="I826" s="223"/>
      <c r="J826" s="222"/>
      <c r="K826" s="222"/>
      <c r="L826" s="222"/>
      <c r="M826" s="222"/>
      <c r="N826" s="222"/>
    </row>
    <row r="827" spans="1:14" x14ac:dyDescent="0.25">
      <c r="A827" s="221" t="s">
        <v>616</v>
      </c>
      <c r="B827" s="222"/>
      <c r="C827" s="401"/>
      <c r="D827" s="222"/>
      <c r="E827" s="222"/>
      <c r="F827" s="222"/>
      <c r="G827" s="222"/>
      <c r="H827" s="222"/>
      <c r="I827" s="223"/>
      <c r="J827" s="222"/>
      <c r="K827" s="222"/>
      <c r="L827" s="222"/>
      <c r="M827" s="222"/>
      <c r="N827" s="222"/>
    </row>
    <row r="828" spans="1:14" x14ac:dyDescent="0.25">
      <c r="A828" s="221" t="s">
        <v>509</v>
      </c>
      <c r="B828" s="222"/>
      <c r="C828" s="222"/>
      <c r="D828" s="222"/>
      <c r="E828" s="222"/>
      <c r="F828" s="222"/>
      <c r="G828" s="222"/>
      <c r="H828" s="222"/>
      <c r="I828" s="223"/>
      <c r="J828" s="222"/>
      <c r="K828" s="222"/>
      <c r="L828" s="222"/>
      <c r="M828" s="222"/>
      <c r="N828" s="222"/>
    </row>
    <row r="829" spans="1:14" x14ac:dyDescent="0.25">
      <c r="A829" s="221" t="s">
        <v>766</v>
      </c>
      <c r="B829" s="222"/>
      <c r="C829" s="222"/>
      <c r="D829" s="222"/>
      <c r="E829" s="222"/>
      <c r="F829" s="222"/>
      <c r="G829" s="222"/>
      <c r="H829" s="222"/>
      <c r="I829" s="223"/>
      <c r="J829" s="222"/>
      <c r="K829" s="222"/>
      <c r="L829" s="222"/>
      <c r="M829" s="222"/>
      <c r="N829" s="222"/>
    </row>
    <row r="830" spans="1:14" x14ac:dyDescent="0.25">
      <c r="A830" s="212" t="s">
        <v>765</v>
      </c>
      <c r="B830" s="224"/>
      <c r="C830" s="224"/>
      <c r="D830" s="224"/>
      <c r="E830" s="224"/>
      <c r="F830" s="224"/>
      <c r="G830" s="224"/>
      <c r="H830" s="224"/>
      <c r="I830" s="225"/>
      <c r="J830" s="222"/>
      <c r="K830" s="222"/>
      <c r="L830" s="222"/>
      <c r="M830" s="222"/>
      <c r="N830" s="222"/>
    </row>
    <row r="831" spans="1:14" x14ac:dyDescent="0.25">
      <c r="A831" s="222"/>
      <c r="B831" s="222"/>
      <c r="C831" s="222"/>
      <c r="D831" s="222"/>
      <c r="E831" s="222"/>
      <c r="F831" s="222"/>
      <c r="G831" s="222"/>
      <c r="H831" s="222"/>
      <c r="I831" s="222"/>
      <c r="J831" s="222"/>
      <c r="K831" s="222"/>
      <c r="L831" s="222"/>
      <c r="M831" s="222"/>
      <c r="N831" s="222"/>
    </row>
    <row r="832" spans="1:14" x14ac:dyDescent="0.25">
      <c r="A832" s="222"/>
      <c r="B832" s="222"/>
      <c r="C832" s="222"/>
      <c r="D832" s="222"/>
      <c r="E832" s="222"/>
      <c r="F832" s="222"/>
      <c r="G832" s="222"/>
      <c r="H832" s="222"/>
      <c r="I832" s="222"/>
      <c r="J832" s="222"/>
      <c r="K832" s="222"/>
      <c r="L832" s="222"/>
      <c r="M832" s="222"/>
      <c r="N832" s="222"/>
    </row>
    <row r="833" spans="1:14" x14ac:dyDescent="0.25">
      <c r="A833" s="222"/>
      <c r="B833" s="222"/>
      <c r="C833" s="222"/>
      <c r="D833" s="222"/>
      <c r="E833" s="222"/>
      <c r="F833" s="222"/>
      <c r="G833" s="222"/>
      <c r="H833" s="222"/>
      <c r="I833" s="222"/>
      <c r="J833" s="222"/>
      <c r="K833" s="222"/>
      <c r="L833" s="222"/>
      <c r="M833" s="222"/>
      <c r="N833" s="222"/>
    </row>
    <row r="834" spans="1:14" x14ac:dyDescent="0.25">
      <c r="A834" s="559" t="s">
        <v>12</v>
      </c>
      <c r="B834" s="560" t="s">
        <v>434</v>
      </c>
      <c r="C834" s="222"/>
      <c r="D834" s="222"/>
      <c r="E834" s="222"/>
      <c r="F834" s="222"/>
      <c r="G834" s="222"/>
      <c r="H834" s="222"/>
      <c r="I834" s="222"/>
      <c r="J834" s="222"/>
      <c r="K834" s="222"/>
      <c r="L834" s="222"/>
      <c r="M834" s="222"/>
      <c r="N834" s="222"/>
    </row>
    <row r="835" spans="1:14" x14ac:dyDescent="0.25">
      <c r="A835" s="557" t="s">
        <v>14</v>
      </c>
      <c r="B835" s="558" t="s">
        <v>66</v>
      </c>
      <c r="C835" s="252" t="s">
        <v>152</v>
      </c>
      <c r="D835" s="254"/>
      <c r="E835" s="254"/>
      <c r="F835" s="254"/>
      <c r="G835" s="254"/>
      <c r="H835" s="222"/>
      <c r="I835" s="222"/>
      <c r="J835" s="222"/>
      <c r="K835" s="222"/>
      <c r="L835" s="222"/>
      <c r="M835" s="222"/>
      <c r="N835" s="222"/>
    </row>
    <row r="836" spans="1:14" x14ac:dyDescent="0.25">
      <c r="A836" s="323" t="s">
        <v>16</v>
      </c>
      <c r="B836" s="343"/>
      <c r="C836" s="339">
        <v>2020</v>
      </c>
      <c r="D836" s="339">
        <v>2021</v>
      </c>
      <c r="E836" s="339">
        <v>2022</v>
      </c>
      <c r="F836" s="222"/>
      <c r="G836" s="222"/>
      <c r="H836" s="222"/>
      <c r="I836" s="222"/>
      <c r="J836" s="222"/>
      <c r="K836" s="222"/>
      <c r="L836" s="222"/>
      <c r="M836" s="222"/>
      <c r="N836" s="222"/>
    </row>
    <row r="837" spans="1:14" x14ac:dyDescent="0.25">
      <c r="A837" s="255" t="s">
        <v>17</v>
      </c>
      <c r="B837" s="326"/>
      <c r="C837" s="327">
        <v>911.93</v>
      </c>
      <c r="D837" s="327">
        <v>911.93</v>
      </c>
      <c r="E837" s="327">
        <v>911.93</v>
      </c>
      <c r="F837" s="222"/>
      <c r="G837" s="222"/>
      <c r="H837" s="222"/>
      <c r="I837" s="222"/>
      <c r="J837" s="222"/>
      <c r="K837" s="222"/>
      <c r="L837" s="222"/>
      <c r="M837" s="222"/>
      <c r="N837" s="222"/>
    </row>
    <row r="838" spans="1:14" x14ac:dyDescent="0.25">
      <c r="A838" s="255" t="s">
        <v>18</v>
      </c>
      <c r="B838" s="326"/>
      <c r="C838" s="327"/>
      <c r="D838" s="327"/>
      <c r="E838" s="327"/>
      <c r="F838" s="222"/>
      <c r="G838" s="222"/>
      <c r="H838" s="222"/>
      <c r="I838" s="222"/>
      <c r="J838" s="222"/>
      <c r="K838" s="222"/>
      <c r="L838" s="222"/>
      <c r="M838" s="222"/>
      <c r="N838" s="222"/>
    </row>
    <row r="839" spans="1:14" x14ac:dyDescent="0.25">
      <c r="A839" s="255" t="s">
        <v>19</v>
      </c>
      <c r="B839" s="331"/>
      <c r="C839" s="340"/>
      <c r="D839" s="340"/>
      <c r="E839" s="340"/>
      <c r="F839" s="222"/>
      <c r="G839" s="222"/>
      <c r="H839" s="222"/>
      <c r="I839" s="222"/>
      <c r="J839" s="222"/>
      <c r="K839" s="222"/>
      <c r="L839" s="222"/>
      <c r="M839" s="222"/>
      <c r="N839" s="222"/>
    </row>
    <row r="840" spans="1:14" x14ac:dyDescent="0.25">
      <c r="A840" s="255" t="s">
        <v>20</v>
      </c>
      <c r="B840" s="326"/>
      <c r="C840" s="327">
        <v>905.99</v>
      </c>
      <c r="D840" s="327">
        <v>768.09</v>
      </c>
      <c r="E840" s="327">
        <v>855.34</v>
      </c>
      <c r="F840" s="222"/>
      <c r="G840" s="222"/>
      <c r="H840" s="222"/>
      <c r="I840" s="222"/>
      <c r="J840" s="222"/>
      <c r="K840" s="222"/>
      <c r="L840" s="222"/>
      <c r="M840" s="222"/>
      <c r="N840" s="222"/>
    </row>
    <row r="841" spans="1:14" x14ac:dyDescent="0.25">
      <c r="A841" s="255" t="s">
        <v>21</v>
      </c>
      <c r="B841" s="326"/>
      <c r="C841" s="327"/>
      <c r="D841" s="327"/>
      <c r="E841" s="327"/>
      <c r="F841" s="222"/>
      <c r="G841" s="222"/>
      <c r="H841" s="222"/>
      <c r="I841" s="222"/>
      <c r="J841" s="222"/>
      <c r="K841" s="222"/>
      <c r="L841" s="222"/>
      <c r="M841" s="222"/>
      <c r="N841" s="222"/>
    </row>
    <row r="842" spans="1:14" x14ac:dyDescent="0.25">
      <c r="A842" s="258" t="s">
        <v>22</v>
      </c>
      <c r="B842" s="259"/>
      <c r="C842" s="402"/>
      <c r="D842" s="402"/>
      <c r="E842" s="402"/>
      <c r="F842" s="222"/>
      <c r="G842" s="222"/>
      <c r="H842" s="222"/>
      <c r="I842" s="222"/>
      <c r="J842" s="222"/>
      <c r="K842" s="222"/>
      <c r="L842" s="222"/>
      <c r="M842" s="222"/>
      <c r="N842" s="222"/>
    </row>
    <row r="843" spans="1:14" x14ac:dyDescent="0.25">
      <c r="A843" s="403"/>
      <c r="B843" s="404"/>
      <c r="C843" s="405"/>
      <c r="D843" s="405"/>
      <c r="E843" s="405"/>
      <c r="F843" s="342"/>
      <c r="G843" s="342"/>
      <c r="H843" s="342"/>
      <c r="I843" s="222"/>
      <c r="J843" s="222"/>
      <c r="K843" s="222"/>
      <c r="L843" s="222"/>
      <c r="M843" s="222"/>
      <c r="N843" s="222"/>
    </row>
    <row r="844" spans="1:14" x14ac:dyDescent="0.25">
      <c r="A844" s="307"/>
      <c r="B844" s="307"/>
      <c r="C844" s="307"/>
      <c r="D844" s="307"/>
      <c r="E844" s="342"/>
      <c r="F844" s="342"/>
      <c r="G844" s="342"/>
      <c r="H844" s="342"/>
      <c r="I844" s="222"/>
      <c r="J844" s="222"/>
      <c r="K844" s="222"/>
      <c r="L844" s="222"/>
      <c r="M844" s="222"/>
      <c r="N844" s="222"/>
    </row>
    <row r="845" spans="1:14" x14ac:dyDescent="0.25">
      <c r="A845" s="307"/>
      <c r="B845" s="307"/>
      <c r="C845" s="307"/>
      <c r="D845" s="307"/>
      <c r="E845" s="307"/>
      <c r="F845" s="307"/>
      <c r="G845" s="307"/>
      <c r="H845" s="222"/>
      <c r="I845" s="222"/>
      <c r="J845" s="222"/>
      <c r="K845" s="222"/>
      <c r="L845" s="222"/>
      <c r="M845" s="222"/>
      <c r="N845" s="222"/>
    </row>
    <row r="846" spans="1:14" x14ac:dyDescent="0.25">
      <c r="A846" s="559" t="s">
        <v>12</v>
      </c>
      <c r="B846" s="560" t="s">
        <v>435</v>
      </c>
      <c r="C846" s="222"/>
      <c r="D846" s="222"/>
      <c r="E846" s="222"/>
      <c r="F846" s="222"/>
      <c r="G846" s="222"/>
      <c r="H846" s="222"/>
      <c r="I846" s="222"/>
      <c r="J846" s="222"/>
      <c r="K846" s="222"/>
      <c r="L846" s="222"/>
      <c r="M846" s="222"/>
      <c r="N846" s="222"/>
    </row>
    <row r="847" spans="1:14" x14ac:dyDescent="0.25">
      <c r="A847" s="557" t="s">
        <v>14</v>
      </c>
      <c r="B847" s="558" t="s">
        <v>637</v>
      </c>
      <c r="C847" s="252" t="s">
        <v>152</v>
      </c>
      <c r="D847" s="254"/>
      <c r="E847" s="254"/>
      <c r="F847" s="254"/>
      <c r="G847" s="254"/>
      <c r="H847" s="222"/>
      <c r="I847" s="222"/>
      <c r="J847" s="222"/>
      <c r="K847" s="222"/>
      <c r="L847" s="222"/>
      <c r="M847" s="222"/>
      <c r="N847" s="222"/>
    </row>
    <row r="848" spans="1:14" x14ac:dyDescent="0.25">
      <c r="A848" s="323" t="s">
        <v>16</v>
      </c>
      <c r="B848" s="343">
        <v>2016</v>
      </c>
      <c r="C848" s="339">
        <v>2017</v>
      </c>
      <c r="D848" s="339">
        <v>2018</v>
      </c>
      <c r="E848" s="339">
        <v>2019</v>
      </c>
      <c r="F848" s="339">
        <v>2020</v>
      </c>
      <c r="G848" s="339">
        <v>2021</v>
      </c>
      <c r="H848" s="339">
        <v>2022</v>
      </c>
      <c r="I848" s="339">
        <v>2023</v>
      </c>
      <c r="J848" s="222"/>
      <c r="K848" s="222"/>
      <c r="L848" s="222"/>
      <c r="M848" s="222"/>
      <c r="N848" s="222"/>
    </row>
    <row r="849" spans="1:14" x14ac:dyDescent="0.25">
      <c r="A849" s="255" t="s">
        <v>17</v>
      </c>
      <c r="B849" s="327">
        <v>0</v>
      </c>
      <c r="C849" s="327">
        <v>0</v>
      </c>
      <c r="D849" s="327">
        <v>0</v>
      </c>
      <c r="E849" s="327">
        <v>0</v>
      </c>
      <c r="F849" s="327">
        <v>0</v>
      </c>
      <c r="G849" s="327">
        <v>0</v>
      </c>
      <c r="H849" s="327">
        <v>0</v>
      </c>
      <c r="I849" s="327">
        <v>0</v>
      </c>
      <c r="J849" s="222"/>
      <c r="K849" s="222"/>
      <c r="L849" s="222"/>
      <c r="M849" s="222"/>
      <c r="N849" s="222"/>
    </row>
    <row r="850" spans="1:14" x14ac:dyDescent="0.25">
      <c r="A850" s="255" t="s">
        <v>18</v>
      </c>
      <c r="B850" s="327">
        <f>B853+B852</f>
        <v>-0.66000000000000014</v>
      </c>
      <c r="C850" s="327">
        <f>B853</f>
        <v>-6.29</v>
      </c>
      <c r="D850" s="327">
        <f t="shared" ref="D850" si="40">C853</f>
        <v>-14.989999999999998</v>
      </c>
      <c r="E850" s="327">
        <f t="shared" ref="E850" si="41">D853</f>
        <v>-19.489999999999998</v>
      </c>
      <c r="F850" s="327">
        <f t="shared" ref="F850" si="42">E853</f>
        <v>-21.189999999999998</v>
      </c>
      <c r="G850" s="327">
        <f t="shared" ref="G850:I850" si="43">F853</f>
        <v>-25.709999999999997</v>
      </c>
      <c r="H850" s="327">
        <f t="shared" si="43"/>
        <v>-28.479999999999997</v>
      </c>
      <c r="I850" s="327">
        <f t="shared" si="43"/>
        <v>-28.479999999999997</v>
      </c>
      <c r="J850" s="222"/>
      <c r="K850" s="222"/>
      <c r="L850" s="222"/>
      <c r="M850" s="222"/>
      <c r="N850" s="222"/>
    </row>
    <row r="851" spans="1:14" x14ac:dyDescent="0.25">
      <c r="A851" s="255" t="s">
        <v>19</v>
      </c>
      <c r="B851" s="340"/>
      <c r="C851" s="340"/>
      <c r="D851" s="340"/>
      <c r="E851" s="340"/>
      <c r="F851" s="340"/>
      <c r="G851" s="340"/>
      <c r="H851" s="340"/>
      <c r="I851" s="340"/>
      <c r="J851" s="222"/>
      <c r="K851" s="222"/>
      <c r="L851" s="222"/>
      <c r="M851" s="222"/>
      <c r="N851" s="222"/>
    </row>
    <row r="852" spans="1:14" x14ac:dyDescent="0.25">
      <c r="A852" s="255" t="s">
        <v>20</v>
      </c>
      <c r="B852" s="327">
        <v>5.63</v>
      </c>
      <c r="C852" s="327">
        <v>8.6999999999999993</v>
      </c>
      <c r="D852" s="327">
        <v>4.5</v>
      </c>
      <c r="E852" s="327">
        <v>1.7</v>
      </c>
      <c r="F852" s="327">
        <v>4.5199999999999996</v>
      </c>
      <c r="G852" s="327">
        <v>2.77</v>
      </c>
      <c r="H852" s="327">
        <v>0</v>
      </c>
      <c r="I852" s="327"/>
      <c r="J852" s="222"/>
      <c r="K852" s="222"/>
      <c r="L852" s="222"/>
      <c r="M852" s="222"/>
      <c r="N852" s="222"/>
    </row>
    <row r="853" spans="1:14" x14ac:dyDescent="0.25">
      <c r="A853" s="255" t="s">
        <v>21</v>
      </c>
      <c r="B853" s="327">
        <v>-6.29</v>
      </c>
      <c r="C853" s="327">
        <f t="shared" ref="C853:H853" si="44">C850-C852</f>
        <v>-14.989999999999998</v>
      </c>
      <c r="D853" s="327">
        <f t="shared" si="44"/>
        <v>-19.489999999999998</v>
      </c>
      <c r="E853" s="327">
        <f t="shared" si="44"/>
        <v>-21.189999999999998</v>
      </c>
      <c r="F853" s="327">
        <f t="shared" si="44"/>
        <v>-25.709999999999997</v>
      </c>
      <c r="G853" s="327">
        <f t="shared" si="44"/>
        <v>-28.479999999999997</v>
      </c>
      <c r="H853" s="327">
        <f t="shared" si="44"/>
        <v>-28.479999999999997</v>
      </c>
      <c r="I853" s="327"/>
      <c r="J853" s="222"/>
      <c r="K853" s="222"/>
      <c r="L853" s="222"/>
      <c r="M853" s="222"/>
      <c r="N853" s="222"/>
    </row>
    <row r="854" spans="1:14" x14ac:dyDescent="0.25">
      <c r="A854" s="258" t="s">
        <v>22</v>
      </c>
      <c r="B854" s="259">
        <v>2017</v>
      </c>
      <c r="C854" s="259">
        <v>2018</v>
      </c>
      <c r="D854" s="259">
        <v>2019</v>
      </c>
      <c r="E854" s="259">
        <v>2020</v>
      </c>
      <c r="F854" s="259">
        <v>2021</v>
      </c>
      <c r="G854" s="259">
        <v>2022</v>
      </c>
      <c r="H854" s="259">
        <v>2023</v>
      </c>
      <c r="I854" s="259">
        <v>2024</v>
      </c>
      <c r="J854" s="222"/>
      <c r="K854" s="222"/>
      <c r="L854" s="222"/>
      <c r="M854" s="222"/>
      <c r="N854" s="222"/>
    </row>
    <row r="855" spans="1:14" x14ac:dyDescent="0.25">
      <c r="A855" s="258" t="s">
        <v>436</v>
      </c>
      <c r="B855" s="260"/>
      <c r="C855" s="260"/>
      <c r="D855" s="260"/>
      <c r="E855" s="260"/>
      <c r="F855" s="260"/>
      <c r="G855" s="260"/>
      <c r="H855" s="220"/>
      <c r="I855" s="218"/>
      <c r="J855" s="222"/>
      <c r="K855" s="222"/>
      <c r="L855" s="222"/>
      <c r="M855" s="222"/>
      <c r="N855" s="222"/>
    </row>
    <row r="856" spans="1:14" ht="13.2" customHeight="1" x14ac:dyDescent="0.25">
      <c r="A856" s="323" t="s">
        <v>682</v>
      </c>
      <c r="B856" s="406"/>
      <c r="C856" s="406"/>
      <c r="D856" s="406"/>
      <c r="E856" s="406"/>
      <c r="F856" s="406"/>
      <c r="G856" s="406"/>
      <c r="H856" s="522"/>
      <c r="I856" s="407"/>
      <c r="J856" s="222"/>
      <c r="K856" s="222"/>
      <c r="L856" s="222"/>
      <c r="M856" s="222"/>
      <c r="N856" s="222"/>
    </row>
    <row r="857" spans="1:14" ht="13.2" customHeight="1" x14ac:dyDescent="0.25">
      <c r="A857" s="323"/>
      <c r="B857" s="406"/>
      <c r="C857" s="406"/>
      <c r="D857" s="254"/>
      <c r="E857" s="254"/>
      <c r="F857" s="254"/>
      <c r="G857" s="254"/>
      <c r="H857" s="342"/>
      <c r="I857" s="222"/>
      <c r="J857" s="222"/>
      <c r="K857" s="222"/>
      <c r="L857" s="222"/>
      <c r="M857" s="222"/>
      <c r="N857" s="222"/>
    </row>
    <row r="858" spans="1:14" x14ac:dyDescent="0.25">
      <c r="A858" s="251" t="s">
        <v>14</v>
      </c>
      <c r="B858" s="252" t="s">
        <v>74</v>
      </c>
      <c r="C858" s="252" t="s">
        <v>152</v>
      </c>
      <c r="D858" s="254"/>
      <c r="E858" s="254"/>
      <c r="F858" s="254"/>
      <c r="G858" s="254"/>
      <c r="H858" s="222"/>
      <c r="I858" s="222"/>
      <c r="J858" s="222"/>
      <c r="K858" s="222"/>
      <c r="L858" s="222"/>
      <c r="M858" s="222"/>
      <c r="N858" s="222"/>
    </row>
    <row r="859" spans="1:14" x14ac:dyDescent="0.25">
      <c r="A859" s="323" t="s">
        <v>16</v>
      </c>
      <c r="B859" s="343">
        <v>2019</v>
      </c>
      <c r="C859" s="339">
        <v>2020</v>
      </c>
      <c r="D859" s="339">
        <v>2021</v>
      </c>
      <c r="E859" s="339">
        <v>2022</v>
      </c>
      <c r="F859" s="339">
        <v>2023</v>
      </c>
      <c r="G859" s="222"/>
      <c r="H859" s="222"/>
      <c r="I859" s="222"/>
      <c r="J859" s="222"/>
      <c r="K859" s="222"/>
      <c r="L859" s="222"/>
      <c r="M859" s="222"/>
      <c r="N859" s="222"/>
    </row>
    <row r="860" spans="1:14" x14ac:dyDescent="0.25">
      <c r="A860" s="255" t="s">
        <v>17</v>
      </c>
      <c r="B860" s="326">
        <v>10</v>
      </c>
      <c r="C860" s="326">
        <v>10</v>
      </c>
      <c r="D860" s="326">
        <v>10</v>
      </c>
      <c r="E860" s="326">
        <v>10</v>
      </c>
      <c r="F860" s="326">
        <v>10</v>
      </c>
      <c r="G860" s="222"/>
      <c r="H860" s="222"/>
      <c r="I860" s="222"/>
      <c r="J860" s="222"/>
      <c r="K860" s="222"/>
      <c r="L860" s="222"/>
      <c r="M860" s="222"/>
      <c r="N860" s="222"/>
    </row>
    <row r="861" spans="1:14" x14ac:dyDescent="0.25">
      <c r="A861" s="255" t="s">
        <v>18</v>
      </c>
      <c r="B861" s="326"/>
      <c r="C861" s="326">
        <f>B864+C860</f>
        <v>-108.22</v>
      </c>
      <c r="D861" s="326">
        <f>D860+C864</f>
        <v>-137.05000000000001</v>
      </c>
      <c r="E861" s="326">
        <f>E860+D864</f>
        <v>-202.31</v>
      </c>
      <c r="F861" s="326">
        <f>F860+E864</f>
        <v>-192.31</v>
      </c>
      <c r="G861" s="222"/>
      <c r="H861" s="222"/>
      <c r="I861" s="222"/>
      <c r="J861" s="222"/>
      <c r="K861" s="222"/>
      <c r="L861" s="222"/>
      <c r="M861" s="222"/>
      <c r="N861" s="222"/>
    </row>
    <row r="862" spans="1:14" x14ac:dyDescent="0.25">
      <c r="A862" s="255" t="s">
        <v>19</v>
      </c>
      <c r="B862" s="331"/>
      <c r="C862" s="331"/>
      <c r="D862" s="331"/>
      <c r="E862" s="331"/>
      <c r="F862" s="331"/>
      <c r="G862" s="222"/>
      <c r="H862" s="222"/>
      <c r="I862" s="222"/>
      <c r="J862" s="222"/>
      <c r="K862" s="222"/>
      <c r="L862" s="222"/>
      <c r="M862" s="222"/>
      <c r="N862" s="222"/>
    </row>
    <row r="863" spans="1:14" x14ac:dyDescent="0.25">
      <c r="A863" s="255" t="s">
        <v>20</v>
      </c>
      <c r="B863" s="326">
        <v>128.22</v>
      </c>
      <c r="C863" s="326">
        <v>38.83</v>
      </c>
      <c r="D863" s="326">
        <v>75.260000000000005</v>
      </c>
      <c r="E863" s="326">
        <v>0</v>
      </c>
      <c r="F863" s="326"/>
      <c r="G863" s="222"/>
      <c r="H863" s="222"/>
      <c r="I863" s="222"/>
      <c r="J863" s="222"/>
      <c r="K863" s="222"/>
      <c r="L863" s="222"/>
      <c r="M863" s="222"/>
      <c r="N863" s="222"/>
    </row>
    <row r="864" spans="1:14" x14ac:dyDescent="0.25">
      <c r="A864" s="255" t="s">
        <v>21</v>
      </c>
      <c r="B864" s="326">
        <f>B860-B863</f>
        <v>-118.22</v>
      </c>
      <c r="C864" s="326">
        <f>C861-C863</f>
        <v>-147.05000000000001</v>
      </c>
      <c r="D864" s="326">
        <f>D861-D863</f>
        <v>-212.31</v>
      </c>
      <c r="E864" s="326">
        <f>E861-E863</f>
        <v>-202.31</v>
      </c>
      <c r="F864" s="326"/>
      <c r="G864" s="222"/>
      <c r="H864" s="222"/>
      <c r="I864" s="222"/>
      <c r="J864" s="222"/>
      <c r="K864" s="222"/>
      <c r="L864" s="222"/>
      <c r="M864" s="222"/>
      <c r="N864" s="222"/>
    </row>
    <row r="865" spans="1:14" x14ac:dyDescent="0.25">
      <c r="A865" s="258" t="s">
        <v>22</v>
      </c>
      <c r="B865" s="259">
        <v>2020</v>
      </c>
      <c r="C865" s="259">
        <v>2021</v>
      </c>
      <c r="D865" s="259">
        <v>2022</v>
      </c>
      <c r="E865" s="259">
        <v>2023</v>
      </c>
      <c r="F865" s="259">
        <v>2023</v>
      </c>
      <c r="G865" s="222"/>
      <c r="H865" s="222"/>
      <c r="I865" s="222"/>
      <c r="J865" s="222"/>
      <c r="K865" s="222"/>
      <c r="L865" s="222"/>
      <c r="M865" s="222"/>
      <c r="N865" s="222"/>
    </row>
    <row r="866" spans="1:14" ht="12.75" customHeight="1" x14ac:dyDescent="0.25">
      <c r="A866" s="255" t="s">
        <v>436</v>
      </c>
      <c r="B866" s="255"/>
      <c r="C866" s="586"/>
      <c r="D866" s="586"/>
      <c r="E866" s="586"/>
      <c r="F866" s="598"/>
      <c r="G866" s="342"/>
      <c r="H866" s="342"/>
      <c r="I866" s="222"/>
      <c r="J866" s="222"/>
      <c r="K866" s="222"/>
      <c r="L866" s="222"/>
      <c r="M866" s="222"/>
      <c r="N866" s="222"/>
    </row>
    <row r="867" spans="1:14" x14ac:dyDescent="0.25">
      <c r="A867" s="222"/>
      <c r="B867" s="222"/>
      <c r="C867" s="222"/>
      <c r="D867" s="222"/>
      <c r="E867" s="222"/>
      <c r="F867" s="222"/>
      <c r="G867" s="222"/>
      <c r="H867" s="222"/>
      <c r="I867" s="222"/>
      <c r="J867" s="222"/>
      <c r="K867" s="222"/>
      <c r="L867" s="222"/>
      <c r="M867" s="222"/>
      <c r="N867" s="222"/>
    </row>
    <row r="868" spans="1:14" x14ac:dyDescent="0.25">
      <c r="A868" s="251" t="s">
        <v>14</v>
      </c>
      <c r="B868" s="252" t="s">
        <v>79</v>
      </c>
      <c r="C868" s="252" t="s">
        <v>152</v>
      </c>
      <c r="D868" s="254"/>
      <c r="E868" s="254"/>
      <c r="F868" s="254"/>
      <c r="G868" s="254"/>
      <c r="H868" s="222"/>
      <c r="I868" s="222"/>
      <c r="J868" s="222"/>
      <c r="K868" s="222"/>
      <c r="L868" s="222"/>
      <c r="M868" s="222"/>
      <c r="N868" s="222"/>
    </row>
    <row r="869" spans="1:14" x14ac:dyDescent="0.25">
      <c r="A869" s="323" t="s">
        <v>16</v>
      </c>
      <c r="B869" s="343">
        <v>2016</v>
      </c>
      <c r="C869" s="339">
        <v>2017</v>
      </c>
      <c r="D869" s="339">
        <v>2018</v>
      </c>
      <c r="E869" s="339">
        <v>2019</v>
      </c>
      <c r="F869" s="339">
        <v>2020</v>
      </c>
      <c r="G869" s="339">
        <v>2021</v>
      </c>
      <c r="H869" s="339">
        <v>2022</v>
      </c>
      <c r="I869" s="339">
        <v>2023</v>
      </c>
      <c r="J869" s="222"/>
      <c r="K869" s="222"/>
      <c r="L869" s="222"/>
      <c r="M869" s="222"/>
      <c r="N869" s="222"/>
    </row>
    <row r="870" spans="1:14" x14ac:dyDescent="0.25">
      <c r="A870" s="255" t="s">
        <v>17</v>
      </c>
      <c r="B870" s="327">
        <v>2</v>
      </c>
      <c r="C870" s="327">
        <v>2</v>
      </c>
      <c r="D870" s="327">
        <v>2</v>
      </c>
      <c r="E870" s="327">
        <v>2</v>
      </c>
      <c r="F870" s="327">
        <v>2</v>
      </c>
      <c r="G870" s="327">
        <v>2</v>
      </c>
      <c r="H870" s="327">
        <v>2</v>
      </c>
      <c r="I870" s="327">
        <v>2</v>
      </c>
      <c r="J870" s="222"/>
      <c r="K870" s="222"/>
      <c r="L870" s="222"/>
      <c r="M870" s="222"/>
      <c r="N870" s="222"/>
    </row>
    <row r="871" spans="1:14" x14ac:dyDescent="0.25">
      <c r="A871" s="255" t="s">
        <v>18</v>
      </c>
      <c r="B871" s="327">
        <f>B873+B874</f>
        <v>1.3599999999999994</v>
      </c>
      <c r="C871" s="327">
        <f>B874+C870</f>
        <v>-45.06</v>
      </c>
      <c r="D871" s="327">
        <f>D870+C874</f>
        <v>-100.26</v>
      </c>
      <c r="E871" s="327">
        <f>D874+E870</f>
        <v>-165.26</v>
      </c>
      <c r="F871" s="327">
        <f>F870+E874</f>
        <v>-163.26</v>
      </c>
      <c r="G871" s="327">
        <f>G870+F874</f>
        <v>-161.26</v>
      </c>
      <c r="H871" s="327">
        <f>H870+G874</f>
        <v>-159.26</v>
      </c>
      <c r="I871" s="327">
        <f>I870+H874</f>
        <v>-157.26</v>
      </c>
      <c r="J871" s="222"/>
      <c r="K871" s="222"/>
      <c r="L871" s="222"/>
      <c r="M871" s="222"/>
      <c r="N871" s="222"/>
    </row>
    <row r="872" spans="1:14" x14ac:dyDescent="0.25">
      <c r="A872" s="255" t="s">
        <v>19</v>
      </c>
      <c r="B872" s="340"/>
      <c r="C872" s="340"/>
      <c r="D872" s="340"/>
      <c r="E872" s="340"/>
      <c r="F872" s="340"/>
      <c r="G872" s="340"/>
      <c r="H872" s="340"/>
      <c r="I872" s="340"/>
      <c r="J872" s="222"/>
      <c r="K872" s="222"/>
      <c r="L872" s="222"/>
      <c r="M872" s="222"/>
      <c r="N872" s="222"/>
    </row>
    <row r="873" spans="1:14" x14ac:dyDescent="0.25">
      <c r="A873" s="255" t="s">
        <v>20</v>
      </c>
      <c r="B873" s="327">
        <v>48.42</v>
      </c>
      <c r="C873" s="327">
        <v>57.2</v>
      </c>
      <c r="D873" s="327">
        <v>67</v>
      </c>
      <c r="E873" s="327">
        <v>0</v>
      </c>
      <c r="F873" s="327">
        <v>0</v>
      </c>
      <c r="G873" s="327">
        <v>0</v>
      </c>
      <c r="H873" s="327">
        <v>0</v>
      </c>
      <c r="I873" s="327"/>
      <c r="J873" s="222"/>
      <c r="K873" s="222"/>
      <c r="L873" s="222"/>
      <c r="M873" s="222"/>
      <c r="N873" s="222"/>
    </row>
    <row r="874" spans="1:14" x14ac:dyDescent="0.25">
      <c r="A874" s="255" t="s">
        <v>21</v>
      </c>
      <c r="B874" s="327">
        <v>-47.06</v>
      </c>
      <c r="C874" s="327">
        <f>C871-C873</f>
        <v>-102.26</v>
      </c>
      <c r="D874" s="327">
        <f>D871-D873</f>
        <v>-167.26</v>
      </c>
      <c r="E874" s="327">
        <f>E871-E873</f>
        <v>-165.26</v>
      </c>
      <c r="F874" s="327">
        <f>F871-F873</f>
        <v>-163.26</v>
      </c>
      <c r="G874" s="327">
        <f>G871</f>
        <v>-161.26</v>
      </c>
      <c r="H874" s="327">
        <f>H871</f>
        <v>-159.26</v>
      </c>
      <c r="I874" s="327"/>
      <c r="J874" s="222"/>
      <c r="K874" s="222"/>
      <c r="L874" s="222"/>
      <c r="M874" s="222"/>
      <c r="N874" s="222"/>
    </row>
    <row r="875" spans="1:14" x14ac:dyDescent="0.25">
      <c r="A875" s="258" t="s">
        <v>22</v>
      </c>
      <c r="B875" s="259">
        <v>2017</v>
      </c>
      <c r="C875" s="259">
        <v>2018</v>
      </c>
      <c r="D875" s="259">
        <v>2019</v>
      </c>
      <c r="E875" s="259">
        <v>2020</v>
      </c>
      <c r="F875" s="259">
        <v>2021</v>
      </c>
      <c r="G875" s="259">
        <v>2022</v>
      </c>
      <c r="H875" s="259">
        <v>2023</v>
      </c>
      <c r="I875" s="259">
        <v>2023</v>
      </c>
      <c r="J875" s="222"/>
      <c r="K875" s="222"/>
      <c r="L875" s="222"/>
      <c r="M875" s="222"/>
      <c r="N875" s="222"/>
    </row>
    <row r="876" spans="1:14" ht="13.2" customHeight="1" x14ac:dyDescent="0.25">
      <c r="A876" s="403" t="s">
        <v>436</v>
      </c>
      <c r="B876" s="404"/>
      <c r="C876" s="404"/>
      <c r="D876" s="404"/>
      <c r="E876" s="404"/>
      <c r="F876" s="404"/>
      <c r="G876" s="404"/>
      <c r="H876" s="404"/>
      <c r="I876" s="405"/>
      <c r="J876" s="222"/>
      <c r="K876" s="222"/>
      <c r="L876" s="222"/>
      <c r="M876" s="222"/>
      <c r="N876" s="222"/>
    </row>
    <row r="877" spans="1:14" x14ac:dyDescent="0.25">
      <c r="A877" s="307"/>
      <c r="B877" s="307"/>
      <c r="C877" s="307"/>
      <c r="D877" s="307"/>
      <c r="E877" s="342"/>
      <c r="F877" s="342"/>
      <c r="G877" s="342"/>
      <c r="H877" s="342"/>
      <c r="I877" s="222"/>
      <c r="J877" s="222"/>
      <c r="K877" s="222"/>
      <c r="L877" s="222"/>
      <c r="M877" s="222"/>
      <c r="N877" s="222"/>
    </row>
    <row r="878" spans="1:14" x14ac:dyDescent="0.25">
      <c r="A878" s="361"/>
      <c r="B878" s="222"/>
      <c r="C878" s="401"/>
      <c r="D878" s="222"/>
      <c r="E878" s="222"/>
      <c r="F878" s="222"/>
      <c r="G878" s="222"/>
      <c r="H878" s="222"/>
      <c r="I878" s="222"/>
      <c r="J878" s="222"/>
      <c r="K878" s="222"/>
      <c r="L878" s="222"/>
      <c r="M878" s="222"/>
      <c r="N878" s="222"/>
    </row>
    <row r="879" spans="1:14" x14ac:dyDescent="0.25">
      <c r="A879" s="605" t="s">
        <v>12</v>
      </c>
      <c r="B879" s="606" t="s">
        <v>173</v>
      </c>
      <c r="C879" s="396"/>
      <c r="D879" s="396"/>
      <c r="E879" s="396"/>
      <c r="F879" s="396"/>
      <c r="G879" s="396"/>
      <c r="H879" s="396"/>
      <c r="I879" s="396"/>
      <c r="J879" s="396"/>
      <c r="K879" s="396"/>
      <c r="L879" s="396"/>
      <c r="M879" s="222"/>
      <c r="N879" s="222"/>
    </row>
    <row r="880" spans="1:14" x14ac:dyDescent="0.25">
      <c r="A880" s="566" t="s">
        <v>14</v>
      </c>
      <c r="B880" s="567" t="s">
        <v>638</v>
      </c>
      <c r="C880" s="136" t="s">
        <v>15</v>
      </c>
      <c r="D880" s="133"/>
      <c r="E880" s="133"/>
      <c r="F880" s="133"/>
      <c r="G880" s="133"/>
      <c r="H880" s="133"/>
      <c r="I880" s="133"/>
      <c r="J880" s="133"/>
      <c r="K880" s="133"/>
      <c r="L880" s="133"/>
    </row>
    <row r="881" spans="1:16" customFormat="1" ht="14.4" x14ac:dyDescent="0.3">
      <c r="A881" s="137" t="s">
        <v>16</v>
      </c>
      <c r="B881" s="150">
        <v>2009</v>
      </c>
      <c r="C881" s="151">
        <v>2010</v>
      </c>
      <c r="D881" s="151">
        <v>2011</v>
      </c>
      <c r="E881" s="151">
        <v>2012</v>
      </c>
      <c r="F881" s="151">
        <v>2013</v>
      </c>
      <c r="G881" s="151">
        <v>2014</v>
      </c>
      <c r="H881" s="151">
        <v>2015</v>
      </c>
      <c r="I881" s="151">
        <v>2016</v>
      </c>
      <c r="J881" s="151">
        <v>2017</v>
      </c>
      <c r="K881" s="151">
        <v>2018</v>
      </c>
      <c r="L881" s="151">
        <v>2019</v>
      </c>
      <c r="M881" s="151">
        <v>2020</v>
      </c>
      <c r="N881" s="151">
        <v>2021</v>
      </c>
      <c r="O881" s="151">
        <v>2022</v>
      </c>
      <c r="P881" s="138"/>
    </row>
    <row r="882" spans="1:16" customFormat="1" ht="14.4" x14ac:dyDescent="0.3">
      <c r="A882" s="139" t="s">
        <v>17</v>
      </c>
      <c r="B882" s="140"/>
      <c r="C882" s="140"/>
      <c r="D882" s="140"/>
      <c r="E882" s="140"/>
      <c r="F882" s="140"/>
      <c r="G882" s="140"/>
      <c r="H882" s="140"/>
      <c r="I882" s="140"/>
      <c r="J882" s="140"/>
      <c r="K882" s="140"/>
      <c r="L882" s="140"/>
      <c r="M882" s="140"/>
      <c r="N882" s="140"/>
      <c r="O882" s="140"/>
      <c r="P882" s="138"/>
    </row>
    <row r="883" spans="1:16" customFormat="1" ht="14.4" x14ac:dyDescent="0.3">
      <c r="A883" s="139" t="s">
        <v>18</v>
      </c>
      <c r="B883" s="140">
        <v>525.11158760000001</v>
      </c>
      <c r="C883" s="140">
        <v>516.79334119999999</v>
      </c>
      <c r="D883" s="140">
        <v>478.68400000000003</v>
      </c>
      <c r="E883" s="140">
        <v>638.87599999999998</v>
      </c>
      <c r="F883" s="140">
        <v>573.67999999999995</v>
      </c>
      <c r="G883" s="140">
        <v>503.80800000000005</v>
      </c>
      <c r="H883" s="140">
        <v>407.19200000000001</v>
      </c>
      <c r="I883" s="140">
        <v>449.52</v>
      </c>
      <c r="J883" s="140">
        <v>394.88799999999998</v>
      </c>
      <c r="K883" s="140">
        <v>393.98364000000004</v>
      </c>
      <c r="L883" s="140">
        <v>397.32737956000005</v>
      </c>
      <c r="M883" s="140">
        <v>371.77199999999999</v>
      </c>
      <c r="N883" s="140">
        <v>505.18</v>
      </c>
      <c r="O883" s="607">
        <v>556.85249999999996</v>
      </c>
      <c r="P883" s="138"/>
    </row>
    <row r="884" spans="1:16" customFormat="1" ht="14.4" x14ac:dyDescent="0.3">
      <c r="A884" s="139" t="s">
        <v>19</v>
      </c>
      <c r="B884" s="140"/>
      <c r="C884" s="140"/>
      <c r="D884" s="140"/>
      <c r="E884" s="140"/>
      <c r="F884" s="140"/>
      <c r="G884" s="140"/>
      <c r="H884" s="140"/>
      <c r="I884" s="140"/>
      <c r="J884" s="140"/>
      <c r="K884" s="140"/>
      <c r="L884" s="140"/>
      <c r="M884" s="140"/>
      <c r="N884" s="140"/>
      <c r="O884" s="140"/>
      <c r="P884" s="138"/>
    </row>
    <row r="885" spans="1:16" customFormat="1" ht="14.4" x14ac:dyDescent="0.3">
      <c r="A885" s="139" t="s">
        <v>20</v>
      </c>
      <c r="B885" s="140">
        <v>419.55900000000003</v>
      </c>
      <c r="C885" s="140">
        <v>483.41500000000002</v>
      </c>
      <c r="D885" s="140">
        <v>285.3</v>
      </c>
      <c r="E885" s="140">
        <v>1822.1</v>
      </c>
      <c r="F885" s="140">
        <v>266.39999999999998</v>
      </c>
      <c r="G885" s="140">
        <v>305.2</v>
      </c>
      <c r="H885" s="140">
        <v>329.8</v>
      </c>
      <c r="I885" s="140">
        <v>254.9</v>
      </c>
      <c r="J885" s="140">
        <v>335</v>
      </c>
      <c r="K885" s="140">
        <v>210.6</v>
      </c>
      <c r="L885" s="140">
        <v>319.27300000000002</v>
      </c>
      <c r="M885" s="140">
        <v>282.8</v>
      </c>
      <c r="N885" s="140">
        <v>223.4</v>
      </c>
      <c r="O885" s="607">
        <v>241.6</v>
      </c>
      <c r="P885" s="138"/>
    </row>
    <row r="886" spans="1:16" customFormat="1" ht="14.4" x14ac:dyDescent="0.3">
      <c r="A886" s="141" t="s">
        <v>21</v>
      </c>
      <c r="B886" s="167">
        <v>105.55258759999998</v>
      </c>
      <c r="C886" s="167">
        <v>33.378341199999966</v>
      </c>
      <c r="D886" s="167">
        <v>193.38400000000001</v>
      </c>
      <c r="E886" s="523">
        <v>-1183.2239999999999</v>
      </c>
      <c r="F886" s="167">
        <v>307.28000000000009</v>
      </c>
      <c r="G886" s="167">
        <v>198.60800000000006</v>
      </c>
      <c r="H886" s="167">
        <v>77.391999999999996</v>
      </c>
      <c r="I886" s="167">
        <v>194.61999999999998</v>
      </c>
      <c r="J886" s="167">
        <v>59.888000000000034</v>
      </c>
      <c r="K886" s="167">
        <v>183.38364000000004</v>
      </c>
      <c r="L886" s="167">
        <v>78.054379560000029</v>
      </c>
      <c r="M886" s="167">
        <v>88.971999999999994</v>
      </c>
      <c r="N886" s="167">
        <f>N883-N885</f>
        <v>281.77999999999997</v>
      </c>
      <c r="O886" s="610">
        <f>O883-O885</f>
        <v>315.25249999999994</v>
      </c>
      <c r="P886" s="138"/>
    </row>
    <row r="887" spans="1:16" customFormat="1" ht="14.4" x14ac:dyDescent="0.3">
      <c r="A887" s="139" t="s">
        <v>22</v>
      </c>
      <c r="B887" s="524"/>
      <c r="C887" s="524"/>
      <c r="D887" s="524"/>
      <c r="E887" s="524"/>
      <c r="F887" s="524"/>
      <c r="G887" s="524"/>
      <c r="H887" s="524"/>
      <c r="I887" s="524"/>
      <c r="J887" s="524"/>
      <c r="K887" s="524"/>
      <c r="L887" s="524"/>
      <c r="M887" s="524"/>
      <c r="N887" s="524"/>
      <c r="O887" s="525"/>
      <c r="P887" s="138"/>
    </row>
    <row r="888" spans="1:16" customFormat="1" ht="14.4" x14ac:dyDescent="0.3">
      <c r="A888" s="144" t="s">
        <v>23</v>
      </c>
      <c r="B888" s="133"/>
      <c r="C888" s="133"/>
      <c r="D888" s="133"/>
      <c r="E888" s="133"/>
      <c r="F888" s="133"/>
      <c r="G888" s="133"/>
      <c r="H888" s="133"/>
      <c r="I888" s="133"/>
      <c r="J888" s="133"/>
      <c r="K888" s="133"/>
      <c r="L888" s="133"/>
      <c r="M888" s="133"/>
      <c r="N888" s="133"/>
      <c r="O888" s="145"/>
      <c r="P888" s="138"/>
    </row>
    <row r="889" spans="1:16" customFormat="1" ht="14.4" x14ac:dyDescent="0.3">
      <c r="A889" s="144" t="s">
        <v>174</v>
      </c>
      <c r="B889" s="133"/>
      <c r="C889" s="133"/>
      <c r="D889" s="133"/>
      <c r="E889" s="133"/>
      <c r="F889" s="133"/>
      <c r="G889" s="133"/>
      <c r="H889" s="133"/>
      <c r="I889" s="133"/>
      <c r="J889" s="133"/>
      <c r="K889" s="133"/>
      <c r="L889" s="133"/>
      <c r="M889" s="133"/>
      <c r="N889" s="133"/>
      <c r="O889" s="145"/>
      <c r="P889" s="138"/>
    </row>
    <row r="890" spans="1:16" customFormat="1" ht="14.4" x14ac:dyDescent="0.3">
      <c r="A890" s="20" t="s">
        <v>220</v>
      </c>
      <c r="B890" s="133"/>
      <c r="C890" s="133"/>
      <c r="D890" s="133"/>
      <c r="E890" s="133"/>
      <c r="F890" s="133"/>
      <c r="G890" s="133"/>
      <c r="H890" s="133"/>
      <c r="I890" s="133"/>
      <c r="J890" s="133"/>
      <c r="K890" s="133"/>
      <c r="L890" s="133"/>
      <c r="M890" s="133"/>
      <c r="N890" s="133"/>
      <c r="O890" s="145"/>
      <c r="P890" s="138"/>
    </row>
    <row r="891" spans="1:16" customFormat="1" ht="14.4" x14ac:dyDescent="0.3">
      <c r="A891" s="144" t="s">
        <v>271</v>
      </c>
      <c r="B891" s="133"/>
      <c r="C891" s="133"/>
      <c r="D891" s="133"/>
      <c r="E891" s="133"/>
      <c r="F891" s="133"/>
      <c r="G891" s="133"/>
      <c r="H891" s="133"/>
      <c r="I891" s="133"/>
      <c r="J891" s="133"/>
      <c r="K891" s="133"/>
      <c r="L891" s="133"/>
      <c r="M891" s="133"/>
      <c r="N891" s="133"/>
      <c r="O891" s="145"/>
      <c r="P891" s="138"/>
    </row>
    <row r="892" spans="1:16" customFormat="1" ht="14.4" x14ac:dyDescent="0.3">
      <c r="A892" s="144" t="s">
        <v>467</v>
      </c>
      <c r="B892" s="133"/>
      <c r="C892" s="133"/>
      <c r="D892" s="133"/>
      <c r="E892" s="133"/>
      <c r="F892" s="133"/>
      <c r="G892" s="133"/>
      <c r="H892" s="133"/>
      <c r="I892" s="133"/>
      <c r="J892" s="133"/>
      <c r="K892" s="133"/>
      <c r="L892" s="133"/>
      <c r="M892" s="133"/>
      <c r="N892" s="133"/>
      <c r="O892" s="145"/>
      <c r="P892" s="138"/>
    </row>
    <row r="893" spans="1:16" customFormat="1" ht="14.4" x14ac:dyDescent="0.3">
      <c r="A893" s="144" t="s">
        <v>734</v>
      </c>
      <c r="B893" s="133"/>
      <c r="C893" s="133"/>
      <c r="D893" s="133"/>
      <c r="E893" s="133"/>
      <c r="F893" s="133"/>
      <c r="G893" s="133"/>
      <c r="H893" s="133"/>
      <c r="I893" s="133"/>
      <c r="J893" s="133"/>
      <c r="K893" s="133"/>
      <c r="L893" s="133"/>
      <c r="M893" s="133"/>
      <c r="N893" s="133"/>
      <c r="O893" s="145"/>
      <c r="P893" s="138"/>
    </row>
    <row r="894" spans="1:16" customFormat="1" ht="14.4" x14ac:dyDescent="0.3">
      <c r="A894" s="144" t="s">
        <v>864</v>
      </c>
      <c r="B894" s="133"/>
      <c r="C894" s="133"/>
      <c r="D894" s="133"/>
      <c r="E894" s="133"/>
      <c r="F894" s="133"/>
      <c r="G894" s="133"/>
      <c r="H894" s="133"/>
      <c r="I894" s="133"/>
      <c r="J894" s="133"/>
      <c r="K894" s="133"/>
      <c r="L894" s="133"/>
      <c r="M894" s="133"/>
      <c r="N894" s="133"/>
      <c r="O894" s="145"/>
      <c r="P894" s="138"/>
    </row>
    <row r="895" spans="1:16" customFormat="1" ht="14.4" x14ac:dyDescent="0.3">
      <c r="A895" s="144"/>
      <c r="B895" s="133"/>
      <c r="C895" s="133"/>
      <c r="D895" s="133"/>
      <c r="E895" s="133"/>
      <c r="F895" s="133" t="s">
        <v>175</v>
      </c>
      <c r="G895" s="133"/>
      <c r="H895" s="133"/>
      <c r="I895" s="133"/>
      <c r="J895" s="133"/>
      <c r="K895" s="133"/>
      <c r="L895" s="133"/>
      <c r="M895" s="133"/>
      <c r="N895" s="133"/>
      <c r="O895" s="145"/>
      <c r="P895" s="138"/>
    </row>
    <row r="896" spans="1:16" customFormat="1" ht="14.4" x14ac:dyDescent="0.3">
      <c r="A896" s="144"/>
      <c r="B896" s="146" t="s">
        <v>176</v>
      </c>
      <c r="C896" s="608">
        <v>2.9134057665175392E-2</v>
      </c>
      <c r="D896" s="19"/>
      <c r="E896" s="133"/>
      <c r="F896" s="147" t="s">
        <v>177</v>
      </c>
      <c r="G896" s="237">
        <v>2019</v>
      </c>
      <c r="H896" s="237">
        <v>2020</v>
      </c>
      <c r="I896" s="237">
        <v>2021</v>
      </c>
      <c r="J896" s="237">
        <v>2022</v>
      </c>
      <c r="K896" s="133"/>
      <c r="L896" s="133"/>
      <c r="M896" s="133"/>
      <c r="N896" s="133"/>
      <c r="O896" s="145"/>
      <c r="P896" s="138"/>
    </row>
    <row r="897" spans="1:18" customFormat="1" ht="14.4" x14ac:dyDescent="0.3">
      <c r="A897" s="144"/>
      <c r="B897" s="133"/>
      <c r="C897" s="133"/>
      <c r="D897" s="133"/>
      <c r="E897" s="133"/>
      <c r="F897" s="147" t="s">
        <v>14</v>
      </c>
      <c r="G897" s="237" t="s">
        <v>66</v>
      </c>
      <c r="H897" s="237" t="s">
        <v>66</v>
      </c>
      <c r="I897" s="237" t="s">
        <v>66</v>
      </c>
      <c r="J897" s="237" t="s">
        <v>66</v>
      </c>
      <c r="K897" s="133"/>
      <c r="L897" s="133"/>
      <c r="M897" s="133"/>
      <c r="N897" s="133"/>
      <c r="O897" s="145"/>
      <c r="P897" s="138"/>
    </row>
    <row r="898" spans="1:18" customFormat="1" ht="14.4" x14ac:dyDescent="0.3">
      <c r="A898" s="144"/>
      <c r="B898" s="133"/>
      <c r="C898" s="133"/>
      <c r="D898" s="133"/>
      <c r="E898" s="133"/>
      <c r="F898" s="147" t="s">
        <v>178</v>
      </c>
      <c r="G898" s="238">
        <v>9933.1844890000011</v>
      </c>
      <c r="H898" s="238">
        <v>9294.2999999999993</v>
      </c>
      <c r="I898" s="237">
        <v>11226.4</v>
      </c>
      <c r="J898" s="609">
        <v>12374.5</v>
      </c>
      <c r="K898" s="133"/>
      <c r="L898" s="133"/>
      <c r="M898" s="133"/>
      <c r="N898" s="133"/>
      <c r="O898" s="145"/>
      <c r="P898" s="138"/>
    </row>
    <row r="899" spans="1:18" customFormat="1" ht="14.4" x14ac:dyDescent="0.3">
      <c r="A899" s="137"/>
      <c r="B899" s="148"/>
      <c r="C899" s="148"/>
      <c r="D899" s="148"/>
      <c r="E899" s="148"/>
      <c r="F899" s="148"/>
      <c r="G899" s="148"/>
      <c r="H899" s="148"/>
      <c r="I899" s="148"/>
      <c r="J899" s="148"/>
      <c r="K899" s="148"/>
      <c r="L899" s="148"/>
      <c r="M899" s="148"/>
      <c r="N899" s="148"/>
      <c r="O899" s="149"/>
      <c r="P899" s="138"/>
    </row>
    <row r="900" spans="1:18" x14ac:dyDescent="0.25">
      <c r="A900" s="132"/>
      <c r="C900" s="134"/>
    </row>
    <row r="901" spans="1:18" x14ac:dyDescent="0.25">
      <c r="A901" s="135" t="s">
        <v>14</v>
      </c>
      <c r="B901" s="136" t="s">
        <v>657</v>
      </c>
      <c r="C901" s="136" t="s">
        <v>15</v>
      </c>
      <c r="D901" s="133"/>
      <c r="E901" s="133"/>
      <c r="F901" s="133"/>
      <c r="G901" s="133"/>
      <c r="H901" s="133"/>
      <c r="I901" s="133"/>
      <c r="J901" s="133"/>
      <c r="K901" s="133"/>
      <c r="L901" s="133"/>
      <c r="M901" s="133"/>
      <c r="N901" s="133"/>
      <c r="O901" s="133"/>
      <c r="P901" s="133"/>
      <c r="Q901" s="133"/>
      <c r="R901" s="133"/>
    </row>
    <row r="902" spans="1:18" s="26" customFormat="1" ht="13.8" x14ac:dyDescent="0.25">
      <c r="A902" s="137" t="s">
        <v>16</v>
      </c>
      <c r="B902" s="150">
        <v>2009</v>
      </c>
      <c r="C902" s="151">
        <v>2010</v>
      </c>
      <c r="D902" s="151">
        <v>2011</v>
      </c>
      <c r="E902" s="151">
        <v>2012</v>
      </c>
      <c r="F902" s="151">
        <v>2013</v>
      </c>
      <c r="G902" s="151">
        <v>2014</v>
      </c>
      <c r="H902" s="151">
        <v>2015</v>
      </c>
      <c r="I902" s="151">
        <v>2016</v>
      </c>
      <c r="J902" s="151">
        <v>2017</v>
      </c>
      <c r="K902" s="151">
        <v>2018</v>
      </c>
      <c r="L902" s="151">
        <v>2019</v>
      </c>
      <c r="M902" s="151">
        <v>2020</v>
      </c>
      <c r="N902" s="151">
        <v>2021</v>
      </c>
      <c r="O902" s="151">
        <v>2022</v>
      </c>
      <c r="P902" s="151">
        <v>2023</v>
      </c>
      <c r="Q902" s="611">
        <v>2024</v>
      </c>
    </row>
    <row r="903" spans="1:18" s="26" customFormat="1" ht="13.8" x14ac:dyDescent="0.25">
      <c r="A903" s="139" t="s">
        <v>17</v>
      </c>
      <c r="B903" s="152"/>
      <c r="C903" s="152"/>
      <c r="D903" s="152"/>
      <c r="E903" s="152"/>
      <c r="F903" s="152"/>
      <c r="G903" s="152">
        <v>1355</v>
      </c>
      <c r="H903" s="152">
        <v>1355</v>
      </c>
      <c r="I903" s="152">
        <v>1355</v>
      </c>
      <c r="J903" s="152">
        <v>1355</v>
      </c>
      <c r="K903" s="152">
        <v>1355</v>
      </c>
      <c r="L903" s="152">
        <v>1355</v>
      </c>
      <c r="M903" s="152">
        <v>1355</v>
      </c>
      <c r="N903" s="152">
        <v>1355</v>
      </c>
      <c r="O903" s="152">
        <v>1355</v>
      </c>
      <c r="P903" s="152">
        <v>1630</v>
      </c>
      <c r="Q903" s="203">
        <v>1630</v>
      </c>
    </row>
    <row r="904" spans="1:18" s="26" customFormat="1" ht="13.8" x14ac:dyDescent="0.25">
      <c r="A904" s="139" t="s">
        <v>18</v>
      </c>
      <c r="B904" s="152">
        <v>237.31834029985683</v>
      </c>
      <c r="C904" s="152">
        <v>315.5295404143024</v>
      </c>
      <c r="D904" s="152">
        <v>275.05599999999998</v>
      </c>
      <c r="E904" s="152">
        <v>415.68</v>
      </c>
      <c r="F904" s="152">
        <v>341.67599999999999</v>
      </c>
      <c r="G904" s="152">
        <v>1725</v>
      </c>
      <c r="H904" s="152">
        <v>1555</v>
      </c>
      <c r="I904" s="152">
        <v>1693.75</v>
      </c>
      <c r="J904" s="152">
        <v>1717.1</v>
      </c>
      <c r="K904" s="152">
        <v>1893.75</v>
      </c>
      <c r="L904" s="152">
        <v>1936.3</v>
      </c>
      <c r="M904" s="152">
        <v>2693.75</v>
      </c>
      <c r="N904" s="152">
        <f>N903+0.25*L903</f>
        <v>1693.75</v>
      </c>
      <c r="O904" s="152">
        <v>1693.75</v>
      </c>
      <c r="P904" s="241">
        <f>P903+N907+300</f>
        <v>2136.15</v>
      </c>
      <c r="Q904" s="203">
        <f>Q903+O907</f>
        <v>1582.55</v>
      </c>
    </row>
    <row r="905" spans="1:18" s="26" customFormat="1" ht="13.8" x14ac:dyDescent="0.25">
      <c r="A905" s="139" t="s">
        <v>19</v>
      </c>
      <c r="B905" s="152"/>
      <c r="C905" s="152"/>
      <c r="D905" s="152"/>
      <c r="E905" s="152"/>
      <c r="F905" s="152"/>
      <c r="G905" s="152"/>
      <c r="H905" s="152"/>
      <c r="I905" s="152"/>
      <c r="J905" s="152"/>
      <c r="K905" s="152"/>
      <c r="L905" s="152"/>
      <c r="M905" s="152"/>
      <c r="N905" s="152"/>
      <c r="O905" s="152"/>
      <c r="P905" s="152"/>
      <c r="Q905" s="203"/>
    </row>
    <row r="906" spans="1:18" s="26" customFormat="1" ht="13.8" x14ac:dyDescent="0.25">
      <c r="A906" s="139" t="s">
        <v>20</v>
      </c>
      <c r="B906" s="152">
        <v>958.10900000000004</v>
      </c>
      <c r="C906" s="152">
        <v>1217.827</v>
      </c>
      <c r="D906" s="152">
        <v>1776.4</v>
      </c>
      <c r="E906" s="152">
        <v>3550.6</v>
      </c>
      <c r="F906" s="152">
        <v>1713.8</v>
      </c>
      <c r="G906" s="152">
        <v>1198.9000000000001</v>
      </c>
      <c r="H906" s="152">
        <v>1392.9</v>
      </c>
      <c r="I906" s="152">
        <v>1212.8</v>
      </c>
      <c r="J906" s="152">
        <v>2135.8000000000002</v>
      </c>
      <c r="K906" s="152">
        <v>1654.5</v>
      </c>
      <c r="L906" s="152">
        <v>1465.57</v>
      </c>
      <c r="M906" s="152">
        <v>1621.8</v>
      </c>
      <c r="N906" s="152">
        <v>1487.6</v>
      </c>
      <c r="O906" s="203">
        <v>1741.2</v>
      </c>
      <c r="P906" s="152"/>
      <c r="Q906" s="203"/>
    </row>
    <row r="907" spans="1:18" s="26" customFormat="1" ht="13.8" x14ac:dyDescent="0.25">
      <c r="A907" s="139" t="s">
        <v>21</v>
      </c>
      <c r="B907" s="152">
        <v>-720.79065970014324</v>
      </c>
      <c r="C907" s="152">
        <v>-902.29745958569765</v>
      </c>
      <c r="D907" s="152">
        <v>-1501.3440000000001</v>
      </c>
      <c r="E907" s="152">
        <v>-3134.92</v>
      </c>
      <c r="F907" s="152">
        <v>-1372.124</v>
      </c>
      <c r="G907" s="152">
        <v>526.09999999999991</v>
      </c>
      <c r="H907" s="152">
        <v>162.09999999999991</v>
      </c>
      <c r="I907" s="152">
        <v>480.95000000000005</v>
      </c>
      <c r="J907" s="152">
        <v>-418.70000000000027</v>
      </c>
      <c r="K907" s="152">
        <v>239.25</v>
      </c>
      <c r="L907" s="152">
        <v>470.73</v>
      </c>
      <c r="M907" s="152">
        <v>1071.95</v>
      </c>
      <c r="N907" s="152">
        <f>N904-N906</f>
        <v>206.15000000000009</v>
      </c>
      <c r="O907" s="203">
        <f>O904-O906</f>
        <v>-47.450000000000045</v>
      </c>
      <c r="P907" s="152"/>
      <c r="Q907" s="203"/>
    </row>
    <row r="908" spans="1:18" s="26" customFormat="1" ht="13.8" x14ac:dyDescent="0.25">
      <c r="A908" s="141" t="s">
        <v>22</v>
      </c>
      <c r="B908" s="153"/>
      <c r="C908" s="153"/>
      <c r="D908" s="153"/>
      <c r="E908" s="153"/>
      <c r="F908" s="153"/>
      <c r="G908" s="154">
        <v>2016</v>
      </c>
      <c r="H908" s="154">
        <v>2017</v>
      </c>
      <c r="I908" s="154">
        <v>2018</v>
      </c>
      <c r="J908" s="154">
        <v>2019</v>
      </c>
      <c r="K908" s="154">
        <v>2020</v>
      </c>
      <c r="L908" s="154">
        <v>2021</v>
      </c>
      <c r="M908" s="154">
        <v>2022</v>
      </c>
      <c r="N908" s="154">
        <v>2023</v>
      </c>
      <c r="O908" s="154">
        <v>2024</v>
      </c>
      <c r="P908" s="154">
        <v>2025</v>
      </c>
      <c r="Q908" s="612">
        <v>2026</v>
      </c>
    </row>
    <row r="909" spans="1:18" s="26" customFormat="1" ht="13.8" x14ac:dyDescent="0.25">
      <c r="A909" s="141" t="s">
        <v>179</v>
      </c>
      <c r="B909" s="142"/>
      <c r="C909" s="142"/>
      <c r="D909" s="142"/>
      <c r="E909" s="142"/>
      <c r="F909" s="142"/>
      <c r="G909" s="142"/>
      <c r="H909" s="142"/>
      <c r="I909" s="142"/>
      <c r="J909" s="142"/>
      <c r="K909" s="142"/>
      <c r="L909" s="142"/>
      <c r="M909" s="142"/>
      <c r="N909" s="142"/>
      <c r="O909" s="142"/>
      <c r="P909" s="143"/>
      <c r="Q909" s="143"/>
    </row>
    <row r="910" spans="1:18" s="26" customFormat="1" ht="13.8" x14ac:dyDescent="0.25">
      <c r="A910" s="141" t="s">
        <v>180</v>
      </c>
      <c r="B910" s="142"/>
      <c r="C910" s="142"/>
      <c r="D910" s="142"/>
      <c r="E910" s="142"/>
      <c r="F910" s="142"/>
      <c r="G910" s="142"/>
      <c r="H910" s="142"/>
      <c r="I910" s="142"/>
      <c r="J910" s="142"/>
      <c r="K910" s="142"/>
      <c r="L910" s="142"/>
      <c r="M910" s="142"/>
      <c r="N910" s="142"/>
      <c r="O910" s="142"/>
      <c r="P910" s="142"/>
      <c r="Q910" s="143"/>
    </row>
    <row r="911" spans="1:18" s="26" customFormat="1" ht="13.8" x14ac:dyDescent="0.25">
      <c r="A911" s="144" t="s">
        <v>181</v>
      </c>
      <c r="B911" s="133"/>
      <c r="C911" s="133"/>
      <c r="D911" s="133"/>
      <c r="E911" s="133"/>
      <c r="F911" s="133"/>
      <c r="G911" s="133"/>
      <c r="H911" s="133"/>
      <c r="I911" s="133"/>
      <c r="J911" s="133"/>
      <c r="K911" s="133"/>
      <c r="L911" s="133"/>
      <c r="M911" s="133"/>
      <c r="N911" s="133"/>
      <c r="O911" s="133"/>
      <c r="P911" s="133"/>
      <c r="Q911" s="145"/>
    </row>
    <row r="912" spans="1:18" s="26" customFormat="1" ht="13.8" x14ac:dyDescent="0.25">
      <c r="A912" s="144" t="s">
        <v>182</v>
      </c>
      <c r="B912" s="133"/>
      <c r="C912" s="133"/>
      <c r="D912" s="133"/>
      <c r="E912" s="133"/>
      <c r="F912" s="133"/>
      <c r="G912" s="133"/>
      <c r="H912" s="133"/>
      <c r="I912" s="133"/>
      <c r="J912" s="133"/>
      <c r="K912" s="133"/>
      <c r="L912" s="133"/>
      <c r="M912" s="133"/>
      <c r="N912" s="133"/>
      <c r="O912" s="133"/>
      <c r="P912" s="133"/>
      <c r="Q912" s="145"/>
    </row>
    <row r="913" spans="1:18" s="26" customFormat="1" ht="13.8" x14ac:dyDescent="0.25">
      <c r="A913" s="144" t="s">
        <v>183</v>
      </c>
      <c r="B913" s="156"/>
      <c r="C913" s="157"/>
      <c r="D913" s="158"/>
      <c r="E913" s="133"/>
      <c r="F913" s="133"/>
      <c r="G913" s="157"/>
      <c r="H913" s="133"/>
      <c r="I913" s="133"/>
      <c r="J913" s="133"/>
      <c r="K913" s="133"/>
      <c r="L913" s="133"/>
      <c r="M913" s="133"/>
      <c r="N913" s="133"/>
      <c r="O913" s="133"/>
      <c r="P913" s="133"/>
      <c r="Q913" s="145"/>
    </row>
    <row r="914" spans="1:18" s="26" customFormat="1" ht="13.8" x14ac:dyDescent="0.25">
      <c r="A914" s="144" t="s">
        <v>184</v>
      </c>
      <c r="B914" s="133"/>
      <c r="C914" s="133"/>
      <c r="D914" s="133"/>
      <c r="E914" s="133"/>
      <c r="F914" s="133"/>
      <c r="G914" s="133"/>
      <c r="H914" s="133"/>
      <c r="I914" s="133"/>
      <c r="J914" s="133"/>
      <c r="K914" s="133"/>
      <c r="L914" s="133"/>
      <c r="M914" s="133"/>
      <c r="N914" s="133"/>
      <c r="O914" s="133"/>
      <c r="P914" s="133"/>
      <c r="Q914" s="145"/>
    </row>
    <row r="915" spans="1:18" s="26" customFormat="1" ht="13.8" x14ac:dyDescent="0.25">
      <c r="A915" s="144" t="s">
        <v>185</v>
      </c>
      <c r="B915" s="133"/>
      <c r="C915" s="133"/>
      <c r="D915" s="133"/>
      <c r="E915" s="133"/>
      <c r="F915" s="133"/>
      <c r="G915" s="133"/>
      <c r="H915" s="133"/>
      <c r="I915" s="133"/>
      <c r="J915" s="133"/>
      <c r="K915" s="133"/>
      <c r="L915" s="133"/>
      <c r="M915" s="133"/>
      <c r="N915" s="133"/>
      <c r="O915" s="133"/>
      <c r="P915" s="133"/>
      <c r="Q915" s="145"/>
    </row>
    <row r="916" spans="1:18" s="26" customFormat="1" ht="13.8" x14ac:dyDescent="0.25">
      <c r="A916" s="159" t="s">
        <v>221</v>
      </c>
      <c r="B916" s="133"/>
      <c r="C916" s="133"/>
      <c r="D916" s="133"/>
      <c r="E916" s="133"/>
      <c r="F916" s="133"/>
      <c r="G916" s="133"/>
      <c r="H916" s="133"/>
      <c r="I916" s="133"/>
      <c r="J916" s="133"/>
      <c r="K916" s="133"/>
      <c r="L916" s="133"/>
      <c r="M916" s="133"/>
      <c r="N916" s="133"/>
      <c r="O916" s="133"/>
      <c r="P916" s="133"/>
      <c r="Q916" s="145"/>
    </row>
    <row r="917" spans="1:18" s="26" customFormat="1" ht="13.8" x14ac:dyDescent="0.25">
      <c r="A917" s="144" t="s">
        <v>222</v>
      </c>
      <c r="B917" s="133"/>
      <c r="C917" s="133"/>
      <c r="D917" s="133"/>
      <c r="E917" s="133"/>
      <c r="F917" s="133"/>
      <c r="G917" s="157"/>
      <c r="H917" s="133"/>
      <c r="I917" s="133"/>
      <c r="J917" s="133"/>
      <c r="K917" s="133"/>
      <c r="L917" s="133"/>
      <c r="M917" s="133"/>
      <c r="N917" s="133"/>
      <c r="O917" s="133"/>
      <c r="P917" s="133"/>
      <c r="Q917" s="145"/>
    </row>
    <row r="918" spans="1:18" s="161" customFormat="1" x14ac:dyDescent="0.25">
      <c r="A918" s="144" t="s">
        <v>223</v>
      </c>
      <c r="B918" s="614"/>
      <c r="C918" s="614"/>
      <c r="D918" s="614"/>
      <c r="E918" s="614"/>
      <c r="F918" s="614"/>
      <c r="G918" s="615"/>
      <c r="H918" s="614"/>
      <c r="I918" s="614"/>
      <c r="J918" s="614"/>
      <c r="K918" s="614"/>
      <c r="L918" s="614"/>
      <c r="M918" s="614"/>
      <c r="N918" s="614"/>
      <c r="O918" s="614"/>
      <c r="P918" s="614"/>
      <c r="Q918" s="160"/>
    </row>
    <row r="919" spans="1:18" s="161" customFormat="1" x14ac:dyDescent="0.25">
      <c r="A919" s="144" t="s">
        <v>224</v>
      </c>
      <c r="B919" s="614"/>
      <c r="C919" s="614"/>
      <c r="D919" s="614"/>
      <c r="E919" s="614"/>
      <c r="F919" s="614"/>
      <c r="G919" s="616"/>
      <c r="H919" s="614"/>
      <c r="I919" s="614"/>
      <c r="J919" s="614"/>
      <c r="K919" s="614"/>
      <c r="L919" s="614"/>
      <c r="M919" s="614"/>
      <c r="N919" s="614"/>
      <c r="O919" s="614"/>
      <c r="P919" s="614"/>
      <c r="Q919" s="160"/>
    </row>
    <row r="920" spans="1:18" s="161" customFormat="1" x14ac:dyDescent="0.25">
      <c r="A920" s="144" t="s">
        <v>272</v>
      </c>
      <c r="B920" s="614"/>
      <c r="C920" s="614"/>
      <c r="D920" s="614"/>
      <c r="E920" s="614"/>
      <c r="F920" s="614"/>
      <c r="G920" s="616"/>
      <c r="H920" s="614"/>
      <c r="I920" s="614"/>
      <c r="J920" s="614"/>
      <c r="K920" s="614"/>
      <c r="L920" s="614"/>
      <c r="M920" s="614"/>
      <c r="N920" s="614"/>
      <c r="O920" s="614"/>
      <c r="P920" s="614"/>
      <c r="Q920" s="160"/>
    </row>
    <row r="921" spans="1:18" s="26" customFormat="1" ht="13.8" x14ac:dyDescent="0.25">
      <c r="A921" s="162" t="s">
        <v>225</v>
      </c>
      <c r="B921" s="617"/>
      <c r="C921" s="617"/>
      <c r="D921" s="617"/>
      <c r="E921" s="617"/>
      <c r="F921" s="617"/>
      <c r="G921" s="617"/>
      <c r="H921" s="617"/>
      <c r="I921" s="617"/>
      <c r="J921" s="617"/>
      <c r="K921" s="617"/>
      <c r="L921" s="617"/>
      <c r="M921" s="617"/>
      <c r="N921" s="617"/>
      <c r="O921" s="617"/>
      <c r="P921" s="133"/>
      <c r="Q921" s="145"/>
      <c r="R921" s="133"/>
    </row>
    <row r="922" spans="1:18" s="26" customFormat="1" ht="27" customHeight="1" x14ac:dyDescent="0.25">
      <c r="A922" s="669" t="s">
        <v>348</v>
      </c>
      <c r="B922" s="670"/>
      <c r="C922" s="670"/>
      <c r="D922" s="670"/>
      <c r="E922" s="670"/>
      <c r="F922" s="670"/>
      <c r="G922" s="670"/>
      <c r="H922" s="670"/>
      <c r="I922" s="670"/>
      <c r="J922" s="670"/>
      <c r="K922" s="670"/>
      <c r="L922" s="670"/>
      <c r="M922" s="670"/>
      <c r="N922" s="670"/>
      <c r="O922" s="617"/>
      <c r="P922" s="133"/>
      <c r="Q922" s="145"/>
      <c r="R922" s="133"/>
    </row>
    <row r="923" spans="1:18" s="26" customFormat="1" ht="13.95" customHeight="1" x14ac:dyDescent="0.25">
      <c r="A923" s="162" t="s">
        <v>410</v>
      </c>
      <c r="B923" s="617"/>
      <c r="C923" s="617"/>
      <c r="D923" s="617"/>
      <c r="E923" s="617"/>
      <c r="F923" s="617"/>
      <c r="G923" s="617"/>
      <c r="H923" s="617"/>
      <c r="I923" s="617"/>
      <c r="J923" s="617"/>
      <c r="K923" s="617"/>
      <c r="L923" s="617"/>
      <c r="M923" s="617"/>
      <c r="N923" s="617"/>
      <c r="O923" s="617"/>
      <c r="P923" s="133"/>
      <c r="Q923" s="145"/>
      <c r="R923" s="133"/>
    </row>
    <row r="924" spans="1:18" s="26" customFormat="1" ht="13.95" customHeight="1" x14ac:dyDescent="0.25">
      <c r="A924" s="162" t="s">
        <v>658</v>
      </c>
      <c r="B924" s="617"/>
      <c r="C924" s="617"/>
      <c r="D924" s="617"/>
      <c r="E924" s="617"/>
      <c r="F924" s="617"/>
      <c r="G924" s="617"/>
      <c r="H924" s="617"/>
      <c r="I924" s="617"/>
      <c r="J924" s="617"/>
      <c r="K924" s="617"/>
      <c r="L924" s="617"/>
      <c r="M924" s="617"/>
      <c r="N924" s="617"/>
      <c r="O924" s="617"/>
      <c r="P924" s="133"/>
      <c r="Q924" s="145"/>
      <c r="R924" s="133"/>
    </row>
    <row r="925" spans="1:18" s="26" customFormat="1" ht="13.95" customHeight="1" x14ac:dyDescent="0.25">
      <c r="A925" s="613" t="s">
        <v>865</v>
      </c>
      <c r="B925" s="617"/>
      <c r="C925" s="617"/>
      <c r="D925" s="617"/>
      <c r="E925" s="617"/>
      <c r="F925" s="617"/>
      <c r="G925" s="617"/>
      <c r="H925" s="617"/>
      <c r="I925" s="617"/>
      <c r="J925" s="617"/>
      <c r="K925" s="617"/>
      <c r="L925" s="617"/>
      <c r="M925" s="617"/>
      <c r="N925" s="617"/>
      <c r="O925" s="617"/>
      <c r="P925" s="133"/>
      <c r="Q925" s="145"/>
      <c r="R925" s="133"/>
    </row>
    <row r="926" spans="1:18" s="26" customFormat="1" ht="13.95" customHeight="1" x14ac:dyDescent="0.25">
      <c r="A926" s="408" t="s">
        <v>962</v>
      </c>
      <c r="B926" s="164"/>
      <c r="C926" s="164"/>
      <c r="D926" s="164"/>
      <c r="E926" s="164"/>
      <c r="F926" s="164"/>
      <c r="G926" s="164"/>
      <c r="H926" s="164"/>
      <c r="I926" s="164"/>
      <c r="J926" s="164"/>
      <c r="K926" s="164"/>
      <c r="L926" s="164"/>
      <c r="M926" s="164"/>
      <c r="N926" s="164"/>
      <c r="O926" s="164"/>
      <c r="P926" s="148"/>
      <c r="Q926" s="149"/>
      <c r="R926" s="133"/>
    </row>
    <row r="927" spans="1:18" x14ac:dyDescent="0.25">
      <c r="A927" s="132"/>
      <c r="C927" s="134"/>
    </row>
    <row r="928" spans="1:18" x14ac:dyDescent="0.25">
      <c r="A928" s="135" t="s">
        <v>14</v>
      </c>
      <c r="B928" s="136" t="s">
        <v>637</v>
      </c>
      <c r="C928" s="136" t="s">
        <v>15</v>
      </c>
      <c r="D928" s="133"/>
      <c r="E928" s="133"/>
      <c r="F928" s="133"/>
      <c r="G928" s="133"/>
      <c r="H928" s="133"/>
      <c r="I928" s="133"/>
      <c r="J928" s="133"/>
      <c r="K928" s="133"/>
      <c r="L928" s="133"/>
      <c r="M928" s="133"/>
      <c r="N928" s="133"/>
      <c r="O928" s="133"/>
      <c r="P928" s="133"/>
      <c r="Q928" s="133"/>
      <c r="R928" s="133"/>
    </row>
    <row r="929" spans="1:18" x14ac:dyDescent="0.25">
      <c r="A929" s="137" t="s">
        <v>16</v>
      </c>
      <c r="B929" s="239">
        <v>2009</v>
      </c>
      <c r="C929" s="240">
        <v>2010</v>
      </c>
      <c r="D929" s="240">
        <v>2011</v>
      </c>
      <c r="E929" s="240">
        <v>2012</v>
      </c>
      <c r="F929" s="240">
        <v>2013</v>
      </c>
      <c r="G929" s="240">
        <v>2014</v>
      </c>
      <c r="H929" s="240">
        <v>2015</v>
      </c>
      <c r="I929" s="240">
        <v>2016</v>
      </c>
      <c r="J929" s="240">
        <v>2017</v>
      </c>
      <c r="K929" s="240">
        <v>2018</v>
      </c>
      <c r="L929" s="240">
        <v>2019</v>
      </c>
      <c r="M929" s="240">
        <v>2020</v>
      </c>
      <c r="N929" s="151">
        <v>2021</v>
      </c>
      <c r="O929" s="151">
        <v>2022</v>
      </c>
      <c r="P929" s="151">
        <v>2023</v>
      </c>
      <c r="Q929" s="133"/>
      <c r="R929" s="133"/>
    </row>
    <row r="930" spans="1:18" x14ac:dyDescent="0.25">
      <c r="A930" s="139" t="s">
        <v>17</v>
      </c>
      <c r="B930" s="152">
        <v>842</v>
      </c>
      <c r="C930" s="152">
        <v>842</v>
      </c>
      <c r="D930" s="152">
        <v>842</v>
      </c>
      <c r="E930" s="152">
        <v>842</v>
      </c>
      <c r="F930" s="152">
        <v>842</v>
      </c>
      <c r="G930" s="152">
        <v>842</v>
      </c>
      <c r="H930" s="152">
        <v>842</v>
      </c>
      <c r="I930" s="152">
        <v>842</v>
      </c>
      <c r="J930" s="152">
        <v>842</v>
      </c>
      <c r="K930" s="152">
        <v>842</v>
      </c>
      <c r="L930" s="152">
        <v>842</v>
      </c>
      <c r="M930" s="152">
        <v>842</v>
      </c>
      <c r="N930" s="152">
        <v>842</v>
      </c>
      <c r="O930" s="152">
        <v>842</v>
      </c>
      <c r="P930" s="152">
        <v>842</v>
      </c>
      <c r="Q930" s="133"/>
      <c r="R930" s="133"/>
    </row>
    <row r="931" spans="1:18" x14ac:dyDescent="0.25">
      <c r="A931" s="139" t="s">
        <v>18</v>
      </c>
      <c r="B931" s="152">
        <v>2717.74</v>
      </c>
      <c r="C931" s="152">
        <v>2596.7442299999998</v>
      </c>
      <c r="D931" s="152">
        <v>2707.4306399999996</v>
      </c>
      <c r="E931" s="152">
        <v>2795.2306399999998</v>
      </c>
      <c r="F931" s="152">
        <v>3114.7264100000002</v>
      </c>
      <c r="G931" s="152">
        <v>3408.0264100000004</v>
      </c>
      <c r="H931" s="152">
        <f>1.15*H930-(50+35+25)</f>
        <v>858.3</v>
      </c>
      <c r="I931" s="152">
        <f>I930+H934-50-35-25</f>
        <v>1138.1999999999998</v>
      </c>
      <c r="J931" s="152">
        <f>J930+I934-100-35-25</f>
        <v>1422.4999999999998</v>
      </c>
      <c r="K931" s="152">
        <f>K930*1.15-100-35</f>
        <v>833.3</v>
      </c>
      <c r="L931" s="152">
        <f>L930+K934-100-35-25</f>
        <v>1226</v>
      </c>
      <c r="M931" s="152">
        <f>M930+L934-150-35-25</f>
        <v>1463.0075420000001</v>
      </c>
      <c r="N931" s="152">
        <f>N930+M934-150-35-25</f>
        <v>1688.2075420000001</v>
      </c>
      <c r="O931" s="152">
        <f>O930+N934-150-35-25</f>
        <v>2032.807542</v>
      </c>
      <c r="P931" s="152">
        <v>632</v>
      </c>
      <c r="Q931" s="133"/>
      <c r="R931" s="133"/>
    </row>
    <row r="932" spans="1:18" x14ac:dyDescent="0.25">
      <c r="A932" s="139" t="s">
        <v>19</v>
      </c>
      <c r="B932" s="152"/>
      <c r="C932" s="152"/>
      <c r="D932" s="152"/>
      <c r="E932" s="152"/>
      <c r="F932" s="152"/>
      <c r="G932" s="152"/>
      <c r="H932" s="165"/>
      <c r="I932" s="165"/>
      <c r="J932" s="165"/>
      <c r="K932" s="165"/>
      <c r="L932" s="165"/>
      <c r="M932" s="165"/>
      <c r="N932" s="165"/>
      <c r="O932" s="165"/>
      <c r="P932" s="165"/>
      <c r="Q932" s="133"/>
      <c r="R932" s="133"/>
    </row>
    <row r="933" spans="1:18" x14ac:dyDescent="0.25">
      <c r="A933" s="139" t="s">
        <v>20</v>
      </c>
      <c r="B933" s="152">
        <v>962.99576999999999</v>
      </c>
      <c r="C933" s="152">
        <v>681.31358999999998</v>
      </c>
      <c r="D933" s="152">
        <v>669.2</v>
      </c>
      <c r="E933" s="152">
        <v>437.5</v>
      </c>
      <c r="F933" s="152">
        <v>438.7</v>
      </c>
      <c r="G933" s="152">
        <v>392.9</v>
      </c>
      <c r="H933" s="152">
        <v>452.1</v>
      </c>
      <c r="I933" s="152">
        <v>397.7</v>
      </c>
      <c r="J933" s="152">
        <v>406</v>
      </c>
      <c r="K933" s="152">
        <v>289.3</v>
      </c>
      <c r="L933" s="152">
        <v>394.992458</v>
      </c>
      <c r="M933" s="152">
        <v>406.79999999999995</v>
      </c>
      <c r="N933" s="152">
        <v>287.39999999999998</v>
      </c>
      <c r="O933" s="203">
        <v>445</v>
      </c>
      <c r="P933" s="152"/>
      <c r="Q933" s="133"/>
      <c r="R933" s="133"/>
    </row>
    <row r="934" spans="1:18" x14ac:dyDescent="0.25">
      <c r="A934" s="139" t="s">
        <v>21</v>
      </c>
      <c r="B934" s="152">
        <v>1754.7442299999998</v>
      </c>
      <c r="C934" s="152">
        <v>1915.4306399999998</v>
      </c>
      <c r="D934" s="152">
        <v>2038.2306399999995</v>
      </c>
      <c r="E934" s="152">
        <v>2357.7264100000002</v>
      </c>
      <c r="F934" s="152">
        <v>2676.0264100000004</v>
      </c>
      <c r="G934" s="152">
        <v>3015.1264100000003</v>
      </c>
      <c r="H934" s="152">
        <f>H931-H933</f>
        <v>406.19999999999993</v>
      </c>
      <c r="I934" s="152">
        <f t="shared" ref="I934:K934" si="45">I931-I933</f>
        <v>740.49999999999977</v>
      </c>
      <c r="J934" s="152">
        <f t="shared" si="45"/>
        <v>1016.4999999999998</v>
      </c>
      <c r="K934" s="152">
        <f t="shared" si="45"/>
        <v>544</v>
      </c>
      <c r="L934" s="152">
        <f>L931-L933</f>
        <v>831.00754200000006</v>
      </c>
      <c r="M934" s="152">
        <f>M931-M933</f>
        <v>1056.2075420000001</v>
      </c>
      <c r="N934" s="152">
        <f>N931-N933</f>
        <v>1400.807542</v>
      </c>
      <c r="O934" s="203">
        <f>O931-O933</f>
        <v>1587.807542</v>
      </c>
      <c r="P934" s="152"/>
      <c r="Q934" s="133"/>
      <c r="R934" s="133"/>
    </row>
    <row r="935" spans="1:18" x14ac:dyDescent="0.25">
      <c r="A935" s="141" t="s">
        <v>22</v>
      </c>
      <c r="B935" s="166"/>
      <c r="C935" s="166"/>
      <c r="D935" s="166"/>
      <c r="E935" s="166"/>
      <c r="F935" s="166"/>
      <c r="G935" s="166"/>
      <c r="H935" s="166"/>
      <c r="I935" s="166"/>
      <c r="J935" s="166"/>
      <c r="K935" s="166"/>
      <c r="L935" s="166"/>
      <c r="M935" s="166"/>
      <c r="N935" s="167"/>
      <c r="O935" s="167"/>
      <c r="P935" s="167"/>
      <c r="Q935" s="133"/>
      <c r="R935" s="133"/>
    </row>
    <row r="936" spans="1:18" x14ac:dyDescent="0.25">
      <c r="A936" s="141" t="s">
        <v>179</v>
      </c>
      <c r="B936" s="142"/>
      <c r="C936" s="142"/>
      <c r="D936" s="142"/>
      <c r="E936" s="142"/>
      <c r="F936" s="142"/>
      <c r="G936" s="142"/>
      <c r="H936" s="142"/>
      <c r="I936" s="142"/>
      <c r="J936" s="142"/>
      <c r="K936" s="142"/>
      <c r="L936" s="142"/>
      <c r="M936" s="142"/>
      <c r="N936" s="142"/>
      <c r="O936" s="143"/>
      <c r="P936" s="143"/>
      <c r="Q936" s="133"/>
      <c r="R936" s="133"/>
    </row>
    <row r="937" spans="1:18" x14ac:dyDescent="0.25">
      <c r="A937" s="141" t="s">
        <v>186</v>
      </c>
      <c r="B937" s="142"/>
      <c r="C937" s="142"/>
      <c r="D937" s="142"/>
      <c r="E937" s="142"/>
      <c r="F937" s="142"/>
      <c r="G937" s="142"/>
      <c r="H937" s="142"/>
      <c r="I937" s="142"/>
      <c r="J937" s="142"/>
      <c r="K937" s="142"/>
      <c r="L937" s="142"/>
      <c r="M937" s="142"/>
      <c r="N937" s="142"/>
      <c r="O937" s="142"/>
      <c r="P937" s="143"/>
      <c r="Q937" s="133"/>
      <c r="R937" s="133"/>
    </row>
    <row r="938" spans="1:18" x14ac:dyDescent="0.25">
      <c r="A938" s="144" t="s">
        <v>187</v>
      </c>
      <c r="B938" s="133"/>
      <c r="C938" s="133"/>
      <c r="D938" s="133"/>
      <c r="E938" s="133"/>
      <c r="F938" s="133"/>
      <c r="G938" s="133"/>
      <c r="H938" s="133"/>
      <c r="I938" s="133"/>
      <c r="J938" s="133"/>
      <c r="K938" s="133"/>
      <c r="L938" s="133"/>
      <c r="M938" s="133"/>
      <c r="N938" s="133"/>
      <c r="O938" s="133"/>
      <c r="P938" s="145"/>
      <c r="Q938" s="133"/>
      <c r="R938" s="133"/>
    </row>
    <row r="939" spans="1:18" x14ac:dyDescent="0.25">
      <c r="A939" s="168" t="s">
        <v>188</v>
      </c>
      <c r="B939" s="133"/>
      <c r="C939" s="133"/>
      <c r="D939" s="133"/>
      <c r="E939" s="133"/>
      <c r="F939" s="133"/>
      <c r="G939" s="133"/>
      <c r="H939" s="133"/>
      <c r="I939" s="133"/>
      <c r="J939" s="133"/>
      <c r="K939" s="133"/>
      <c r="L939" s="133"/>
      <c r="M939" s="133"/>
      <c r="N939" s="133"/>
      <c r="O939" s="133"/>
      <c r="P939" s="145"/>
      <c r="Q939" s="133"/>
      <c r="R939" s="133"/>
    </row>
    <row r="940" spans="1:18" x14ac:dyDescent="0.25">
      <c r="A940" s="168" t="s">
        <v>189</v>
      </c>
      <c r="B940" s="133"/>
      <c r="C940" s="133"/>
      <c r="D940" s="133"/>
      <c r="E940" s="133"/>
      <c r="F940" s="133"/>
      <c r="G940" s="133"/>
      <c r="H940" s="133"/>
      <c r="I940" s="133"/>
      <c r="J940" s="133"/>
      <c r="K940" s="133"/>
      <c r="L940" s="133"/>
      <c r="M940" s="133"/>
      <c r="N940" s="133"/>
      <c r="O940" s="133"/>
      <c r="P940" s="145"/>
      <c r="Q940" s="133"/>
      <c r="R940" s="133"/>
    </row>
    <row r="941" spans="1:18" x14ac:dyDescent="0.25">
      <c r="A941" s="168" t="s">
        <v>591</v>
      </c>
      <c r="B941" s="133"/>
      <c r="C941" s="133"/>
      <c r="D941" s="133"/>
      <c r="E941" s="133"/>
      <c r="F941" s="133"/>
      <c r="G941" s="133"/>
      <c r="H941" s="133"/>
      <c r="I941" s="133"/>
      <c r="J941" s="133"/>
      <c r="K941" s="133"/>
      <c r="L941" s="133"/>
      <c r="M941" s="133"/>
      <c r="N941" s="133"/>
      <c r="O941" s="133"/>
      <c r="P941" s="145"/>
      <c r="Q941" s="133"/>
      <c r="R941" s="133"/>
    </row>
    <row r="942" spans="1:18" x14ac:dyDescent="0.25">
      <c r="A942" s="159" t="s">
        <v>226</v>
      </c>
      <c r="B942" s="133"/>
      <c r="C942" s="133"/>
      <c r="D942" s="133"/>
      <c r="E942" s="133"/>
      <c r="F942" s="133"/>
      <c r="G942" s="157"/>
      <c r="H942" s="133"/>
      <c r="I942" s="133"/>
      <c r="J942" s="133"/>
      <c r="K942" s="133"/>
      <c r="L942" s="133"/>
      <c r="M942" s="133"/>
      <c r="N942" s="133"/>
      <c r="O942" s="133"/>
      <c r="P942" s="145"/>
      <c r="Q942" s="133"/>
      <c r="R942" s="133"/>
    </row>
    <row r="943" spans="1:18" x14ac:dyDescent="0.25">
      <c r="A943" s="159" t="s">
        <v>227</v>
      </c>
      <c r="B943" s="133"/>
      <c r="C943" s="133"/>
      <c r="D943" s="133"/>
      <c r="E943" s="133"/>
      <c r="F943" s="133"/>
      <c r="G943" s="157"/>
      <c r="H943" s="133"/>
      <c r="I943" s="133"/>
      <c r="J943" s="133"/>
      <c r="K943" s="133"/>
      <c r="L943" s="133"/>
      <c r="M943" s="133"/>
      <c r="N943" s="133"/>
      <c r="O943" s="133"/>
      <c r="P943" s="145"/>
      <c r="Q943" s="133"/>
      <c r="R943" s="133"/>
    </row>
    <row r="944" spans="1:18" x14ac:dyDescent="0.25">
      <c r="A944" s="144" t="s">
        <v>190</v>
      </c>
      <c r="B944" s="156"/>
      <c r="C944" s="157"/>
      <c r="D944" s="158"/>
      <c r="E944" s="133"/>
      <c r="F944" s="133"/>
      <c r="G944" s="157"/>
      <c r="H944" s="133"/>
      <c r="I944" s="133"/>
      <c r="J944" s="133"/>
      <c r="K944" s="133"/>
      <c r="L944" s="133"/>
      <c r="M944" s="133"/>
      <c r="N944" s="133"/>
      <c r="O944" s="133"/>
      <c r="P944" s="145"/>
      <c r="Q944" s="133"/>
      <c r="R944" s="133"/>
    </row>
    <row r="945" spans="1:18" x14ac:dyDescent="0.25">
      <c r="A945" s="144" t="s">
        <v>191</v>
      </c>
      <c r="B945" s="133"/>
      <c r="C945" s="133"/>
      <c r="D945" s="133"/>
      <c r="E945" s="133"/>
      <c r="F945" s="133"/>
      <c r="G945" s="157"/>
      <c r="H945" s="133"/>
      <c r="I945" s="133"/>
      <c r="J945" s="133"/>
      <c r="K945" s="133"/>
      <c r="L945" s="133"/>
      <c r="M945" s="133"/>
      <c r="N945" s="133"/>
      <c r="O945" s="133"/>
      <c r="P945" s="145"/>
      <c r="Q945" s="133"/>
      <c r="R945" s="133"/>
    </row>
    <row r="946" spans="1:18" x14ac:dyDescent="0.25">
      <c r="A946" s="159" t="s">
        <v>388</v>
      </c>
      <c r="B946" s="133"/>
      <c r="C946" s="133"/>
      <c r="D946" s="133"/>
      <c r="E946" s="133"/>
      <c r="F946" s="133"/>
      <c r="G946" s="157"/>
      <c r="H946" s="133"/>
      <c r="I946" s="133"/>
      <c r="J946" s="133"/>
      <c r="K946" s="133"/>
      <c r="L946" s="133"/>
      <c r="M946" s="133"/>
      <c r="N946" s="133"/>
      <c r="O946" s="133"/>
      <c r="P946" s="145"/>
      <c r="Q946" s="133"/>
      <c r="R946" s="133"/>
    </row>
    <row r="947" spans="1:18" x14ac:dyDescent="0.25">
      <c r="A947" s="159" t="s">
        <v>389</v>
      </c>
      <c r="B947" s="133"/>
      <c r="C947" s="133"/>
      <c r="D947" s="133"/>
      <c r="E947" s="133"/>
      <c r="F947" s="133"/>
      <c r="G947" s="157"/>
      <c r="H947" s="133"/>
      <c r="I947" s="133"/>
      <c r="J947" s="133"/>
      <c r="K947" s="133"/>
      <c r="L947" s="133"/>
      <c r="M947" s="133"/>
      <c r="N947" s="133"/>
      <c r="O947" s="133"/>
      <c r="P947" s="145"/>
      <c r="Q947" s="133"/>
      <c r="R947" s="133"/>
    </row>
    <row r="948" spans="1:18" x14ac:dyDescent="0.25">
      <c r="A948" s="159" t="s">
        <v>390</v>
      </c>
      <c r="B948" s="133"/>
      <c r="C948" s="133"/>
      <c r="D948" s="133"/>
      <c r="E948" s="133"/>
      <c r="F948" s="133"/>
      <c r="G948" s="157"/>
      <c r="H948" s="133"/>
      <c r="I948" s="133"/>
      <c r="J948" s="133"/>
      <c r="K948" s="133"/>
      <c r="L948" s="133"/>
      <c r="M948" s="133"/>
      <c r="N948" s="133"/>
      <c r="O948" s="133"/>
      <c r="P948" s="145"/>
      <c r="Q948" s="133"/>
      <c r="R948" s="133"/>
    </row>
    <row r="949" spans="1:18" x14ac:dyDescent="0.25">
      <c r="A949" s="159" t="s">
        <v>391</v>
      </c>
      <c r="B949" s="133"/>
      <c r="C949" s="133"/>
      <c r="D949" s="133"/>
      <c r="E949" s="133"/>
      <c r="F949" s="133"/>
      <c r="G949" s="526"/>
      <c r="H949" s="133"/>
      <c r="I949" s="133"/>
      <c r="J949" s="133"/>
      <c r="K949" s="133"/>
      <c r="L949" s="133"/>
      <c r="M949" s="133"/>
      <c r="N949" s="133"/>
      <c r="O949" s="133"/>
      <c r="P949" s="145"/>
      <c r="Q949" s="133"/>
      <c r="R949" s="133"/>
    </row>
    <row r="950" spans="1:18" ht="13.2" customHeight="1" x14ac:dyDescent="0.25">
      <c r="A950" s="162" t="s">
        <v>392</v>
      </c>
      <c r="B950" s="527"/>
      <c r="C950" s="527"/>
      <c r="D950" s="527"/>
      <c r="E950" s="527"/>
      <c r="F950" s="527"/>
      <c r="G950" s="527"/>
      <c r="H950" s="527"/>
      <c r="I950" s="527"/>
      <c r="J950" s="527"/>
      <c r="K950" s="527"/>
      <c r="L950" s="527"/>
      <c r="M950" s="527"/>
      <c r="N950" s="527"/>
      <c r="O950" s="527"/>
      <c r="P950" s="145"/>
      <c r="Q950" s="133"/>
      <c r="R950" s="133"/>
    </row>
    <row r="951" spans="1:18" ht="13.2" customHeight="1" x14ac:dyDescent="0.25">
      <c r="A951" s="162" t="s">
        <v>393</v>
      </c>
      <c r="B951" s="527"/>
      <c r="C951" s="527"/>
      <c r="D951" s="527"/>
      <c r="E951" s="527"/>
      <c r="F951" s="527"/>
      <c r="G951" s="527"/>
      <c r="H951" s="527"/>
      <c r="I951" s="527"/>
      <c r="J951" s="527"/>
      <c r="K951" s="527"/>
      <c r="L951" s="527"/>
      <c r="M951" s="527"/>
      <c r="N951" s="527"/>
      <c r="O951" s="527"/>
      <c r="P951" s="145"/>
      <c r="Q951" s="133"/>
      <c r="R951" s="133"/>
    </row>
    <row r="952" spans="1:18" ht="13.2" customHeight="1" x14ac:dyDescent="0.25">
      <c r="A952" s="162" t="s">
        <v>578</v>
      </c>
      <c r="B952" s="527"/>
      <c r="C952" s="527"/>
      <c r="D952" s="527"/>
      <c r="E952" s="527"/>
      <c r="F952" s="527"/>
      <c r="G952" s="527"/>
      <c r="H952" s="527"/>
      <c r="I952" s="527"/>
      <c r="J952" s="527"/>
      <c r="K952" s="527"/>
      <c r="L952" s="527"/>
      <c r="M952" s="527"/>
      <c r="N952" s="527"/>
      <c r="O952" s="527"/>
      <c r="P952" s="145"/>
      <c r="Q952" s="133"/>
      <c r="R952" s="133"/>
    </row>
    <row r="953" spans="1:18" ht="13.2" customHeight="1" x14ac:dyDescent="0.25">
      <c r="A953" s="162" t="s">
        <v>735</v>
      </c>
      <c r="B953" s="527"/>
      <c r="C953" s="527"/>
      <c r="D953" s="527"/>
      <c r="E953" s="527"/>
      <c r="F953" s="527"/>
      <c r="G953" s="527"/>
      <c r="H953" s="527"/>
      <c r="I953" s="527"/>
      <c r="J953" s="527"/>
      <c r="K953" s="527"/>
      <c r="L953" s="527"/>
      <c r="M953" s="527"/>
      <c r="N953" s="527"/>
      <c r="O953" s="527"/>
      <c r="P953" s="145"/>
      <c r="Q953" s="133"/>
      <c r="R953" s="133"/>
    </row>
    <row r="954" spans="1:18" ht="13.2" customHeight="1" x14ac:dyDescent="0.25">
      <c r="A954" s="163" t="s">
        <v>866</v>
      </c>
      <c r="B954" s="169"/>
      <c r="C954" s="169"/>
      <c r="D954" s="169"/>
      <c r="E954" s="169"/>
      <c r="F954" s="169"/>
      <c r="G954" s="169"/>
      <c r="H954" s="169"/>
      <c r="I954" s="169"/>
      <c r="J954" s="169"/>
      <c r="K954" s="169"/>
      <c r="L954" s="169"/>
      <c r="M954" s="169"/>
      <c r="N954" s="169"/>
      <c r="O954" s="169"/>
      <c r="P954" s="149"/>
      <c r="Q954" s="133"/>
      <c r="R954" s="133"/>
    </row>
    <row r="955" spans="1:18" x14ac:dyDescent="0.25">
      <c r="A955" s="132"/>
      <c r="C955" s="134"/>
    </row>
    <row r="956" spans="1:18" x14ac:dyDescent="0.25">
      <c r="A956" s="135" t="s">
        <v>14</v>
      </c>
      <c r="B956" s="136" t="s">
        <v>660</v>
      </c>
      <c r="C956" s="136" t="s">
        <v>15</v>
      </c>
      <c r="D956" s="133"/>
      <c r="E956" s="133"/>
      <c r="F956" s="133"/>
      <c r="G956" s="133"/>
      <c r="H956" s="133"/>
      <c r="I956" s="133"/>
      <c r="J956" s="133"/>
      <c r="K956" s="133"/>
      <c r="L956" s="133"/>
      <c r="M956" s="133"/>
      <c r="N956" s="133"/>
      <c r="O956" s="133"/>
      <c r="P956" s="133"/>
    </row>
    <row r="957" spans="1:18" x14ac:dyDescent="0.25">
      <c r="A957" s="137" t="s">
        <v>16</v>
      </c>
      <c r="B957" s="150">
        <v>2009</v>
      </c>
      <c r="C957" s="151">
        <v>2010</v>
      </c>
      <c r="D957" s="151">
        <v>2011</v>
      </c>
      <c r="E957" s="151">
        <v>2012</v>
      </c>
      <c r="F957" s="151">
        <v>2013</v>
      </c>
      <c r="G957" s="151">
        <v>2014</v>
      </c>
      <c r="H957" s="151">
        <v>2015</v>
      </c>
      <c r="I957" s="151">
        <v>2016</v>
      </c>
      <c r="J957" s="240">
        <v>2017</v>
      </c>
      <c r="K957" s="240">
        <v>2018</v>
      </c>
      <c r="L957" s="240">
        <v>2019</v>
      </c>
      <c r="M957" s="240">
        <v>2020</v>
      </c>
      <c r="N957" s="151">
        <v>2021</v>
      </c>
      <c r="O957" s="151">
        <v>2022</v>
      </c>
      <c r="P957" s="151">
        <v>2023</v>
      </c>
      <c r="Q957" s="133"/>
    </row>
    <row r="958" spans="1:18" x14ac:dyDescent="0.25">
      <c r="A958" s="139" t="s">
        <v>17</v>
      </c>
      <c r="B958" s="152">
        <v>1080</v>
      </c>
      <c r="C958" s="152">
        <v>901</v>
      </c>
      <c r="D958" s="152">
        <v>901</v>
      </c>
      <c r="E958" s="152">
        <v>901</v>
      </c>
      <c r="F958" s="152">
        <v>901</v>
      </c>
      <c r="G958" s="152">
        <v>901</v>
      </c>
      <c r="H958" s="152">
        <v>901</v>
      </c>
      <c r="I958" s="152">
        <v>901</v>
      </c>
      <c r="J958" s="152">
        <v>901</v>
      </c>
      <c r="K958" s="152">
        <v>901</v>
      </c>
      <c r="L958" s="152">
        <v>901</v>
      </c>
      <c r="M958" s="152">
        <v>901</v>
      </c>
      <c r="N958" s="140">
        <v>901</v>
      </c>
      <c r="O958" s="140">
        <v>901</v>
      </c>
      <c r="P958" s="140">
        <v>901</v>
      </c>
      <c r="Q958" s="133"/>
    </row>
    <row r="959" spans="1:18" x14ac:dyDescent="0.25">
      <c r="A959" s="139" t="s">
        <v>18</v>
      </c>
      <c r="B959" s="152">
        <v>1775.91</v>
      </c>
      <c r="C959" s="152">
        <v>1651</v>
      </c>
      <c r="D959" s="152">
        <v>851</v>
      </c>
      <c r="E959" s="152">
        <v>1288.26477</v>
      </c>
      <c r="F959" s="152">
        <v>425.70000000000005</v>
      </c>
      <c r="G959" s="152">
        <v>1298.56477</v>
      </c>
      <c r="H959" s="152">
        <v>318.5</v>
      </c>
      <c r="I959" s="152">
        <v>1359.46477</v>
      </c>
      <c r="J959" s="152">
        <v>999.7</v>
      </c>
      <c r="K959" s="152">
        <v>1339.56477</v>
      </c>
      <c r="L959" s="152">
        <v>1191.2</v>
      </c>
      <c r="M959" s="152">
        <v>1451</v>
      </c>
      <c r="N959" s="152">
        <v>1380.1631280000001</v>
      </c>
      <c r="O959" s="152">
        <f>O958+600-50</f>
        <v>1451</v>
      </c>
      <c r="P959" s="152">
        <f>P958+600-50</f>
        <v>1451</v>
      </c>
      <c r="Q959" s="133"/>
    </row>
    <row r="960" spans="1:18" x14ac:dyDescent="0.25">
      <c r="A960" s="139" t="s">
        <v>19</v>
      </c>
      <c r="B960" s="152"/>
      <c r="C960" s="152"/>
      <c r="D960" s="152"/>
      <c r="E960" s="152"/>
      <c r="F960" s="152"/>
      <c r="G960" s="152"/>
      <c r="H960" s="152"/>
      <c r="I960" s="152"/>
      <c r="J960" s="152"/>
      <c r="K960" s="152"/>
      <c r="L960" s="152"/>
      <c r="M960" s="152"/>
      <c r="N960" s="140"/>
      <c r="O960" s="140"/>
      <c r="P960" s="140"/>
      <c r="Q960" s="133"/>
    </row>
    <row r="961" spans="1:17" x14ac:dyDescent="0.25">
      <c r="A961" s="139" t="s">
        <v>20</v>
      </c>
      <c r="B961" s="152">
        <v>900.11276999999995</v>
      </c>
      <c r="C961" s="152">
        <v>1213.73523</v>
      </c>
      <c r="D961" s="152">
        <v>1276.3</v>
      </c>
      <c r="E961" s="152">
        <v>840.7</v>
      </c>
      <c r="F961" s="152">
        <v>958.2</v>
      </c>
      <c r="G961" s="152">
        <v>790.1</v>
      </c>
      <c r="H961" s="152">
        <v>569.79999999999995</v>
      </c>
      <c r="I961" s="152">
        <v>870.9</v>
      </c>
      <c r="J961" s="152">
        <v>659.5</v>
      </c>
      <c r="K961" s="152">
        <v>698</v>
      </c>
      <c r="L961" s="152">
        <v>662.0368719999999</v>
      </c>
      <c r="M961" s="152">
        <v>444</v>
      </c>
      <c r="N961" s="140">
        <v>659</v>
      </c>
      <c r="O961" s="607">
        <v>516.5</v>
      </c>
      <c r="P961" s="140"/>
      <c r="Q961" s="133"/>
    </row>
    <row r="962" spans="1:17" x14ac:dyDescent="0.25">
      <c r="A962" s="139" t="s">
        <v>21</v>
      </c>
      <c r="B962" s="152">
        <v>875.79723000000013</v>
      </c>
      <c r="C962" s="152">
        <v>437.26477</v>
      </c>
      <c r="D962" s="152">
        <v>425.3</v>
      </c>
      <c r="E962" s="152">
        <v>447.56476999999995</v>
      </c>
      <c r="F962" s="152">
        <v>532.5</v>
      </c>
      <c r="G962" s="152">
        <v>508.46476999999993</v>
      </c>
      <c r="H962" s="152">
        <v>148.70000000000005</v>
      </c>
      <c r="I962" s="152">
        <v>488.56477000000007</v>
      </c>
      <c r="J962" s="152">
        <v>340.20000000000005</v>
      </c>
      <c r="K962" s="152">
        <v>641.56476999999995</v>
      </c>
      <c r="L962" s="152">
        <v>529.16312800000014</v>
      </c>
      <c r="M962" s="152">
        <f>M959-M961</f>
        <v>1007</v>
      </c>
      <c r="N962" s="140">
        <f>N959-N961</f>
        <v>721.16312800000014</v>
      </c>
      <c r="O962" s="607">
        <f>O959-O961</f>
        <v>934.5</v>
      </c>
      <c r="P962" s="140"/>
      <c r="Q962" s="133"/>
    </row>
    <row r="963" spans="1:17" x14ac:dyDescent="0.25">
      <c r="A963" s="141" t="s">
        <v>22</v>
      </c>
      <c r="B963" s="153"/>
      <c r="C963" s="153"/>
      <c r="D963" s="153"/>
      <c r="E963" s="153"/>
      <c r="F963" s="153"/>
      <c r="G963" s="153"/>
      <c r="H963" s="153"/>
      <c r="I963" s="153"/>
      <c r="J963" s="166"/>
      <c r="K963" s="166"/>
      <c r="L963" s="166"/>
      <c r="M963" s="166"/>
      <c r="N963" s="167"/>
      <c r="O963" s="167"/>
      <c r="P963" s="167"/>
      <c r="Q963" s="133"/>
    </row>
    <row r="964" spans="1:17" x14ac:dyDescent="0.25">
      <c r="A964" s="141" t="s">
        <v>179</v>
      </c>
      <c r="B964" s="142"/>
      <c r="C964" s="142"/>
      <c r="D964" s="142"/>
      <c r="E964" s="142"/>
      <c r="F964" s="142"/>
      <c r="G964" s="142"/>
      <c r="H964" s="142"/>
      <c r="I964" s="142"/>
      <c r="J964" s="142"/>
      <c r="K964" s="142"/>
      <c r="L964" s="142"/>
      <c r="M964" s="142"/>
      <c r="N964" s="142"/>
      <c r="O964" s="143"/>
      <c r="P964" s="143"/>
      <c r="Q964" s="133"/>
    </row>
    <row r="965" spans="1:17" x14ac:dyDescent="0.25">
      <c r="A965" s="141" t="s">
        <v>421</v>
      </c>
      <c r="B965" s="142"/>
      <c r="C965" s="142"/>
      <c r="D965" s="142"/>
      <c r="E965" s="142"/>
      <c r="F965" s="142"/>
      <c r="G965" s="142"/>
      <c r="H965" s="142"/>
      <c r="I965" s="142"/>
      <c r="J965" s="142"/>
      <c r="K965" s="142"/>
      <c r="L965" s="142"/>
      <c r="M965" s="142"/>
      <c r="N965" s="142"/>
      <c r="O965" s="142"/>
      <c r="P965" s="143"/>
      <c r="Q965" s="133"/>
    </row>
    <row r="966" spans="1:17" x14ac:dyDescent="0.25">
      <c r="A966" s="144" t="s">
        <v>422</v>
      </c>
      <c r="B966" s="133"/>
      <c r="C966" s="133"/>
      <c r="D966" s="133"/>
      <c r="E966" s="133"/>
      <c r="F966" s="133"/>
      <c r="G966" s="133"/>
      <c r="H966" s="133"/>
      <c r="I966" s="133"/>
      <c r="J966" s="133"/>
      <c r="K966" s="133"/>
      <c r="L966" s="133"/>
      <c r="M966" s="133"/>
      <c r="N966" s="133"/>
      <c r="O966" s="133"/>
      <c r="P966" s="145"/>
      <c r="Q966" s="133"/>
    </row>
    <row r="967" spans="1:17" x14ac:dyDescent="0.25">
      <c r="A967" s="144" t="s">
        <v>423</v>
      </c>
      <c r="B967" s="133"/>
      <c r="C967" s="133"/>
      <c r="D967" s="133"/>
      <c r="E967" s="133"/>
      <c r="F967" s="133"/>
      <c r="G967" s="133"/>
      <c r="H967" s="133"/>
      <c r="I967" s="133"/>
      <c r="J967" s="133"/>
      <c r="K967" s="133"/>
      <c r="L967" s="133"/>
      <c r="M967" s="133"/>
      <c r="N967" s="133"/>
      <c r="O967" s="133"/>
      <c r="P967" s="145"/>
      <c r="Q967" s="133"/>
    </row>
    <row r="968" spans="1:17" x14ac:dyDescent="0.25">
      <c r="A968" s="144" t="s">
        <v>424</v>
      </c>
      <c r="B968" s="133"/>
      <c r="C968" s="133"/>
      <c r="D968" s="133"/>
      <c r="E968" s="133"/>
      <c r="F968" s="133"/>
      <c r="G968" s="133"/>
      <c r="H968" s="133"/>
      <c r="I968" s="133"/>
      <c r="J968" s="133"/>
      <c r="K968" s="133"/>
      <c r="L968" s="133"/>
      <c r="M968" s="133"/>
      <c r="N968" s="133"/>
      <c r="O968" s="133"/>
      <c r="P968" s="145"/>
      <c r="Q968" s="133"/>
    </row>
    <row r="969" spans="1:17" x14ac:dyDescent="0.25">
      <c r="A969" s="144" t="s">
        <v>425</v>
      </c>
      <c r="B969" s="156"/>
      <c r="C969" s="157"/>
      <c r="D969" s="158"/>
      <c r="E969" s="133"/>
      <c r="F969" s="133"/>
      <c r="G969" s="157"/>
      <c r="H969" s="133"/>
      <c r="I969" s="133"/>
      <c r="J969" s="133"/>
      <c r="K969" s="133"/>
      <c r="L969" s="133"/>
      <c r="M969" s="133"/>
      <c r="N969" s="133"/>
      <c r="O969" s="133"/>
      <c r="P969" s="145"/>
      <c r="Q969" s="133"/>
    </row>
    <row r="970" spans="1:17" x14ac:dyDescent="0.25">
      <c r="A970" s="144" t="s">
        <v>426</v>
      </c>
      <c r="B970" s="133"/>
      <c r="C970" s="133"/>
      <c r="D970" s="133"/>
      <c r="E970" s="133"/>
      <c r="F970" s="133"/>
      <c r="G970" s="157"/>
      <c r="H970" s="133"/>
      <c r="I970" s="133"/>
      <c r="J970" s="133"/>
      <c r="K970" s="133"/>
      <c r="L970" s="133"/>
      <c r="M970" s="133"/>
      <c r="N970" s="133"/>
      <c r="O970" s="133"/>
      <c r="P970" s="145"/>
      <c r="Q970" s="133"/>
    </row>
    <row r="971" spans="1:17" x14ac:dyDescent="0.25">
      <c r="A971" s="144" t="s">
        <v>427</v>
      </c>
      <c r="B971" s="133"/>
      <c r="C971" s="133"/>
      <c r="D971" s="133"/>
      <c r="E971" s="133"/>
      <c r="F971" s="133"/>
      <c r="G971" s="157"/>
      <c r="H971" s="133"/>
      <c r="I971" s="133"/>
      <c r="J971" s="133"/>
      <c r="K971" s="133"/>
      <c r="L971" s="133"/>
      <c r="M971" s="133"/>
      <c r="N971" s="133"/>
      <c r="O971" s="133"/>
      <c r="P971" s="145"/>
      <c r="Q971" s="133"/>
    </row>
    <row r="972" spans="1:17" x14ac:dyDescent="0.25">
      <c r="A972" s="144" t="s">
        <v>428</v>
      </c>
      <c r="B972" s="133"/>
      <c r="C972" s="133"/>
      <c r="D972" s="133"/>
      <c r="E972" s="133"/>
      <c r="F972" s="133"/>
      <c r="G972" s="157"/>
      <c r="H972" s="133"/>
      <c r="I972" s="133"/>
      <c r="J972" s="133"/>
      <c r="K972" s="133"/>
      <c r="L972" s="133"/>
      <c r="M972" s="133"/>
      <c r="N972" s="133"/>
      <c r="O972" s="133"/>
      <c r="P972" s="145"/>
      <c r="Q972" s="133"/>
    </row>
    <row r="973" spans="1:17" x14ac:dyDescent="0.25">
      <c r="A973" s="168" t="s">
        <v>429</v>
      </c>
      <c r="B973" s="133"/>
      <c r="C973" s="133"/>
      <c r="D973" s="133"/>
      <c r="E973" s="133"/>
      <c r="F973" s="133"/>
      <c r="G973" s="526"/>
      <c r="H973" s="133"/>
      <c r="I973" s="133"/>
      <c r="J973" s="133"/>
      <c r="K973" s="133"/>
      <c r="L973" s="133"/>
      <c r="M973" s="133"/>
      <c r="N973" s="133"/>
      <c r="O973" s="133"/>
      <c r="P973" s="145"/>
      <c r="Q973" s="133"/>
    </row>
    <row r="974" spans="1:17" x14ac:dyDescent="0.25">
      <c r="A974" s="159" t="s">
        <v>228</v>
      </c>
      <c r="B974" s="133"/>
      <c r="C974" s="133"/>
      <c r="D974" s="133"/>
      <c r="E974" s="133"/>
      <c r="F974" s="133"/>
      <c r="G974" s="133"/>
      <c r="H974" s="133"/>
      <c r="I974" s="133"/>
      <c r="J974" s="133"/>
      <c r="K974" s="133"/>
      <c r="L974" s="133"/>
      <c r="M974" s="133"/>
      <c r="N974" s="133"/>
      <c r="O974" s="133"/>
      <c r="P974" s="145"/>
      <c r="Q974" s="133"/>
    </row>
    <row r="975" spans="1:17" x14ac:dyDescent="0.25">
      <c r="A975" s="159" t="s">
        <v>229</v>
      </c>
      <c r="B975" s="133"/>
      <c r="C975" s="133"/>
      <c r="D975" s="133"/>
      <c r="E975" s="133"/>
      <c r="F975" s="133"/>
      <c r="G975" s="133"/>
      <c r="H975" s="133"/>
      <c r="I975" s="133"/>
      <c r="J975" s="133"/>
      <c r="K975" s="133"/>
      <c r="L975" s="133"/>
      <c r="M975" s="133"/>
      <c r="N975" s="133"/>
      <c r="O975" s="133"/>
      <c r="P975" s="145"/>
      <c r="Q975" s="133"/>
    </row>
    <row r="976" spans="1:17" x14ac:dyDescent="0.25">
      <c r="A976" s="159" t="s">
        <v>430</v>
      </c>
      <c r="B976" s="133"/>
      <c r="C976" s="133"/>
      <c r="D976" s="133"/>
      <c r="E976" s="133"/>
      <c r="F976" s="133"/>
      <c r="G976" s="133"/>
      <c r="H976" s="133"/>
      <c r="I976" s="133"/>
      <c r="J976" s="133"/>
      <c r="K976" s="133"/>
      <c r="L976" s="133"/>
      <c r="M976" s="133"/>
      <c r="N976" s="133"/>
      <c r="O976" s="133"/>
      <c r="P976" s="145"/>
      <c r="Q976" s="133"/>
    </row>
    <row r="977" spans="1:17" x14ac:dyDescent="0.25">
      <c r="A977" s="159" t="s">
        <v>659</v>
      </c>
      <c r="B977" s="133"/>
      <c r="C977" s="133"/>
      <c r="D977" s="133"/>
      <c r="E977" s="133"/>
      <c r="F977" s="133"/>
      <c r="G977" s="133"/>
      <c r="H977" s="133"/>
      <c r="I977" s="133"/>
      <c r="J977" s="133"/>
      <c r="K977" s="133"/>
      <c r="L977" s="133"/>
      <c r="M977" s="133"/>
      <c r="N977" s="133"/>
      <c r="O977" s="133"/>
      <c r="P977" s="145"/>
      <c r="Q977" s="133"/>
    </row>
    <row r="978" spans="1:17" x14ac:dyDescent="0.25">
      <c r="A978" s="170" t="s">
        <v>867</v>
      </c>
      <c r="B978" s="148"/>
      <c r="C978" s="148"/>
      <c r="D978" s="148"/>
      <c r="E978" s="148"/>
      <c r="F978" s="148"/>
      <c r="G978" s="148"/>
      <c r="H978" s="148"/>
      <c r="I978" s="148"/>
      <c r="J978" s="148"/>
      <c r="K978" s="148"/>
      <c r="L978" s="148"/>
      <c r="M978" s="148"/>
      <c r="N978" s="148"/>
      <c r="O978" s="148"/>
      <c r="P978" s="149"/>
      <c r="Q978" s="133"/>
    </row>
    <row r="979" spans="1:17" x14ac:dyDescent="0.25">
      <c r="A979" s="132"/>
      <c r="C979" s="134"/>
    </row>
    <row r="980" spans="1:17" x14ac:dyDescent="0.25">
      <c r="A980" s="135" t="s">
        <v>14</v>
      </c>
      <c r="B980" s="136" t="s">
        <v>661</v>
      </c>
      <c r="C980" s="171" t="s">
        <v>15</v>
      </c>
      <c r="D980" s="133"/>
      <c r="E980" s="133"/>
      <c r="F980" s="133"/>
      <c r="G980" s="133"/>
      <c r="H980" s="133"/>
      <c r="I980" s="133"/>
      <c r="J980" s="133"/>
      <c r="K980" s="133"/>
      <c r="L980" s="133"/>
      <c r="M980" s="133"/>
    </row>
    <row r="981" spans="1:17" customFormat="1" ht="14.4" x14ac:dyDescent="0.3">
      <c r="A981" s="139" t="s">
        <v>16</v>
      </c>
      <c r="B981" s="151">
        <v>2009</v>
      </c>
      <c r="C981" s="151">
        <v>2010</v>
      </c>
      <c r="D981" s="151">
        <v>2011</v>
      </c>
      <c r="E981" s="151">
        <v>2012</v>
      </c>
      <c r="F981" s="151">
        <v>2013</v>
      </c>
      <c r="G981" s="151">
        <v>2014</v>
      </c>
      <c r="H981" s="151">
        <v>2015</v>
      </c>
      <c r="I981" s="151">
        <v>2016</v>
      </c>
      <c r="J981" s="151">
        <v>2017</v>
      </c>
      <c r="K981" s="151">
        <v>2018</v>
      </c>
      <c r="L981" s="151">
        <v>2019</v>
      </c>
      <c r="M981" s="151">
        <v>2020</v>
      </c>
      <c r="N981" s="151">
        <v>2021</v>
      </c>
      <c r="O981" s="151">
        <v>2022</v>
      </c>
      <c r="P981" s="151">
        <v>2023</v>
      </c>
      <c r="Q981" s="138"/>
    </row>
    <row r="982" spans="1:17" customFormat="1" ht="14.4" x14ac:dyDescent="0.3">
      <c r="A982" s="139" t="s">
        <v>17</v>
      </c>
      <c r="B982" s="172">
        <v>1871.44</v>
      </c>
      <c r="C982" s="172">
        <v>1148.05</v>
      </c>
      <c r="D982" s="172">
        <v>1097.03</v>
      </c>
      <c r="E982" s="172">
        <v>1097.03</v>
      </c>
      <c r="F982" s="172">
        <v>1139.55</v>
      </c>
      <c r="G982" s="172">
        <v>1139.55</v>
      </c>
      <c r="H982" s="172">
        <v>1345.44</v>
      </c>
      <c r="I982" s="172">
        <v>1608.21</v>
      </c>
      <c r="J982" s="172">
        <v>1930.88</v>
      </c>
      <c r="K982" s="172">
        <v>2279</v>
      </c>
      <c r="L982" s="172">
        <v>2544</v>
      </c>
      <c r="M982" s="172">
        <v>2819</v>
      </c>
      <c r="N982" s="152">
        <v>2819</v>
      </c>
      <c r="O982" s="152">
        <v>2819</v>
      </c>
      <c r="P982" s="152">
        <v>3114</v>
      </c>
      <c r="Q982" s="138"/>
    </row>
    <row r="983" spans="1:17" customFormat="1" ht="14.4" x14ac:dyDescent="0.3">
      <c r="A983" s="139" t="s">
        <v>18</v>
      </c>
      <c r="B983" s="172">
        <v>1871.44</v>
      </c>
      <c r="C983" s="172">
        <v>1148.05</v>
      </c>
      <c r="D983" s="172">
        <v>1097.03</v>
      </c>
      <c r="E983" s="172">
        <v>1097.03</v>
      </c>
      <c r="F983" s="172">
        <v>1139.55</v>
      </c>
      <c r="G983" s="172">
        <v>1139.55</v>
      </c>
      <c r="H983" s="172">
        <v>1390.44</v>
      </c>
      <c r="I983" s="172">
        <v>1583.21</v>
      </c>
      <c r="J983" s="172">
        <v>1910.88</v>
      </c>
      <c r="K983" s="172">
        <v>2279</v>
      </c>
      <c r="L983" s="172">
        <v>2544</v>
      </c>
      <c r="M983" s="172">
        <v>2839.27</v>
      </c>
      <c r="N983" s="152">
        <f>N982+M986</f>
        <v>2876.6439600000003</v>
      </c>
      <c r="O983" s="152">
        <f>O982+N986</f>
        <v>2915.6539600000006</v>
      </c>
      <c r="P983" s="152">
        <f>P982+O986</f>
        <v>3158.3939600000003</v>
      </c>
      <c r="Q983" s="138"/>
    </row>
    <row r="984" spans="1:17" customFormat="1" ht="14.4" x14ac:dyDescent="0.3">
      <c r="A984" s="139" t="s">
        <v>19</v>
      </c>
      <c r="B984" s="152"/>
      <c r="C984" s="152"/>
      <c r="D984" s="152"/>
      <c r="E984" s="152"/>
      <c r="F984" s="152"/>
      <c r="G984" s="152"/>
      <c r="H984" s="152"/>
      <c r="I984" s="152"/>
      <c r="J984" s="152"/>
      <c r="K984" s="152"/>
      <c r="L984" s="152"/>
      <c r="M984" s="152"/>
      <c r="N984" s="152"/>
      <c r="O984" s="152"/>
      <c r="P984" s="152"/>
      <c r="Q984" s="138"/>
    </row>
    <row r="985" spans="1:17" customFormat="1" ht="14.4" x14ac:dyDescent="0.3">
      <c r="A985" s="139" t="s">
        <v>20</v>
      </c>
      <c r="B985" s="172">
        <v>1858.2</v>
      </c>
      <c r="C985" s="152">
        <v>1139.2777599999999</v>
      </c>
      <c r="D985" s="152">
        <v>1088.8235599999998</v>
      </c>
      <c r="E985" s="152">
        <v>1092.5993599999999</v>
      </c>
      <c r="F985" s="152">
        <v>1128.97</v>
      </c>
      <c r="G985" s="152">
        <v>1134.47</v>
      </c>
      <c r="H985" s="152">
        <v>1385.92</v>
      </c>
      <c r="I985" s="152">
        <v>1578.37</v>
      </c>
      <c r="J985" s="152">
        <v>1910.65104</v>
      </c>
      <c r="K985" s="152">
        <v>2269.7609000000002</v>
      </c>
      <c r="L985" s="152">
        <v>2523.73</v>
      </c>
      <c r="M985" s="152">
        <v>2781.6260399999996</v>
      </c>
      <c r="N985" s="152">
        <v>2779.99</v>
      </c>
      <c r="O985" s="152">
        <v>2871.26</v>
      </c>
      <c r="P985" s="152"/>
      <c r="Q985" s="138"/>
    </row>
    <row r="986" spans="1:17" customFormat="1" ht="14.4" x14ac:dyDescent="0.3">
      <c r="A986" s="139" t="s">
        <v>21</v>
      </c>
      <c r="B986" s="152">
        <v>13.240000000000009</v>
      </c>
      <c r="C986" s="152">
        <v>8.7722400000000107</v>
      </c>
      <c r="D986" s="152">
        <v>8.2064400000001569</v>
      </c>
      <c r="E986" s="152">
        <v>4.4306400000000394</v>
      </c>
      <c r="F986" s="152">
        <v>10.579999999999927</v>
      </c>
      <c r="G986" s="152">
        <v>5.0799999999999272</v>
      </c>
      <c r="H986" s="152">
        <v>4.5199999999999818</v>
      </c>
      <c r="I986" s="152">
        <v>4.8400000000001455</v>
      </c>
      <c r="J986" s="152">
        <v>0.22896000000014283</v>
      </c>
      <c r="K986" s="152">
        <v>9.2390999999997803</v>
      </c>
      <c r="L986" s="152">
        <v>20.269999999999982</v>
      </c>
      <c r="M986" s="152">
        <v>57.643960000000334</v>
      </c>
      <c r="N986" s="152">
        <f>N983-N985</f>
        <v>96.653960000000552</v>
      </c>
      <c r="O986" s="152">
        <f>O983-O985</f>
        <v>44.393960000000334</v>
      </c>
      <c r="P986" s="152"/>
      <c r="Q986" s="138"/>
    </row>
    <row r="987" spans="1:17" customFormat="1" ht="14.4" x14ac:dyDescent="0.3">
      <c r="A987" s="141" t="s">
        <v>22</v>
      </c>
      <c r="B987" s="153"/>
      <c r="C987" s="153"/>
      <c r="D987" s="153"/>
      <c r="E987" s="153"/>
      <c r="F987" s="153"/>
      <c r="G987" s="153"/>
      <c r="H987" s="153"/>
      <c r="I987" s="153"/>
      <c r="J987" s="153"/>
      <c r="K987" s="153"/>
      <c r="L987" s="153"/>
      <c r="M987" s="153"/>
      <c r="N987" s="167"/>
      <c r="O987" s="167"/>
      <c r="P987" s="167"/>
      <c r="Q987" s="138"/>
    </row>
    <row r="988" spans="1:17" customFormat="1" ht="14.4" x14ac:dyDescent="0.3">
      <c r="A988" s="141" t="s">
        <v>179</v>
      </c>
      <c r="B988" s="142"/>
      <c r="C988" s="142"/>
      <c r="D988" s="142"/>
      <c r="E988" s="142"/>
      <c r="F988" s="142"/>
      <c r="G988" s="142"/>
      <c r="H988" s="142"/>
      <c r="I988" s="142"/>
      <c r="J988" s="142"/>
      <c r="K988" s="142"/>
      <c r="L988" s="142"/>
      <c r="M988" s="142"/>
      <c r="N988" s="142"/>
      <c r="O988" s="143"/>
      <c r="P988" s="143"/>
      <c r="Q988" s="138"/>
    </row>
    <row r="989" spans="1:17" customFormat="1" ht="14.4" x14ac:dyDescent="0.3">
      <c r="A989" s="141" t="s">
        <v>192</v>
      </c>
      <c r="B989" s="142"/>
      <c r="C989" s="142"/>
      <c r="D989" s="142"/>
      <c r="E989" s="142"/>
      <c r="F989" s="142"/>
      <c r="G989" s="142"/>
      <c r="H989" s="142"/>
      <c r="I989" s="142"/>
      <c r="J989" s="142"/>
      <c r="K989" s="142"/>
      <c r="L989" s="142"/>
      <c r="M989" s="142"/>
      <c r="N989" s="142"/>
      <c r="O989" s="142"/>
      <c r="P989" s="143"/>
      <c r="Q989" s="138"/>
    </row>
    <row r="990" spans="1:17" customFormat="1" ht="14.4" x14ac:dyDescent="0.3">
      <c r="A990" s="144" t="s">
        <v>193</v>
      </c>
      <c r="B990" s="133"/>
      <c r="C990" s="133"/>
      <c r="D990" s="133"/>
      <c r="E990" s="133"/>
      <c r="F990" s="133"/>
      <c r="G990" s="133"/>
      <c r="H990" s="133"/>
      <c r="I990" s="133"/>
      <c r="J990" s="133"/>
      <c r="K990" s="133"/>
      <c r="L990" s="133"/>
      <c r="M990" s="133"/>
      <c r="N990" s="133"/>
      <c r="O990" s="133"/>
      <c r="P990" s="145"/>
      <c r="Q990" s="138"/>
    </row>
    <row r="991" spans="1:17" customFormat="1" ht="14.4" x14ac:dyDescent="0.3">
      <c r="A991" s="144" t="s">
        <v>194</v>
      </c>
      <c r="B991" s="133"/>
      <c r="C991" s="133"/>
      <c r="D991" s="133"/>
      <c r="E991" s="133"/>
      <c r="F991" s="133"/>
      <c r="G991" s="133"/>
      <c r="H991" s="133"/>
      <c r="I991" s="133"/>
      <c r="J991" s="133"/>
      <c r="K991" s="133"/>
      <c r="L991" s="133"/>
      <c r="M991" s="133"/>
      <c r="N991" s="133"/>
      <c r="O991" s="133"/>
      <c r="P991" s="145"/>
      <c r="Q991" s="138"/>
    </row>
    <row r="992" spans="1:17" customFormat="1" ht="14.4" x14ac:dyDescent="0.3">
      <c r="A992" s="144" t="s">
        <v>195</v>
      </c>
      <c r="B992" s="133"/>
      <c r="C992" s="133"/>
      <c r="D992" s="133"/>
      <c r="E992" s="133"/>
      <c r="F992" s="133"/>
      <c r="G992" s="133"/>
      <c r="H992" s="133"/>
      <c r="I992" s="133"/>
      <c r="J992" s="133"/>
      <c r="K992" s="133"/>
      <c r="L992" s="133"/>
      <c r="M992" s="133"/>
      <c r="N992" s="133"/>
      <c r="O992" s="133"/>
      <c r="P992" s="145"/>
      <c r="Q992" s="138"/>
    </row>
    <row r="993" spans="1:17" customFormat="1" ht="14.4" x14ac:dyDescent="0.3">
      <c r="A993" s="159" t="s">
        <v>230</v>
      </c>
      <c r="B993" s="156"/>
      <c r="C993" s="157"/>
      <c r="D993" s="158"/>
      <c r="E993" s="133"/>
      <c r="F993" s="133"/>
      <c r="G993" s="157"/>
      <c r="H993" s="133"/>
      <c r="I993" s="133"/>
      <c r="J993" s="133"/>
      <c r="K993" s="133"/>
      <c r="L993" s="133"/>
      <c r="M993" s="133"/>
      <c r="N993" s="133"/>
      <c r="O993" s="133"/>
      <c r="P993" s="145"/>
      <c r="Q993" s="138"/>
    </row>
    <row r="994" spans="1:17" customFormat="1" ht="14.4" x14ac:dyDescent="0.3">
      <c r="A994" s="159" t="s">
        <v>273</v>
      </c>
      <c r="B994" s="156"/>
      <c r="C994" s="157"/>
      <c r="D994" s="158"/>
      <c r="E994" s="133"/>
      <c r="F994" s="133"/>
      <c r="G994" s="157"/>
      <c r="H994" s="133"/>
      <c r="I994" s="133"/>
      <c r="J994" s="133"/>
      <c r="K994" s="133"/>
      <c r="L994" s="133"/>
      <c r="M994" s="133"/>
      <c r="N994" s="133"/>
      <c r="O994" s="133"/>
      <c r="P994" s="145"/>
      <c r="Q994" s="138"/>
    </row>
    <row r="995" spans="1:17" customFormat="1" ht="14.4" x14ac:dyDescent="0.3">
      <c r="A995" s="159" t="s">
        <v>468</v>
      </c>
      <c r="B995" s="156"/>
      <c r="C995" s="157"/>
      <c r="D995" s="158"/>
      <c r="E995" s="133"/>
      <c r="F995" s="133"/>
      <c r="G995" s="157"/>
      <c r="H995" s="133"/>
      <c r="I995" s="133"/>
      <c r="J995" s="133"/>
      <c r="K995" s="133"/>
      <c r="L995" s="133"/>
      <c r="M995" s="133"/>
      <c r="N995" s="133"/>
      <c r="O995" s="133"/>
      <c r="P995" s="145"/>
      <c r="Q995" s="138"/>
    </row>
    <row r="996" spans="1:17" customFormat="1" ht="14.4" x14ac:dyDescent="0.3">
      <c r="A996" s="159" t="s">
        <v>662</v>
      </c>
      <c r="B996" s="156"/>
      <c r="C996" s="157"/>
      <c r="D996" s="158"/>
      <c r="E996" s="133"/>
      <c r="F996" s="133"/>
      <c r="G996" s="157"/>
      <c r="H996" s="133"/>
      <c r="I996" s="133"/>
      <c r="J996" s="133"/>
      <c r="K996" s="133"/>
      <c r="L996" s="133"/>
      <c r="M996" s="133"/>
      <c r="N996" s="133"/>
      <c r="O996" s="133"/>
      <c r="P996" s="145"/>
      <c r="Q996" s="138"/>
    </row>
    <row r="997" spans="1:17" customFormat="1" ht="14.4" x14ac:dyDescent="0.3">
      <c r="A997" s="159" t="s">
        <v>231</v>
      </c>
      <c r="B997" s="156"/>
      <c r="C997" s="157"/>
      <c r="D997" s="158"/>
      <c r="E997" s="133"/>
      <c r="F997" s="133"/>
      <c r="G997" s="157"/>
      <c r="H997" s="133"/>
      <c r="I997" s="133"/>
      <c r="J997" s="133"/>
      <c r="K997" s="133"/>
      <c r="L997" s="133"/>
      <c r="M997" s="133"/>
      <c r="N997" s="133"/>
      <c r="O997" s="133"/>
      <c r="P997" s="145"/>
      <c r="Q997" s="138"/>
    </row>
    <row r="998" spans="1:17" customFormat="1" ht="14.4" x14ac:dyDescent="0.3">
      <c r="A998" s="159" t="s">
        <v>274</v>
      </c>
      <c r="B998" s="156"/>
      <c r="C998" s="157"/>
      <c r="D998" s="158"/>
      <c r="E998" s="133"/>
      <c r="F998" s="133"/>
      <c r="G998" s="157"/>
      <c r="H998" s="133"/>
      <c r="I998" s="133"/>
      <c r="J998" s="133"/>
      <c r="K998" s="133"/>
      <c r="L998" s="133"/>
      <c r="M998" s="133"/>
      <c r="N998" s="133"/>
      <c r="O998" s="133"/>
      <c r="P998" s="145"/>
      <c r="Q998" s="138"/>
    </row>
    <row r="999" spans="1:17" customFormat="1" ht="14.4" x14ac:dyDescent="0.3">
      <c r="A999" s="159" t="s">
        <v>469</v>
      </c>
      <c r="B999" s="156"/>
      <c r="C999" s="157"/>
      <c r="D999" s="158"/>
      <c r="E999" s="133"/>
      <c r="F999" s="133"/>
      <c r="G999" s="157"/>
      <c r="H999" s="133"/>
      <c r="I999" s="133"/>
      <c r="J999" s="133"/>
      <c r="K999" s="133"/>
      <c r="L999" s="133"/>
      <c r="M999" s="133"/>
      <c r="N999" s="133"/>
      <c r="O999" s="133"/>
      <c r="P999" s="145"/>
      <c r="Q999" s="138"/>
    </row>
    <row r="1000" spans="1:17" customFormat="1" ht="14.4" x14ac:dyDescent="0.3">
      <c r="A1000" s="159" t="s">
        <v>663</v>
      </c>
      <c r="B1000" s="156"/>
      <c r="C1000" s="157"/>
      <c r="D1000" s="158"/>
      <c r="E1000" s="133"/>
      <c r="F1000" s="133"/>
      <c r="G1000" s="157"/>
      <c r="H1000" s="133"/>
      <c r="I1000" s="133"/>
      <c r="J1000" s="133"/>
      <c r="K1000" s="133"/>
      <c r="L1000" s="133"/>
      <c r="M1000" s="133"/>
      <c r="N1000" s="133"/>
      <c r="O1000" s="133"/>
      <c r="P1000" s="145"/>
      <c r="Q1000" s="138"/>
    </row>
    <row r="1001" spans="1:17" customFormat="1" ht="14.4" x14ac:dyDescent="0.3">
      <c r="A1001" s="170" t="s">
        <v>868</v>
      </c>
      <c r="B1001" s="148"/>
      <c r="C1001" s="148"/>
      <c r="D1001" s="148"/>
      <c r="E1001" s="148"/>
      <c r="F1001" s="148"/>
      <c r="G1001" s="173"/>
      <c r="H1001" s="148"/>
      <c r="I1001" s="148"/>
      <c r="J1001" s="148"/>
      <c r="K1001" s="148"/>
      <c r="L1001" s="148"/>
      <c r="M1001" s="148"/>
      <c r="N1001" s="148"/>
      <c r="O1001" s="148"/>
      <c r="P1001" s="149"/>
      <c r="Q1001" s="138"/>
    </row>
    <row r="1002" spans="1:17" x14ac:dyDescent="0.25">
      <c r="A1002" s="132"/>
      <c r="C1002" s="134"/>
    </row>
    <row r="1003" spans="1:17" x14ac:dyDescent="0.25">
      <c r="A1003" s="174" t="s">
        <v>14</v>
      </c>
      <c r="B1003" s="136" t="s">
        <v>664</v>
      </c>
      <c r="C1003" s="171" t="s">
        <v>15</v>
      </c>
      <c r="D1003" s="133"/>
      <c r="E1003" s="133"/>
      <c r="F1003" s="133"/>
      <c r="G1003" s="133"/>
      <c r="H1003" s="133"/>
      <c r="I1003" s="133"/>
      <c r="J1003" s="133"/>
      <c r="K1003" s="133"/>
      <c r="L1003" s="133"/>
      <c r="M1003" s="133"/>
    </row>
    <row r="1004" spans="1:17" x14ac:dyDescent="0.25">
      <c r="A1004" s="147" t="s">
        <v>16</v>
      </c>
      <c r="B1004" s="175">
        <v>2009</v>
      </c>
      <c r="C1004" s="176">
        <v>2010</v>
      </c>
      <c r="D1004" s="176">
        <v>2011</v>
      </c>
      <c r="E1004" s="176">
        <v>2012</v>
      </c>
      <c r="F1004" s="176">
        <v>2013</v>
      </c>
      <c r="G1004" s="176">
        <v>2014</v>
      </c>
      <c r="H1004" s="175">
        <v>2015</v>
      </c>
      <c r="I1004" s="175">
        <v>2016</v>
      </c>
      <c r="J1004" s="175">
        <v>2017</v>
      </c>
      <c r="K1004" s="175">
        <v>2018</v>
      </c>
      <c r="L1004" s="175">
        <v>2019</v>
      </c>
      <c r="M1004" s="175">
        <v>2020</v>
      </c>
      <c r="N1004" s="175">
        <v>2021</v>
      </c>
      <c r="O1004" s="175">
        <v>2022</v>
      </c>
      <c r="P1004" s="175">
        <v>2023</v>
      </c>
      <c r="Q1004" s="133"/>
    </row>
    <row r="1005" spans="1:17" x14ac:dyDescent="0.25">
      <c r="A1005" s="137" t="s">
        <v>17</v>
      </c>
      <c r="B1005" s="140">
        <v>329.79</v>
      </c>
      <c r="C1005" s="152">
        <v>311.02</v>
      </c>
      <c r="D1005" s="152">
        <v>301.64</v>
      </c>
      <c r="E1005" s="152">
        <v>301.64</v>
      </c>
      <c r="F1005" s="152">
        <v>301.64</v>
      </c>
      <c r="G1005" s="152">
        <v>301.64</v>
      </c>
      <c r="H1005" s="152">
        <v>345.74</v>
      </c>
      <c r="I1005" s="152">
        <v>345.74</v>
      </c>
      <c r="J1005" s="172">
        <v>345.74</v>
      </c>
      <c r="K1005" s="172">
        <v>407.48</v>
      </c>
      <c r="L1005" s="172">
        <v>407.48</v>
      </c>
      <c r="M1005" s="177">
        <v>407.48</v>
      </c>
      <c r="N1005" s="178">
        <v>407.48</v>
      </c>
      <c r="O1005" s="178">
        <v>664.52</v>
      </c>
      <c r="P1005" s="178">
        <v>664.52</v>
      </c>
      <c r="Q1005" s="133"/>
    </row>
    <row r="1006" spans="1:17" x14ac:dyDescent="0.25">
      <c r="A1006" s="139" t="s">
        <v>18</v>
      </c>
      <c r="B1006" s="140">
        <v>402.56000000000006</v>
      </c>
      <c r="C1006" s="152">
        <v>431.91</v>
      </c>
      <c r="D1006" s="152">
        <v>308.37</v>
      </c>
      <c r="E1006" s="152">
        <v>306.06</v>
      </c>
      <c r="F1006" s="152">
        <v>304.12</v>
      </c>
      <c r="G1006" s="152">
        <v>303.5</v>
      </c>
      <c r="H1006" s="152">
        <v>346.61</v>
      </c>
      <c r="I1006" s="152">
        <v>346.83000000000004</v>
      </c>
      <c r="J1006" s="172">
        <v>347.08035600000011</v>
      </c>
      <c r="K1006" s="172">
        <v>408.73035600000014</v>
      </c>
      <c r="L1006" s="172">
        <v>409.20815600000014</v>
      </c>
      <c r="M1006" s="177">
        <v>410.39696779704036</v>
      </c>
      <c r="N1006" s="178">
        <v>410.3</v>
      </c>
      <c r="O1006" s="178">
        <f>O1005+N1009</f>
        <v>665.25</v>
      </c>
      <c r="P1006" s="178">
        <f>P1005+O1009</f>
        <v>671.97</v>
      </c>
      <c r="Q1006" s="133"/>
    </row>
    <row r="1007" spans="1:17" x14ac:dyDescent="0.25">
      <c r="A1007" s="139" t="s">
        <v>19</v>
      </c>
      <c r="B1007" s="140"/>
      <c r="C1007" s="152"/>
      <c r="D1007" s="152"/>
      <c r="E1007" s="152"/>
      <c r="F1007" s="152"/>
      <c r="G1007" s="152"/>
      <c r="H1007" s="152"/>
      <c r="I1007" s="152"/>
      <c r="J1007" s="152"/>
      <c r="K1007" s="152"/>
      <c r="L1007" s="152"/>
      <c r="M1007" s="178"/>
      <c r="N1007" s="178"/>
      <c r="O1007" s="178"/>
      <c r="P1007" s="178"/>
      <c r="Q1007" s="133"/>
    </row>
    <row r="1008" spans="1:17" x14ac:dyDescent="0.25">
      <c r="A1008" s="139" t="s">
        <v>20</v>
      </c>
      <c r="B1008" s="140">
        <v>281.67</v>
      </c>
      <c r="C1008" s="152">
        <v>425.18</v>
      </c>
      <c r="D1008" s="152">
        <v>303.95</v>
      </c>
      <c r="E1008" s="152">
        <v>303.58</v>
      </c>
      <c r="F1008" s="152">
        <v>302.26</v>
      </c>
      <c r="G1008" s="152">
        <v>302.63</v>
      </c>
      <c r="H1008" s="152">
        <v>345.52</v>
      </c>
      <c r="I1008" s="152">
        <v>345.48964399999994</v>
      </c>
      <c r="J1008" s="152">
        <v>345.83</v>
      </c>
      <c r="K1008" s="152">
        <v>407.00220000000002</v>
      </c>
      <c r="L1008" s="152">
        <v>406.2911882029598</v>
      </c>
      <c r="M1008" s="178">
        <v>407.58140000000009</v>
      </c>
      <c r="N1008" s="178">
        <v>409.57</v>
      </c>
      <c r="O1008" s="178">
        <v>657.8</v>
      </c>
      <c r="P1008" s="178"/>
      <c r="Q1008" s="133"/>
    </row>
    <row r="1009" spans="1:17" x14ac:dyDescent="0.25">
      <c r="A1009" s="139" t="s">
        <v>21</v>
      </c>
      <c r="B1009" s="140">
        <v>120.89000000000004</v>
      </c>
      <c r="C1009" s="152">
        <v>6.7300000000000182</v>
      </c>
      <c r="D1009" s="152">
        <v>4.4200000000000159</v>
      </c>
      <c r="E1009" s="152">
        <v>2.4800000000000182</v>
      </c>
      <c r="F1009" s="152">
        <v>1.8600000000000136</v>
      </c>
      <c r="G1009" s="152">
        <v>0.87000000000000455</v>
      </c>
      <c r="H1009" s="152">
        <v>1.0900000000000318</v>
      </c>
      <c r="I1009" s="152">
        <v>1.3403560000000994</v>
      </c>
      <c r="J1009" s="152">
        <v>1.2503560000001244</v>
      </c>
      <c r="K1009" s="152">
        <v>1.7281560000001264</v>
      </c>
      <c r="L1009" s="152">
        <v>2.9169677970403427</v>
      </c>
      <c r="M1009" s="178">
        <v>2.8155677970402735</v>
      </c>
      <c r="N1009" s="178">
        <f>N1006-N1008</f>
        <v>0.73000000000001819</v>
      </c>
      <c r="O1009" s="178">
        <f>O1006-O1008</f>
        <v>7.4500000000000455</v>
      </c>
      <c r="P1009" s="178"/>
      <c r="Q1009" s="133"/>
    </row>
    <row r="1010" spans="1:17" x14ac:dyDescent="0.25">
      <c r="A1010" s="141" t="s">
        <v>22</v>
      </c>
      <c r="B1010" s="153"/>
      <c r="C1010" s="153"/>
      <c r="D1010" s="153"/>
      <c r="E1010" s="153"/>
      <c r="F1010" s="153"/>
      <c r="G1010" s="153"/>
      <c r="H1010" s="153"/>
      <c r="I1010" s="153"/>
      <c r="J1010" s="153"/>
      <c r="K1010" s="153"/>
      <c r="L1010" s="153"/>
      <c r="M1010" s="143"/>
      <c r="N1010" s="180"/>
      <c r="O1010" s="180"/>
      <c r="P1010" s="180"/>
      <c r="Q1010" s="133"/>
    </row>
    <row r="1011" spans="1:17" x14ac:dyDescent="0.25">
      <c r="A1011" s="141" t="s">
        <v>179</v>
      </c>
      <c r="B1011" s="142"/>
      <c r="C1011" s="142"/>
      <c r="D1011" s="142"/>
      <c r="E1011" s="142"/>
      <c r="F1011" s="142"/>
      <c r="G1011" s="142"/>
      <c r="H1011" s="142"/>
      <c r="I1011" s="142"/>
      <c r="J1011" s="142"/>
      <c r="K1011" s="142"/>
      <c r="L1011" s="142"/>
      <c r="M1011" s="142"/>
      <c r="N1011" s="142"/>
      <c r="O1011" s="143"/>
      <c r="P1011" s="143"/>
      <c r="Q1011" s="133"/>
    </row>
    <row r="1012" spans="1:17" x14ac:dyDescent="0.25">
      <c r="A1012" s="141" t="s">
        <v>210</v>
      </c>
      <c r="B1012" s="142"/>
      <c r="C1012" s="142"/>
      <c r="D1012" s="142"/>
      <c r="E1012" s="142"/>
      <c r="F1012" s="142"/>
      <c r="G1012" s="142"/>
      <c r="H1012" s="142"/>
      <c r="I1012" s="142"/>
      <c r="J1012" s="142"/>
      <c r="K1012" s="142"/>
      <c r="L1012" s="142"/>
      <c r="M1012" s="142"/>
      <c r="N1012" s="142"/>
      <c r="O1012" s="142"/>
      <c r="P1012" s="143"/>
      <c r="Q1012" s="133"/>
    </row>
    <row r="1013" spans="1:17" x14ac:dyDescent="0.25">
      <c r="A1013" s="159" t="s">
        <v>232</v>
      </c>
      <c r="B1013" s="133"/>
      <c r="C1013" s="133"/>
      <c r="D1013" s="133"/>
      <c r="E1013" s="133"/>
      <c r="F1013" s="133"/>
      <c r="G1013" s="133"/>
      <c r="H1013" s="133"/>
      <c r="I1013" s="133"/>
      <c r="J1013" s="133"/>
      <c r="K1013" s="133"/>
      <c r="L1013" s="133"/>
      <c r="M1013" s="133"/>
      <c r="N1013" s="133"/>
      <c r="O1013" s="133"/>
      <c r="P1013" s="145"/>
      <c r="Q1013" s="133"/>
    </row>
    <row r="1014" spans="1:17" x14ac:dyDescent="0.25">
      <c r="A1014" s="159" t="s">
        <v>275</v>
      </c>
      <c r="B1014" s="133"/>
      <c r="C1014" s="133"/>
      <c r="D1014" s="133"/>
      <c r="E1014" s="133"/>
      <c r="F1014" s="133"/>
      <c r="G1014" s="133"/>
      <c r="H1014" s="133"/>
      <c r="I1014" s="133"/>
      <c r="J1014" s="133"/>
      <c r="K1014" s="133"/>
      <c r="L1014" s="133"/>
      <c r="M1014" s="133"/>
      <c r="N1014" s="133"/>
      <c r="O1014" s="133"/>
      <c r="P1014" s="145"/>
      <c r="Q1014" s="133"/>
    </row>
    <row r="1015" spans="1:17" x14ac:dyDescent="0.25">
      <c r="A1015" s="159" t="s">
        <v>276</v>
      </c>
      <c r="B1015" s="133"/>
      <c r="C1015" s="133"/>
      <c r="D1015" s="133"/>
      <c r="E1015" s="133"/>
      <c r="F1015" s="133"/>
      <c r="G1015" s="133"/>
      <c r="H1015" s="133"/>
      <c r="I1015" s="133"/>
      <c r="J1015" s="133"/>
      <c r="K1015" s="133"/>
      <c r="L1015" s="133"/>
      <c r="M1015" s="133"/>
      <c r="N1015" s="133"/>
      <c r="O1015" s="133"/>
      <c r="P1015" s="145"/>
      <c r="Q1015" s="133"/>
    </row>
    <row r="1016" spans="1:17" x14ac:dyDescent="0.25">
      <c r="A1016" s="159" t="s">
        <v>277</v>
      </c>
      <c r="B1016" s="133"/>
      <c r="C1016" s="133"/>
      <c r="D1016" s="133"/>
      <c r="E1016" s="133"/>
      <c r="F1016" s="133"/>
      <c r="G1016" s="133"/>
      <c r="H1016" s="133"/>
      <c r="I1016" s="133"/>
      <c r="J1016" s="133"/>
      <c r="K1016" s="133"/>
      <c r="L1016" s="133"/>
      <c r="M1016" s="133"/>
      <c r="N1016" s="133"/>
      <c r="O1016" s="133"/>
      <c r="P1016" s="145"/>
      <c r="Q1016" s="133"/>
    </row>
    <row r="1017" spans="1:17" x14ac:dyDescent="0.25">
      <c r="A1017" s="159" t="s">
        <v>470</v>
      </c>
      <c r="B1017" s="133"/>
      <c r="C1017" s="133"/>
      <c r="D1017" s="133"/>
      <c r="E1017" s="133"/>
      <c r="F1017" s="133"/>
      <c r="G1017" s="133"/>
      <c r="H1017" s="133"/>
      <c r="I1017" s="133"/>
      <c r="J1017" s="133"/>
      <c r="K1017" s="133"/>
      <c r="L1017" s="133"/>
      <c r="M1017" s="133"/>
      <c r="N1017" s="133"/>
      <c r="O1017" s="133"/>
      <c r="P1017" s="145"/>
      <c r="Q1017" s="133"/>
    </row>
    <row r="1018" spans="1:17" x14ac:dyDescent="0.25">
      <c r="A1018" s="159" t="s">
        <v>471</v>
      </c>
      <c r="B1018" s="133"/>
      <c r="C1018" s="133"/>
      <c r="D1018" s="133"/>
      <c r="E1018" s="133"/>
      <c r="F1018" s="133"/>
      <c r="G1018" s="133"/>
      <c r="H1018" s="133"/>
      <c r="I1018" s="133"/>
      <c r="J1018" s="133"/>
      <c r="K1018" s="133"/>
      <c r="L1018" s="133"/>
      <c r="M1018" s="133"/>
      <c r="N1018" s="133"/>
      <c r="O1018" s="133"/>
      <c r="P1018" s="145"/>
      <c r="Q1018" s="133"/>
    </row>
    <row r="1019" spans="1:17" x14ac:dyDescent="0.25">
      <c r="A1019" s="159" t="s">
        <v>665</v>
      </c>
      <c r="B1019" s="133"/>
      <c r="C1019" s="133"/>
      <c r="D1019" s="133"/>
      <c r="E1019" s="133"/>
      <c r="F1019" s="133"/>
      <c r="G1019" s="133"/>
      <c r="H1019" s="133"/>
      <c r="I1019" s="133"/>
      <c r="J1019" s="133"/>
      <c r="K1019" s="133"/>
      <c r="L1019" s="133"/>
      <c r="M1019" s="133"/>
      <c r="N1019" s="133"/>
      <c r="O1019" s="133"/>
      <c r="P1019" s="145"/>
      <c r="Q1019" s="133"/>
    </row>
    <row r="1020" spans="1:17" x14ac:dyDescent="0.25">
      <c r="A1020" s="159" t="s">
        <v>869</v>
      </c>
      <c r="B1020" s="133"/>
      <c r="C1020" s="133"/>
      <c r="D1020" s="133"/>
      <c r="E1020" s="133"/>
      <c r="F1020" s="133"/>
      <c r="G1020" s="133"/>
      <c r="H1020" s="133"/>
      <c r="I1020" s="133"/>
      <c r="J1020" s="133"/>
      <c r="K1020" s="133"/>
      <c r="L1020" s="133"/>
      <c r="M1020" s="133"/>
      <c r="N1020" s="133"/>
      <c r="O1020" s="133"/>
      <c r="P1020" s="145"/>
      <c r="Q1020" s="133"/>
    </row>
    <row r="1021" spans="1:17" x14ac:dyDescent="0.25">
      <c r="A1021" s="170" t="s">
        <v>870</v>
      </c>
      <c r="B1021" s="148"/>
      <c r="C1021" s="148"/>
      <c r="D1021" s="148"/>
      <c r="E1021" s="148"/>
      <c r="F1021" s="148"/>
      <c r="G1021" s="148"/>
      <c r="H1021" s="148"/>
      <c r="I1021" s="148"/>
      <c r="J1021" s="148"/>
      <c r="K1021" s="148"/>
      <c r="L1021" s="148"/>
      <c r="M1021" s="148"/>
      <c r="N1021" s="148"/>
      <c r="O1021" s="148"/>
      <c r="P1021" s="149"/>
      <c r="Q1021" s="133"/>
    </row>
    <row r="1022" spans="1:17" x14ac:dyDescent="0.25">
      <c r="A1022" s="132"/>
      <c r="C1022" s="134"/>
    </row>
    <row r="1023" spans="1:17" x14ac:dyDescent="0.25">
      <c r="A1023" s="409" t="s">
        <v>14</v>
      </c>
      <c r="B1023" s="410" t="s">
        <v>66</v>
      </c>
      <c r="C1023" s="411" t="s">
        <v>15</v>
      </c>
      <c r="D1023" s="396"/>
      <c r="E1023" s="396"/>
      <c r="F1023" s="396"/>
      <c r="G1023" s="396"/>
      <c r="H1023" s="396"/>
      <c r="I1023" s="396"/>
      <c r="J1023" s="396"/>
      <c r="K1023" s="396"/>
      <c r="L1023" s="396"/>
      <c r="M1023" s="396"/>
      <c r="N1023" s="396"/>
      <c r="O1023" s="396"/>
      <c r="P1023" s="396"/>
    </row>
    <row r="1024" spans="1:17" x14ac:dyDescent="0.25">
      <c r="A1024" s="412" t="s">
        <v>16</v>
      </c>
      <c r="B1024" s="413">
        <v>2009</v>
      </c>
      <c r="C1024" s="413">
        <v>2010</v>
      </c>
      <c r="D1024" s="413">
        <v>2011</v>
      </c>
      <c r="E1024" s="413">
        <v>2012</v>
      </c>
      <c r="F1024" s="413">
        <v>2013</v>
      </c>
      <c r="G1024" s="413">
        <v>2014</v>
      </c>
      <c r="H1024" s="413">
        <v>2015</v>
      </c>
      <c r="I1024" s="413">
        <v>2016</v>
      </c>
      <c r="J1024" s="413">
        <v>2017</v>
      </c>
      <c r="K1024" s="413">
        <v>2018</v>
      </c>
      <c r="L1024" s="413">
        <v>2019</v>
      </c>
      <c r="M1024" s="413">
        <v>2020</v>
      </c>
      <c r="N1024" s="413">
        <v>2021</v>
      </c>
      <c r="O1024" s="413">
        <v>2022</v>
      </c>
      <c r="P1024" s="413">
        <v>2023</v>
      </c>
      <c r="Q1024" s="133"/>
    </row>
    <row r="1025" spans="1:17" x14ac:dyDescent="0.25">
      <c r="A1025" s="412" t="s">
        <v>17</v>
      </c>
      <c r="B1025" s="241">
        <v>25000</v>
      </c>
      <c r="C1025" s="241">
        <v>25000</v>
      </c>
      <c r="D1025" s="241">
        <v>23611</v>
      </c>
      <c r="E1025" s="241">
        <v>23611</v>
      </c>
      <c r="F1025" s="241">
        <v>23611</v>
      </c>
      <c r="G1025" s="241">
        <v>23611</v>
      </c>
      <c r="H1025" s="241">
        <v>23611</v>
      </c>
      <c r="I1025" s="241">
        <v>17696</v>
      </c>
      <c r="J1025" s="414">
        <v>17696</v>
      </c>
      <c r="K1025" s="414">
        <v>17696</v>
      </c>
      <c r="L1025" s="414">
        <v>17696</v>
      </c>
      <c r="M1025" s="414">
        <v>13979.84</v>
      </c>
      <c r="N1025" s="414">
        <v>13756.162560000001</v>
      </c>
      <c r="O1025" s="414">
        <v>13868.00128</v>
      </c>
      <c r="P1025" s="414">
        <v>13868.00128</v>
      </c>
      <c r="Q1025" s="133"/>
    </row>
    <row r="1026" spans="1:17" x14ac:dyDescent="0.25">
      <c r="A1026" s="412" t="s">
        <v>18</v>
      </c>
      <c r="B1026" s="241">
        <v>30500</v>
      </c>
      <c r="C1026" s="241">
        <v>29700</v>
      </c>
      <c r="D1026" s="241">
        <v>26894.3</v>
      </c>
      <c r="E1026" s="241">
        <v>27624.3</v>
      </c>
      <c r="F1026" s="241">
        <v>27624.3</v>
      </c>
      <c r="G1026" s="241">
        <v>27624.3</v>
      </c>
      <c r="H1026" s="241">
        <v>27624.3</v>
      </c>
      <c r="I1026" s="241">
        <v>20167.650000000001</v>
      </c>
      <c r="J1026" s="414">
        <v>19280.400000000001</v>
      </c>
      <c r="K1026" s="414">
        <v>15415.88</v>
      </c>
      <c r="L1026" s="414">
        <v>19280.400000000001</v>
      </c>
      <c r="M1026" s="414">
        <v>13079.84</v>
      </c>
      <c r="N1026" s="414">
        <f>N1025+0.1*L1025-600-300</f>
        <v>14625.762560000001</v>
      </c>
      <c r="O1026" s="414">
        <f>O1025+0.1*M1025-600-300</f>
        <v>14365.985280000001</v>
      </c>
      <c r="P1026" s="414">
        <f>P1025+0.1*N1025-600-300</f>
        <v>14343.617536000002</v>
      </c>
      <c r="Q1026" s="133"/>
    </row>
    <row r="1027" spans="1:17" x14ac:dyDescent="0.25">
      <c r="A1027" s="412" t="s">
        <v>19</v>
      </c>
      <c r="B1027" s="241"/>
      <c r="C1027" s="241"/>
      <c r="D1027" s="241"/>
      <c r="E1027" s="241"/>
      <c r="F1027" s="241"/>
      <c r="G1027" s="241"/>
      <c r="H1027" s="241"/>
      <c r="I1027" s="241"/>
      <c r="J1027" s="241"/>
      <c r="K1027" s="241"/>
      <c r="L1027" s="241"/>
      <c r="M1027" s="241"/>
      <c r="N1027" s="241"/>
      <c r="O1027" s="241"/>
      <c r="P1027" s="241"/>
      <c r="Q1027" s="133"/>
    </row>
    <row r="1028" spans="1:17" x14ac:dyDescent="0.25">
      <c r="A1028" s="412" t="s">
        <v>20</v>
      </c>
      <c r="B1028" s="241">
        <v>13127.78969</v>
      </c>
      <c r="C1028" s="241">
        <v>12919.833529999998</v>
      </c>
      <c r="D1028" s="241">
        <v>11930</v>
      </c>
      <c r="E1028" s="241">
        <v>15971.9</v>
      </c>
      <c r="F1028" s="241">
        <v>14342</v>
      </c>
      <c r="G1028" s="241">
        <v>12595.2</v>
      </c>
      <c r="H1028" s="241">
        <v>10179.799999999999</v>
      </c>
      <c r="I1028" s="241">
        <v>11238</v>
      </c>
      <c r="J1028" s="241">
        <v>9872.2000000000007</v>
      </c>
      <c r="K1028" s="241">
        <v>9849.5910000000003</v>
      </c>
      <c r="L1028" s="241">
        <v>9933.1844890000011</v>
      </c>
      <c r="M1028" s="241">
        <v>9294.3000000000011</v>
      </c>
      <c r="N1028" s="241">
        <v>11226.4</v>
      </c>
      <c r="O1028" s="203">
        <v>12374.5</v>
      </c>
      <c r="P1028" s="241"/>
      <c r="Q1028" s="133"/>
    </row>
    <row r="1029" spans="1:17" x14ac:dyDescent="0.25">
      <c r="A1029" s="412" t="s">
        <v>21</v>
      </c>
      <c r="B1029" s="241">
        <v>17372.210310000002</v>
      </c>
      <c r="C1029" s="241">
        <v>16780.166470000004</v>
      </c>
      <c r="D1029" s="241">
        <v>14964.3</v>
      </c>
      <c r="E1029" s="241">
        <v>11652.4</v>
      </c>
      <c r="F1029" s="241">
        <v>13282.3</v>
      </c>
      <c r="G1029" s="241">
        <v>15029.099999999999</v>
      </c>
      <c r="H1029" s="241">
        <v>17444.5</v>
      </c>
      <c r="I1029" s="241">
        <v>8929.6500000000015</v>
      </c>
      <c r="J1029" s="241">
        <v>9408.2000000000007</v>
      </c>
      <c r="K1029" s="241">
        <v>5566.2889999999989</v>
      </c>
      <c r="L1029" s="241">
        <v>9347.2155110000003</v>
      </c>
      <c r="M1029" s="241">
        <f>M1026-M1028</f>
        <v>3785.5399999999991</v>
      </c>
      <c r="N1029" s="241">
        <f>N1026-N1028</f>
        <v>3399.3625600000014</v>
      </c>
      <c r="O1029" s="203">
        <f>O1026-O1028</f>
        <v>1991.4852800000008</v>
      </c>
      <c r="P1029" s="241"/>
      <c r="Q1029" s="133"/>
    </row>
    <row r="1030" spans="1:17" x14ac:dyDescent="0.25">
      <c r="A1030" s="415" t="s">
        <v>22</v>
      </c>
      <c r="B1030" s="416"/>
      <c r="C1030" s="416"/>
      <c r="D1030" s="416"/>
      <c r="E1030" s="416"/>
      <c r="F1030" s="416"/>
      <c r="G1030" s="416"/>
      <c r="H1030" s="416"/>
      <c r="I1030" s="416"/>
      <c r="J1030" s="416"/>
      <c r="K1030" s="416"/>
      <c r="L1030" s="416">
        <v>2021</v>
      </c>
      <c r="M1030" s="416">
        <v>2022</v>
      </c>
      <c r="N1030" s="416">
        <v>2023</v>
      </c>
      <c r="O1030" s="416"/>
      <c r="P1030" s="416"/>
      <c r="Q1030" s="133"/>
    </row>
    <row r="1031" spans="1:17" x14ac:dyDescent="0.25">
      <c r="A1031" s="415" t="s">
        <v>179</v>
      </c>
      <c r="B1031" s="528"/>
      <c r="C1031" s="528"/>
      <c r="D1031" s="528"/>
      <c r="E1031" s="528"/>
      <c r="F1031" s="528"/>
      <c r="G1031" s="528"/>
      <c r="H1031" s="528"/>
      <c r="I1031" s="528"/>
      <c r="J1031" s="528"/>
      <c r="K1031" s="528"/>
      <c r="L1031" s="528"/>
      <c r="M1031" s="528"/>
      <c r="N1031" s="528"/>
      <c r="O1031" s="529"/>
      <c r="P1031" s="529"/>
      <c r="Q1031" s="133"/>
    </row>
    <row r="1032" spans="1:17" x14ac:dyDescent="0.25">
      <c r="A1032" s="415" t="s">
        <v>196</v>
      </c>
      <c r="B1032" s="528"/>
      <c r="C1032" s="528"/>
      <c r="D1032" s="528"/>
      <c r="E1032" s="528"/>
      <c r="F1032" s="528"/>
      <c r="G1032" s="528"/>
      <c r="H1032" s="528"/>
      <c r="I1032" s="528"/>
      <c r="J1032" s="528"/>
      <c r="K1032" s="528"/>
      <c r="L1032" s="528"/>
      <c r="M1032" s="528"/>
      <c r="N1032" s="528"/>
      <c r="O1032" s="528"/>
      <c r="P1032" s="529"/>
      <c r="Q1032" s="133"/>
    </row>
    <row r="1033" spans="1:17" x14ac:dyDescent="0.25">
      <c r="A1033" s="417" t="s">
        <v>197</v>
      </c>
      <c r="B1033" s="396"/>
      <c r="C1033" s="396"/>
      <c r="D1033" s="396"/>
      <c r="E1033" s="396"/>
      <c r="F1033" s="396"/>
      <c r="G1033" s="396"/>
      <c r="H1033" s="396"/>
      <c r="I1033" s="396"/>
      <c r="J1033" s="396"/>
      <c r="K1033" s="396"/>
      <c r="L1033" s="396"/>
      <c r="M1033" s="396"/>
      <c r="N1033" s="396"/>
      <c r="O1033" s="396"/>
      <c r="P1033" s="418"/>
      <c r="Q1033" s="133"/>
    </row>
    <row r="1034" spans="1:17" x14ac:dyDescent="0.25">
      <c r="A1034" s="417" t="s">
        <v>235</v>
      </c>
      <c r="B1034" s="396"/>
      <c r="C1034" s="396"/>
      <c r="D1034" s="396"/>
      <c r="E1034" s="396"/>
      <c r="F1034" s="396"/>
      <c r="G1034" s="396"/>
      <c r="H1034" s="396"/>
      <c r="I1034" s="396"/>
      <c r="J1034" s="396"/>
      <c r="K1034" s="396"/>
      <c r="L1034" s="396"/>
      <c r="M1034" s="396"/>
      <c r="N1034" s="396"/>
      <c r="O1034" s="396"/>
      <c r="P1034" s="418"/>
      <c r="Q1034" s="133"/>
    </row>
    <row r="1035" spans="1:17" x14ac:dyDescent="0.25">
      <c r="A1035" s="417" t="s">
        <v>236</v>
      </c>
      <c r="B1035" s="530"/>
      <c r="C1035" s="531"/>
      <c r="D1035" s="532"/>
      <c r="E1035" s="396"/>
      <c r="F1035" s="396"/>
      <c r="G1035" s="531"/>
      <c r="H1035" s="396"/>
      <c r="I1035" s="396"/>
      <c r="J1035" s="396"/>
      <c r="K1035" s="396"/>
      <c r="L1035" s="396"/>
      <c r="M1035" s="396"/>
      <c r="N1035" s="396"/>
      <c r="O1035" s="396"/>
      <c r="P1035" s="418"/>
      <c r="Q1035" s="133"/>
    </row>
    <row r="1036" spans="1:17" x14ac:dyDescent="0.25">
      <c r="A1036" s="417" t="s">
        <v>237</v>
      </c>
      <c r="B1036" s="396"/>
      <c r="C1036" s="396"/>
      <c r="D1036" s="396"/>
      <c r="E1036" s="396"/>
      <c r="F1036" s="396"/>
      <c r="G1036" s="533"/>
      <c r="H1036" s="396"/>
      <c r="I1036" s="396"/>
      <c r="J1036" s="396"/>
      <c r="K1036" s="396"/>
      <c r="L1036" s="396"/>
      <c r="M1036" s="396"/>
      <c r="N1036" s="396"/>
      <c r="O1036" s="396"/>
      <c r="P1036" s="418"/>
      <c r="Q1036" s="133"/>
    </row>
    <row r="1037" spans="1:17" x14ac:dyDescent="0.25">
      <c r="A1037" s="417" t="s">
        <v>279</v>
      </c>
      <c r="B1037" s="396"/>
      <c r="C1037" s="396"/>
      <c r="D1037" s="396"/>
      <c r="E1037" s="396"/>
      <c r="F1037" s="396"/>
      <c r="G1037" s="396"/>
      <c r="H1037" s="396"/>
      <c r="I1037" s="396"/>
      <c r="J1037" s="396"/>
      <c r="K1037" s="396"/>
      <c r="L1037" s="396"/>
      <c r="M1037" s="396"/>
      <c r="N1037" s="396"/>
      <c r="O1037" s="396"/>
      <c r="P1037" s="418"/>
      <c r="Q1037" s="133"/>
    </row>
    <row r="1038" spans="1:17" x14ac:dyDescent="0.25">
      <c r="A1038" s="417" t="s">
        <v>238</v>
      </c>
      <c r="B1038" s="396"/>
      <c r="C1038" s="396"/>
      <c r="D1038" s="396"/>
      <c r="E1038" s="396"/>
      <c r="F1038" s="396"/>
      <c r="G1038" s="533"/>
      <c r="H1038" s="396"/>
      <c r="I1038" s="396"/>
      <c r="J1038" s="396"/>
      <c r="K1038" s="396"/>
      <c r="L1038" s="396"/>
      <c r="M1038" s="396"/>
      <c r="N1038" s="396"/>
      <c r="O1038" s="396"/>
      <c r="P1038" s="418"/>
      <c r="Q1038" s="133"/>
    </row>
    <row r="1039" spans="1:17" x14ac:dyDescent="0.25">
      <c r="A1039" s="417" t="s">
        <v>233</v>
      </c>
      <c r="B1039" s="396"/>
      <c r="C1039" s="396"/>
      <c r="D1039" s="396"/>
      <c r="E1039" s="396"/>
      <c r="F1039" s="396"/>
      <c r="G1039" s="533"/>
      <c r="H1039" s="396"/>
      <c r="I1039" s="396"/>
      <c r="J1039" s="396"/>
      <c r="K1039" s="396"/>
      <c r="L1039" s="396"/>
      <c r="M1039" s="396"/>
      <c r="N1039" s="396"/>
      <c r="O1039" s="396"/>
      <c r="P1039" s="418"/>
      <c r="Q1039" s="133"/>
    </row>
    <row r="1040" spans="1:17" x14ac:dyDescent="0.25">
      <c r="A1040" s="419" t="s">
        <v>234</v>
      </c>
      <c r="B1040" s="396"/>
      <c r="C1040" s="396"/>
      <c r="D1040" s="396"/>
      <c r="E1040" s="396"/>
      <c r="F1040" s="396"/>
      <c r="G1040" s="396"/>
      <c r="H1040" s="396"/>
      <c r="I1040" s="396"/>
      <c r="J1040" s="396"/>
      <c r="K1040" s="396"/>
      <c r="L1040" s="396"/>
      <c r="M1040" s="396"/>
      <c r="N1040" s="396"/>
      <c r="O1040" s="396"/>
      <c r="P1040" s="418"/>
      <c r="Q1040" s="133"/>
    </row>
    <row r="1041" spans="1:18" x14ac:dyDescent="0.25">
      <c r="A1041" s="419" t="s">
        <v>211</v>
      </c>
      <c r="B1041" s="396"/>
      <c r="C1041" s="396"/>
      <c r="D1041" s="396"/>
      <c r="E1041" s="396"/>
      <c r="F1041" s="396"/>
      <c r="G1041" s="396"/>
      <c r="H1041" s="396"/>
      <c r="I1041" s="396"/>
      <c r="J1041" s="396"/>
      <c r="K1041" s="396"/>
      <c r="L1041" s="396"/>
      <c r="M1041" s="396"/>
      <c r="N1041" s="396"/>
      <c r="O1041" s="396"/>
      <c r="P1041" s="418"/>
      <c r="Q1041" s="133"/>
    </row>
    <row r="1042" spans="1:18" x14ac:dyDescent="0.25">
      <c r="A1042" s="419" t="s">
        <v>278</v>
      </c>
      <c r="B1042" s="396"/>
      <c r="C1042" s="396"/>
      <c r="D1042" s="396"/>
      <c r="E1042" s="396"/>
      <c r="F1042" s="396"/>
      <c r="G1042" s="396"/>
      <c r="H1042" s="396"/>
      <c r="I1042" s="396"/>
      <c r="J1042" s="396"/>
      <c r="K1042" s="396"/>
      <c r="L1042" s="396"/>
      <c r="M1042" s="396"/>
      <c r="N1042" s="396"/>
      <c r="O1042" s="396"/>
      <c r="P1042" s="418"/>
      <c r="Q1042" s="133"/>
    </row>
    <row r="1043" spans="1:18" ht="13.2" customHeight="1" x14ac:dyDescent="0.25">
      <c r="A1043" s="419" t="s">
        <v>379</v>
      </c>
      <c r="B1043" s="396"/>
      <c r="C1043" s="396"/>
      <c r="D1043" s="396"/>
      <c r="E1043" s="396"/>
      <c r="F1043" s="396"/>
      <c r="G1043" s="396"/>
      <c r="H1043" s="396"/>
      <c r="I1043" s="396"/>
      <c r="J1043" s="396"/>
      <c r="K1043" s="396"/>
      <c r="L1043" s="396"/>
      <c r="M1043" s="396"/>
      <c r="N1043" s="396"/>
      <c r="O1043" s="396"/>
      <c r="P1043" s="418"/>
      <c r="Q1043" s="133"/>
    </row>
    <row r="1044" spans="1:18" ht="13.2" customHeight="1" x14ac:dyDescent="0.25">
      <c r="A1044" s="419" t="s">
        <v>579</v>
      </c>
      <c r="B1044" s="396"/>
      <c r="C1044" s="396"/>
      <c r="D1044" s="396"/>
      <c r="E1044" s="396"/>
      <c r="F1044" s="396"/>
      <c r="G1044" s="396"/>
      <c r="H1044" s="396"/>
      <c r="I1044" s="396"/>
      <c r="J1044" s="396"/>
      <c r="K1044" s="396"/>
      <c r="L1044" s="396"/>
      <c r="M1044" s="396"/>
      <c r="N1044" s="396"/>
      <c r="O1044" s="396"/>
      <c r="P1044" s="418"/>
      <c r="Q1044" s="133"/>
    </row>
    <row r="1045" spans="1:18" ht="13.2" customHeight="1" x14ac:dyDescent="0.25">
      <c r="A1045" s="419" t="s">
        <v>666</v>
      </c>
      <c r="B1045" s="396"/>
      <c r="C1045" s="396"/>
      <c r="D1045" s="396"/>
      <c r="E1045" s="396"/>
      <c r="F1045" s="396"/>
      <c r="G1045" s="396"/>
      <c r="H1045" s="396"/>
      <c r="I1045" s="396"/>
      <c r="J1045" s="396"/>
      <c r="K1045" s="396"/>
      <c r="L1045" s="396"/>
      <c r="M1045" s="396"/>
      <c r="N1045" s="396"/>
      <c r="O1045" s="396"/>
      <c r="P1045" s="418"/>
      <c r="Q1045" s="133"/>
    </row>
    <row r="1046" spans="1:18" ht="13.2" customHeight="1" x14ac:dyDescent="0.25">
      <c r="A1046" s="419" t="s">
        <v>602</v>
      </c>
      <c r="B1046" s="396"/>
      <c r="C1046" s="396"/>
      <c r="D1046" s="396"/>
      <c r="E1046" s="396"/>
      <c r="F1046" s="396"/>
      <c r="G1046" s="396"/>
      <c r="H1046" s="396"/>
      <c r="I1046" s="396"/>
      <c r="J1046" s="396"/>
      <c r="K1046" s="396"/>
      <c r="L1046" s="396"/>
      <c r="M1046" s="396"/>
      <c r="N1046" s="396"/>
      <c r="O1046" s="396"/>
      <c r="P1046" s="418"/>
      <c r="Q1046" s="133"/>
    </row>
    <row r="1047" spans="1:18" ht="13.2" customHeight="1" x14ac:dyDescent="0.25">
      <c r="A1047" s="419" t="s">
        <v>736</v>
      </c>
      <c r="B1047" s="396"/>
      <c r="C1047" s="396"/>
      <c r="D1047" s="396"/>
      <c r="E1047" s="396"/>
      <c r="F1047" s="396"/>
      <c r="G1047" s="396"/>
      <c r="H1047" s="396"/>
      <c r="I1047" s="396"/>
      <c r="J1047" s="396"/>
      <c r="K1047" s="396"/>
      <c r="L1047" s="396"/>
      <c r="M1047" s="396"/>
      <c r="N1047" s="396"/>
      <c r="O1047" s="396"/>
      <c r="P1047" s="418"/>
      <c r="Q1047" s="133"/>
    </row>
    <row r="1048" spans="1:18" ht="13.2" customHeight="1" x14ac:dyDescent="0.25">
      <c r="A1048" s="420" t="s">
        <v>871</v>
      </c>
      <c r="B1048" s="421"/>
      <c r="C1048" s="421"/>
      <c r="D1048" s="421"/>
      <c r="E1048" s="421"/>
      <c r="F1048" s="421"/>
      <c r="G1048" s="421"/>
      <c r="H1048" s="421"/>
      <c r="I1048" s="421"/>
      <c r="J1048" s="421"/>
      <c r="K1048" s="421"/>
      <c r="L1048" s="421"/>
      <c r="M1048" s="421"/>
      <c r="N1048" s="421"/>
      <c r="O1048" s="421"/>
      <c r="P1048" s="422"/>
      <c r="Q1048" s="133"/>
    </row>
    <row r="1049" spans="1:18" x14ac:dyDescent="0.25">
      <c r="A1049" s="132"/>
      <c r="C1049" s="134"/>
    </row>
    <row r="1050" spans="1:18" x14ac:dyDescent="0.25">
      <c r="A1050" s="174" t="s">
        <v>14</v>
      </c>
      <c r="B1050" s="136" t="s">
        <v>74</v>
      </c>
      <c r="C1050" s="171" t="s">
        <v>15</v>
      </c>
      <c r="D1050" s="133"/>
      <c r="E1050" s="133"/>
      <c r="F1050" s="133"/>
      <c r="G1050" s="133"/>
      <c r="H1050" s="133"/>
      <c r="I1050" s="133"/>
      <c r="J1050" s="133"/>
      <c r="K1050" s="133"/>
      <c r="L1050" s="133"/>
      <c r="M1050" s="133"/>
      <c r="N1050" s="133"/>
    </row>
    <row r="1051" spans="1:18" x14ac:dyDescent="0.25">
      <c r="A1051" s="147" t="s">
        <v>16</v>
      </c>
      <c r="B1051" s="175">
        <v>2008</v>
      </c>
      <c r="C1051" s="176">
        <v>2009</v>
      </c>
      <c r="D1051" s="176">
        <v>2010</v>
      </c>
      <c r="E1051" s="176">
        <v>2011</v>
      </c>
      <c r="F1051" s="175">
        <v>2012</v>
      </c>
      <c r="G1051" s="175">
        <v>2013</v>
      </c>
      <c r="H1051" s="175">
        <v>2014</v>
      </c>
      <c r="I1051" s="175">
        <v>2015</v>
      </c>
      <c r="J1051" s="175">
        <v>2016</v>
      </c>
      <c r="K1051" s="175">
        <v>2017</v>
      </c>
      <c r="L1051" s="175">
        <v>2018</v>
      </c>
      <c r="M1051" s="175">
        <v>2019</v>
      </c>
      <c r="N1051" s="175">
        <v>2020</v>
      </c>
      <c r="O1051" s="175">
        <v>2021</v>
      </c>
      <c r="P1051" s="51">
        <v>2022</v>
      </c>
      <c r="Q1051" s="51">
        <v>2023</v>
      </c>
      <c r="R1051" s="199">
        <v>2024</v>
      </c>
    </row>
    <row r="1052" spans="1:18" x14ac:dyDescent="0.25">
      <c r="A1052" s="137" t="s">
        <v>17</v>
      </c>
      <c r="B1052" s="152">
        <v>839.5</v>
      </c>
      <c r="C1052" s="152">
        <v>839.5</v>
      </c>
      <c r="D1052" s="152">
        <v>839.5</v>
      </c>
      <c r="E1052" s="152">
        <v>839.5</v>
      </c>
      <c r="F1052" s="178">
        <v>503.7</v>
      </c>
      <c r="G1052" s="178">
        <v>390</v>
      </c>
      <c r="H1052" s="178">
        <v>390</v>
      </c>
      <c r="I1052" s="178">
        <v>390</v>
      </c>
      <c r="J1052" s="178">
        <v>390</v>
      </c>
      <c r="K1052" s="178">
        <v>390</v>
      </c>
      <c r="L1052" s="178">
        <v>390</v>
      </c>
      <c r="M1052" s="178">
        <v>390</v>
      </c>
      <c r="N1052" s="178">
        <v>328.1</v>
      </c>
      <c r="O1052" s="178">
        <v>328.1</v>
      </c>
      <c r="P1052" s="23">
        <v>328.1</v>
      </c>
      <c r="Q1052" s="23">
        <v>328.1</v>
      </c>
      <c r="R1052" s="45">
        <v>328.1</v>
      </c>
    </row>
    <row r="1053" spans="1:18" x14ac:dyDescent="0.25">
      <c r="A1053" s="139" t="s">
        <v>18</v>
      </c>
      <c r="B1053" s="152">
        <v>839.5</v>
      </c>
      <c r="C1053" s="152">
        <v>839.5</v>
      </c>
      <c r="D1053" s="152">
        <v>839.5</v>
      </c>
      <c r="E1053" s="152">
        <v>839.5</v>
      </c>
      <c r="F1053" s="152">
        <v>503.7</v>
      </c>
      <c r="G1053" s="178">
        <v>390</v>
      </c>
      <c r="H1053" s="178">
        <v>390</v>
      </c>
      <c r="I1053" s="178">
        <v>429</v>
      </c>
      <c r="J1053" s="178">
        <v>429</v>
      </c>
      <c r="K1053" s="178">
        <v>429</v>
      </c>
      <c r="L1053" s="178">
        <v>406.6</v>
      </c>
      <c r="M1053" s="178">
        <v>429</v>
      </c>
      <c r="N1053" s="178">
        <v>367.1</v>
      </c>
      <c r="O1053" s="178">
        <v>367.1</v>
      </c>
      <c r="P1053" s="23"/>
      <c r="Q1053" s="23"/>
      <c r="R1053" s="45">
        <f>R1052+P1056</f>
        <v>285.10000000000002</v>
      </c>
    </row>
    <row r="1054" spans="1:18" x14ac:dyDescent="0.25">
      <c r="A1054" s="139" t="s">
        <v>19</v>
      </c>
      <c r="B1054" s="152"/>
      <c r="C1054" s="179"/>
      <c r="D1054" s="152"/>
      <c r="E1054" s="178"/>
      <c r="F1054" s="178"/>
      <c r="G1054" s="178"/>
      <c r="H1054" s="178"/>
      <c r="I1054" s="178"/>
      <c r="J1054" s="178"/>
      <c r="K1054" s="178"/>
      <c r="L1054" s="178"/>
      <c r="M1054" s="178"/>
      <c r="N1054" s="178"/>
      <c r="O1054" s="178"/>
      <c r="P1054" s="23"/>
      <c r="Q1054" s="23"/>
      <c r="R1054" s="45"/>
    </row>
    <row r="1055" spans="1:18" x14ac:dyDescent="0.25">
      <c r="A1055" s="139" t="s">
        <v>20</v>
      </c>
      <c r="B1055" s="152">
        <v>704.14</v>
      </c>
      <c r="C1055" s="152">
        <v>553.45920000000001</v>
      </c>
      <c r="D1055" s="152">
        <v>425.98559999999998</v>
      </c>
      <c r="E1055" s="152">
        <v>478</v>
      </c>
      <c r="F1055" s="178">
        <v>305.5</v>
      </c>
      <c r="G1055" s="178">
        <v>231.5</v>
      </c>
      <c r="H1055" s="178">
        <v>288.8</v>
      </c>
      <c r="I1055" s="178">
        <v>261.5</v>
      </c>
      <c r="J1055" s="178">
        <v>412.4</v>
      </c>
      <c r="K1055" s="178">
        <v>308.10000000000002</v>
      </c>
      <c r="L1055" s="178">
        <v>352.2</v>
      </c>
      <c r="M1055" s="178">
        <v>336.88949500000001</v>
      </c>
      <c r="N1055" s="178">
        <v>285.10000000000002</v>
      </c>
      <c r="O1055" s="178">
        <v>289.39999999999998</v>
      </c>
      <c r="P1055" s="45">
        <v>371.1</v>
      </c>
      <c r="Q1055" s="23"/>
      <c r="R1055" s="45"/>
    </row>
    <row r="1056" spans="1:18" x14ac:dyDescent="0.25">
      <c r="A1056" s="139" t="s">
        <v>21</v>
      </c>
      <c r="B1056" s="152">
        <v>135.36000000000001</v>
      </c>
      <c r="C1056" s="152">
        <v>286.04079999999999</v>
      </c>
      <c r="D1056" s="152">
        <v>413.51440000000002</v>
      </c>
      <c r="E1056" s="152">
        <v>361.5</v>
      </c>
      <c r="F1056" s="152">
        <v>198.2</v>
      </c>
      <c r="G1056" s="178">
        <v>158.5</v>
      </c>
      <c r="H1056" s="178">
        <v>101.19999999999999</v>
      </c>
      <c r="I1056" s="178">
        <v>167.5</v>
      </c>
      <c r="J1056" s="178">
        <v>16.600000000000023</v>
      </c>
      <c r="K1056" s="178">
        <v>120.89999999999998</v>
      </c>
      <c r="L1056" s="178">
        <v>54.400000000000034</v>
      </c>
      <c r="M1056" s="178">
        <v>92.110504999999989</v>
      </c>
      <c r="N1056" s="178">
        <f>N1053-N1055</f>
        <v>82</v>
      </c>
      <c r="O1056" s="178">
        <f>O1053-O1055</f>
        <v>77.700000000000045</v>
      </c>
      <c r="P1056" s="45">
        <f>P1052-P1055</f>
        <v>-43</v>
      </c>
      <c r="Q1056" s="23"/>
      <c r="R1056" s="45"/>
    </row>
    <row r="1057" spans="1:18" x14ac:dyDescent="0.25">
      <c r="A1057" s="141" t="s">
        <v>22</v>
      </c>
      <c r="B1057" s="153"/>
      <c r="C1057" s="142"/>
      <c r="D1057" s="153"/>
      <c r="E1057" s="143"/>
      <c r="F1057" s="143"/>
      <c r="G1057" s="143"/>
      <c r="H1057" s="143"/>
      <c r="I1057" s="143"/>
      <c r="J1057" s="143"/>
      <c r="K1057" s="143"/>
      <c r="L1057" s="143"/>
      <c r="M1057" s="180"/>
      <c r="N1057" s="180"/>
      <c r="O1057" s="180"/>
      <c r="P1057" s="36"/>
      <c r="Q1057" s="36"/>
      <c r="R1057" s="618"/>
    </row>
    <row r="1058" spans="1:18" x14ac:dyDescent="0.25">
      <c r="A1058" s="141" t="s">
        <v>179</v>
      </c>
      <c r="B1058" s="142"/>
      <c r="C1058" s="142"/>
      <c r="D1058" s="142"/>
      <c r="E1058" s="142"/>
      <c r="F1058" s="142"/>
      <c r="G1058" s="142"/>
      <c r="H1058" s="142"/>
      <c r="I1058" s="142"/>
      <c r="J1058" s="142"/>
      <c r="K1058" s="142"/>
      <c r="L1058" s="142"/>
      <c r="M1058" s="142"/>
      <c r="N1058" s="142"/>
      <c r="O1058" s="142"/>
      <c r="P1058" s="30"/>
      <c r="Q1058" s="31"/>
      <c r="R1058" s="621"/>
    </row>
    <row r="1059" spans="1:18" x14ac:dyDescent="0.25">
      <c r="A1059" s="141" t="s">
        <v>198</v>
      </c>
      <c r="B1059" s="142"/>
      <c r="C1059" s="142"/>
      <c r="D1059" s="142"/>
      <c r="E1059" s="142"/>
      <c r="F1059" s="142"/>
      <c r="G1059" s="142"/>
      <c r="H1059" s="142"/>
      <c r="I1059" s="142"/>
      <c r="J1059" s="142"/>
      <c r="K1059" s="142"/>
      <c r="L1059" s="142"/>
      <c r="M1059" s="142"/>
      <c r="N1059" s="142"/>
      <c r="O1059" s="142"/>
      <c r="P1059" s="30"/>
      <c r="Q1059" s="30"/>
      <c r="R1059" s="621"/>
    </row>
    <row r="1060" spans="1:18" x14ac:dyDescent="0.25">
      <c r="A1060" s="144" t="s">
        <v>199</v>
      </c>
      <c r="B1060" s="133"/>
      <c r="C1060" s="133"/>
      <c r="D1060" s="133"/>
      <c r="E1060" s="133"/>
      <c r="F1060" s="133"/>
      <c r="G1060" s="133"/>
      <c r="H1060" s="133"/>
      <c r="I1060" s="133"/>
      <c r="J1060" s="133"/>
      <c r="K1060" s="133"/>
      <c r="L1060" s="133"/>
      <c r="M1060" s="133"/>
      <c r="N1060" s="133"/>
      <c r="O1060" s="133"/>
      <c r="R1060" s="619"/>
    </row>
    <row r="1061" spans="1:18" x14ac:dyDescent="0.25">
      <c r="A1061" s="144" t="s">
        <v>239</v>
      </c>
      <c r="B1061" s="133"/>
      <c r="C1061" s="133"/>
      <c r="D1061" s="133"/>
      <c r="E1061" s="133"/>
      <c r="F1061" s="133"/>
      <c r="G1061" s="133"/>
      <c r="H1061" s="133"/>
      <c r="I1061" s="133"/>
      <c r="J1061" s="133"/>
      <c r="K1061" s="133"/>
      <c r="L1061" s="133"/>
      <c r="M1061" s="133"/>
      <c r="N1061" s="133"/>
      <c r="O1061" s="133"/>
      <c r="R1061" s="619"/>
    </row>
    <row r="1062" spans="1:18" x14ac:dyDescent="0.25">
      <c r="A1062" s="144" t="s">
        <v>240</v>
      </c>
      <c r="B1062" s="133"/>
      <c r="C1062" s="133"/>
      <c r="D1062" s="133"/>
      <c r="E1062" s="133"/>
      <c r="F1062" s="133"/>
      <c r="G1062" s="133"/>
      <c r="H1062" s="157"/>
      <c r="I1062" s="133"/>
      <c r="J1062" s="133"/>
      <c r="K1062" s="133"/>
      <c r="L1062" s="133"/>
      <c r="M1062" s="133"/>
      <c r="N1062" s="133"/>
      <c r="O1062" s="133"/>
      <c r="R1062" s="619"/>
    </row>
    <row r="1063" spans="1:18" x14ac:dyDescent="0.25">
      <c r="A1063" s="144" t="s">
        <v>280</v>
      </c>
      <c r="B1063" s="133"/>
      <c r="C1063" s="133"/>
      <c r="D1063" s="133"/>
      <c r="E1063" s="133"/>
      <c r="F1063" s="133"/>
      <c r="G1063" s="133"/>
      <c r="H1063" s="157"/>
      <c r="I1063" s="133"/>
      <c r="J1063" s="133"/>
      <c r="K1063" s="133"/>
      <c r="L1063" s="133"/>
      <c r="M1063" s="133"/>
      <c r="N1063" s="133"/>
      <c r="O1063" s="133"/>
      <c r="R1063" s="619"/>
    </row>
    <row r="1064" spans="1:18" x14ac:dyDescent="0.25">
      <c r="A1064" s="144" t="s">
        <v>281</v>
      </c>
      <c r="B1064" s="133"/>
      <c r="C1064" s="133"/>
      <c r="D1064" s="133"/>
      <c r="E1064" s="133"/>
      <c r="F1064" s="133"/>
      <c r="G1064" s="133"/>
      <c r="H1064" s="157"/>
      <c r="I1064" s="133"/>
      <c r="J1064" s="133"/>
      <c r="K1064" s="133"/>
      <c r="L1064" s="133"/>
      <c r="M1064" s="133"/>
      <c r="N1064" s="133"/>
      <c r="O1064" s="133"/>
      <c r="R1064" s="619"/>
    </row>
    <row r="1065" spans="1:18" x14ac:dyDescent="0.25">
      <c r="A1065" s="144" t="s">
        <v>282</v>
      </c>
      <c r="B1065" s="133"/>
      <c r="C1065" s="133"/>
      <c r="D1065" s="133"/>
      <c r="E1065" s="133"/>
      <c r="F1065" s="133"/>
      <c r="G1065" s="133"/>
      <c r="H1065" s="157"/>
      <c r="I1065" s="133"/>
      <c r="J1065" s="133"/>
      <c r="K1065" s="133"/>
      <c r="L1065" s="133"/>
      <c r="M1065" s="133"/>
      <c r="N1065" s="133"/>
      <c r="O1065" s="133"/>
      <c r="R1065" s="619"/>
    </row>
    <row r="1066" spans="1:18" x14ac:dyDescent="0.25">
      <c r="A1066" s="144" t="s">
        <v>472</v>
      </c>
      <c r="B1066" s="133"/>
      <c r="C1066" s="133"/>
      <c r="D1066" s="133"/>
      <c r="E1066" s="133"/>
      <c r="F1066" s="133"/>
      <c r="G1066" s="133"/>
      <c r="H1066" s="157"/>
      <c r="I1066" s="133"/>
      <c r="J1066" s="133"/>
      <c r="K1066" s="133"/>
      <c r="L1066" s="133"/>
      <c r="M1066" s="133"/>
      <c r="N1066" s="133"/>
      <c r="O1066" s="133"/>
      <c r="R1066" s="21"/>
    </row>
    <row r="1067" spans="1:18" x14ac:dyDescent="0.25">
      <c r="A1067" s="144" t="s">
        <v>667</v>
      </c>
      <c r="B1067" s="133"/>
      <c r="C1067" s="133"/>
      <c r="D1067" s="133"/>
      <c r="E1067" s="133"/>
      <c r="F1067" s="133"/>
      <c r="G1067" s="133"/>
      <c r="H1067" s="157"/>
      <c r="I1067" s="133"/>
      <c r="J1067" s="133"/>
      <c r="K1067" s="133"/>
      <c r="L1067" s="133"/>
      <c r="M1067" s="133"/>
      <c r="N1067" s="133"/>
      <c r="O1067" s="133"/>
      <c r="R1067" s="21"/>
    </row>
    <row r="1068" spans="1:18" x14ac:dyDescent="0.25">
      <c r="A1068" s="144" t="s">
        <v>872</v>
      </c>
      <c r="B1068" s="133"/>
      <c r="C1068" s="133"/>
      <c r="D1068" s="133"/>
      <c r="E1068" s="133"/>
      <c r="F1068" s="133"/>
      <c r="G1068" s="133"/>
      <c r="H1068" s="157"/>
      <c r="I1068" s="133"/>
      <c r="J1068" s="133"/>
      <c r="K1068" s="133"/>
      <c r="L1068" s="133"/>
      <c r="M1068" s="133"/>
      <c r="N1068" s="133"/>
      <c r="O1068" s="133"/>
      <c r="R1068" s="21"/>
    </row>
    <row r="1069" spans="1:18" x14ac:dyDescent="0.25">
      <c r="A1069" s="620" t="s">
        <v>963</v>
      </c>
      <c r="B1069" s="148"/>
      <c r="C1069" s="148"/>
      <c r="D1069" s="148"/>
      <c r="E1069" s="148"/>
      <c r="F1069" s="148"/>
      <c r="G1069" s="148"/>
      <c r="H1069" s="181"/>
      <c r="I1069" s="148"/>
      <c r="J1069" s="148"/>
      <c r="K1069" s="148"/>
      <c r="L1069" s="148"/>
      <c r="M1069" s="148"/>
      <c r="N1069" s="148"/>
      <c r="O1069" s="148"/>
      <c r="P1069" s="33"/>
      <c r="Q1069" s="33"/>
      <c r="R1069" s="34"/>
    </row>
    <row r="1070" spans="1:18" x14ac:dyDescent="0.25">
      <c r="A1070" s="132"/>
      <c r="C1070" s="134"/>
    </row>
    <row r="1071" spans="1:18" x14ac:dyDescent="0.25">
      <c r="A1071" s="135" t="s">
        <v>14</v>
      </c>
      <c r="B1071" s="136" t="s">
        <v>79</v>
      </c>
      <c r="C1071" s="171" t="s">
        <v>15</v>
      </c>
      <c r="D1071" s="133"/>
      <c r="E1071" s="133"/>
      <c r="F1071" s="133"/>
      <c r="G1071" s="133"/>
      <c r="H1071" s="133"/>
      <c r="I1071" s="133"/>
      <c r="J1071" s="133"/>
      <c r="K1071" s="133"/>
      <c r="L1071" s="133"/>
      <c r="M1071" s="133"/>
      <c r="N1071" s="133"/>
    </row>
    <row r="1072" spans="1:18" x14ac:dyDescent="0.25">
      <c r="A1072" s="139" t="s">
        <v>16</v>
      </c>
      <c r="B1072" s="151">
        <v>2008</v>
      </c>
      <c r="C1072" s="151">
        <v>2009</v>
      </c>
      <c r="D1072" s="151">
        <v>2010</v>
      </c>
      <c r="E1072" s="151">
        <v>2011</v>
      </c>
      <c r="F1072" s="151">
        <v>2012</v>
      </c>
      <c r="G1072" s="151">
        <v>2013</v>
      </c>
      <c r="H1072" s="151">
        <v>2014</v>
      </c>
      <c r="I1072" s="151">
        <v>2015</v>
      </c>
      <c r="J1072" s="151">
        <v>2016</v>
      </c>
      <c r="K1072" s="151">
        <v>2017</v>
      </c>
      <c r="L1072" s="151">
        <v>2018</v>
      </c>
      <c r="M1072" s="151">
        <v>2019</v>
      </c>
      <c r="N1072" s="151">
        <v>2020</v>
      </c>
      <c r="O1072" s="151">
        <v>2021</v>
      </c>
      <c r="P1072" s="51">
        <v>2022</v>
      </c>
      <c r="Q1072" s="51">
        <v>2023</v>
      </c>
    </row>
    <row r="1073" spans="1:17" x14ac:dyDescent="0.25">
      <c r="A1073" s="139" t="s">
        <v>17</v>
      </c>
      <c r="B1073" s="152">
        <v>37</v>
      </c>
      <c r="C1073" s="152">
        <v>37</v>
      </c>
      <c r="D1073" s="152">
        <v>37</v>
      </c>
      <c r="E1073" s="152">
        <v>37</v>
      </c>
      <c r="F1073" s="152">
        <v>33.6</v>
      </c>
      <c r="G1073" s="152">
        <v>35</v>
      </c>
      <c r="H1073" s="152">
        <v>35</v>
      </c>
      <c r="I1073" s="152">
        <v>35</v>
      </c>
      <c r="J1073" s="152">
        <v>35</v>
      </c>
      <c r="K1073" s="152">
        <v>35</v>
      </c>
      <c r="L1073" s="152">
        <v>35</v>
      </c>
      <c r="M1073" s="152">
        <v>35</v>
      </c>
      <c r="N1073" s="152">
        <v>35</v>
      </c>
      <c r="O1073" s="152">
        <v>35</v>
      </c>
      <c r="P1073" s="23">
        <v>35</v>
      </c>
      <c r="Q1073" s="23">
        <v>35</v>
      </c>
    </row>
    <row r="1074" spans="1:17" x14ac:dyDescent="0.25">
      <c r="A1074" s="139" t="s">
        <v>18</v>
      </c>
      <c r="B1074" s="152">
        <v>37</v>
      </c>
      <c r="C1074" s="152">
        <v>37</v>
      </c>
      <c r="D1074" s="152">
        <v>37</v>
      </c>
      <c r="E1074" s="152">
        <v>37</v>
      </c>
      <c r="F1074" s="152">
        <v>33.6</v>
      </c>
      <c r="G1074" s="152">
        <v>35</v>
      </c>
      <c r="H1074" s="152">
        <v>35</v>
      </c>
      <c r="I1074" s="152">
        <v>42</v>
      </c>
      <c r="J1074" s="152">
        <v>42</v>
      </c>
      <c r="K1074" s="152">
        <v>42</v>
      </c>
      <c r="L1074" s="152">
        <v>42</v>
      </c>
      <c r="M1074" s="152">
        <v>42</v>
      </c>
      <c r="N1074" s="152">
        <v>42</v>
      </c>
      <c r="O1074" s="152">
        <v>42</v>
      </c>
      <c r="P1074" s="23"/>
      <c r="Q1074" s="23"/>
    </row>
    <row r="1075" spans="1:17" x14ac:dyDescent="0.25">
      <c r="A1075" s="139" t="s">
        <v>19</v>
      </c>
      <c r="B1075" s="152"/>
      <c r="C1075" s="152"/>
      <c r="D1075" s="152"/>
      <c r="E1075" s="152"/>
      <c r="F1075" s="152"/>
      <c r="G1075" s="152"/>
      <c r="H1075" s="152"/>
      <c r="I1075" s="152"/>
      <c r="J1075" s="152"/>
      <c r="K1075" s="152"/>
      <c r="L1075" s="152"/>
      <c r="M1075" s="152"/>
      <c r="N1075" s="152"/>
      <c r="O1075" s="152"/>
      <c r="P1075" s="23"/>
      <c r="Q1075" s="23"/>
    </row>
    <row r="1076" spans="1:17" x14ac:dyDescent="0.25">
      <c r="A1076" s="139" t="s">
        <v>20</v>
      </c>
      <c r="B1076" s="152">
        <v>28.84</v>
      </c>
      <c r="C1076" s="152">
        <v>28.802399999999999</v>
      </c>
      <c r="D1076" s="152">
        <v>40.781999999999996</v>
      </c>
      <c r="E1076" s="152">
        <v>27.9</v>
      </c>
      <c r="F1076" s="152">
        <v>49.6</v>
      </c>
      <c r="G1076" s="152">
        <v>16.899999999999999</v>
      </c>
      <c r="H1076" s="152">
        <v>5.7</v>
      </c>
      <c r="I1076" s="152">
        <v>9.9</v>
      </c>
      <c r="J1076" s="152">
        <v>12.6</v>
      </c>
      <c r="K1076" s="152">
        <v>9.1999999999999993</v>
      </c>
      <c r="L1076" s="152">
        <v>14.4</v>
      </c>
      <c r="M1076" s="152">
        <v>10.852466</v>
      </c>
      <c r="N1076" s="152">
        <v>7.9</v>
      </c>
      <c r="O1076" s="152">
        <v>6.1</v>
      </c>
      <c r="P1076" s="45">
        <v>6.4</v>
      </c>
      <c r="Q1076" s="23"/>
    </row>
    <row r="1077" spans="1:17" x14ac:dyDescent="0.25">
      <c r="A1077" s="139" t="s">
        <v>21</v>
      </c>
      <c r="B1077" s="152">
        <v>8.16</v>
      </c>
      <c r="C1077" s="152">
        <v>8.1976000000000013</v>
      </c>
      <c r="D1077" s="152">
        <v>3.782</v>
      </c>
      <c r="E1077" s="152">
        <v>9.1000000000000014</v>
      </c>
      <c r="F1077" s="152">
        <v>16</v>
      </c>
      <c r="G1077" s="152">
        <v>18.100000000000001</v>
      </c>
      <c r="H1077" s="152">
        <v>29.3</v>
      </c>
      <c r="I1077" s="152">
        <v>32.1</v>
      </c>
      <c r="J1077" s="152">
        <v>29.4</v>
      </c>
      <c r="K1077" s="152">
        <v>32.799999999999997</v>
      </c>
      <c r="L1077" s="152">
        <v>27.6</v>
      </c>
      <c r="M1077" s="152">
        <v>31.147534</v>
      </c>
      <c r="N1077" s="152">
        <f>N1074-N1076</f>
        <v>34.1</v>
      </c>
      <c r="O1077" s="152">
        <f>O1074-O1076</f>
        <v>35.9</v>
      </c>
      <c r="P1077" s="45">
        <f>P1073-P1076</f>
        <v>28.6</v>
      </c>
      <c r="Q1077" s="23"/>
    </row>
    <row r="1078" spans="1:17" x14ac:dyDescent="0.25">
      <c r="A1078" s="141" t="s">
        <v>22</v>
      </c>
      <c r="B1078" s="167"/>
      <c r="C1078" s="182"/>
      <c r="D1078" s="167"/>
      <c r="E1078" s="180"/>
      <c r="F1078" s="167"/>
      <c r="G1078" s="167"/>
      <c r="H1078" s="180"/>
      <c r="I1078" s="180"/>
      <c r="J1078" s="180"/>
      <c r="K1078" s="180"/>
      <c r="L1078" s="180"/>
      <c r="M1078" s="180"/>
      <c r="N1078" s="180"/>
      <c r="O1078" s="180"/>
      <c r="P1078" s="36"/>
      <c r="Q1078" s="36"/>
    </row>
    <row r="1079" spans="1:17" x14ac:dyDescent="0.25">
      <c r="A1079" s="139" t="s">
        <v>179</v>
      </c>
      <c r="B1079" s="155"/>
      <c r="C1079" s="155"/>
      <c r="D1079" s="155"/>
      <c r="E1079" s="155"/>
      <c r="F1079" s="155"/>
      <c r="G1079" s="155"/>
      <c r="H1079" s="155"/>
      <c r="I1079" s="155"/>
      <c r="J1079" s="155"/>
      <c r="K1079" s="155"/>
      <c r="L1079" s="155"/>
      <c r="M1079" s="155"/>
      <c r="N1079" s="155"/>
      <c r="O1079" s="155"/>
      <c r="P1079" s="58"/>
      <c r="Q1079" s="56"/>
    </row>
    <row r="1080" spans="1:17" x14ac:dyDescent="0.25">
      <c r="A1080" s="144" t="s">
        <v>200</v>
      </c>
      <c r="B1080" s="133"/>
      <c r="C1080" s="133"/>
      <c r="D1080" s="133"/>
      <c r="E1080" s="133"/>
      <c r="F1080" s="133"/>
      <c r="G1080" s="133"/>
      <c r="H1080" s="133"/>
      <c r="I1080" s="133"/>
      <c r="J1080" s="133"/>
      <c r="K1080" s="133"/>
      <c r="L1080" s="133"/>
      <c r="M1080" s="133"/>
      <c r="N1080" s="133"/>
      <c r="O1080" s="133"/>
      <c r="Q1080" s="21"/>
    </row>
    <row r="1081" spans="1:17" x14ac:dyDescent="0.25">
      <c r="A1081" s="144" t="s">
        <v>201</v>
      </c>
      <c r="B1081" s="133"/>
      <c r="C1081" s="133"/>
      <c r="D1081" s="133"/>
      <c r="E1081" s="133"/>
      <c r="F1081" s="133"/>
      <c r="G1081" s="133"/>
      <c r="H1081" s="133"/>
      <c r="I1081" s="133"/>
      <c r="J1081" s="133"/>
      <c r="K1081" s="133"/>
      <c r="L1081" s="133"/>
      <c r="M1081" s="133"/>
      <c r="N1081" s="133"/>
      <c r="O1081" s="133"/>
      <c r="Q1081" s="21"/>
    </row>
    <row r="1082" spans="1:17" x14ac:dyDescent="0.25">
      <c r="A1082" s="144" t="s">
        <v>212</v>
      </c>
      <c r="B1082" s="133"/>
      <c r="C1082" s="133"/>
      <c r="D1082" s="133"/>
      <c r="E1082" s="133"/>
      <c r="F1082" s="133"/>
      <c r="G1082" s="133"/>
      <c r="H1082" s="133"/>
      <c r="I1082" s="133"/>
      <c r="J1082" s="133"/>
      <c r="K1082" s="133"/>
      <c r="L1082" s="133"/>
      <c r="M1082" s="133"/>
      <c r="N1082" s="133"/>
      <c r="O1082" s="133"/>
      <c r="Q1082" s="21"/>
    </row>
    <row r="1083" spans="1:17" x14ac:dyDescent="0.25">
      <c r="A1083" s="144" t="s">
        <v>213</v>
      </c>
      <c r="B1083" s="133"/>
      <c r="C1083" s="133"/>
      <c r="D1083" s="133"/>
      <c r="E1083" s="133"/>
      <c r="F1083" s="133"/>
      <c r="G1083" s="133"/>
      <c r="H1083" s="133"/>
      <c r="I1083" s="133"/>
      <c r="J1083" s="133"/>
      <c r="K1083" s="133"/>
      <c r="L1083" s="133"/>
      <c r="M1083" s="133"/>
      <c r="N1083" s="133"/>
      <c r="O1083" s="133"/>
      <c r="Q1083" s="21"/>
    </row>
    <row r="1084" spans="1:17" x14ac:dyDescent="0.25">
      <c r="A1084" s="144" t="s">
        <v>214</v>
      </c>
      <c r="B1084" s="133"/>
      <c r="C1084" s="156"/>
      <c r="D1084" s="157"/>
      <c r="E1084" s="158"/>
      <c r="F1084" s="133"/>
      <c r="G1084" s="133"/>
      <c r="H1084" s="157"/>
      <c r="I1084" s="133"/>
      <c r="J1084" s="133"/>
      <c r="K1084" s="133"/>
      <c r="L1084" s="133"/>
      <c r="M1084" s="133"/>
      <c r="N1084" s="133"/>
      <c r="O1084" s="133"/>
      <c r="Q1084" s="21"/>
    </row>
    <row r="1085" spans="1:17" x14ac:dyDescent="0.25">
      <c r="A1085" s="144" t="s">
        <v>241</v>
      </c>
      <c r="B1085" s="133"/>
      <c r="C1085" s="133"/>
      <c r="D1085" s="133"/>
      <c r="E1085" s="133"/>
      <c r="F1085" s="133"/>
      <c r="G1085" s="133"/>
      <c r="H1085" s="157"/>
      <c r="I1085" s="133"/>
      <c r="J1085" s="133"/>
      <c r="K1085" s="133"/>
      <c r="L1085" s="133"/>
      <c r="M1085" s="133"/>
      <c r="N1085" s="133"/>
      <c r="O1085" s="133"/>
      <c r="Q1085" s="21"/>
    </row>
    <row r="1086" spans="1:17" x14ac:dyDescent="0.25">
      <c r="A1086" s="144" t="s">
        <v>283</v>
      </c>
      <c r="B1086" s="133"/>
      <c r="C1086" s="133"/>
      <c r="D1086" s="133"/>
      <c r="E1086" s="133"/>
      <c r="F1086" s="133"/>
      <c r="G1086" s="133"/>
      <c r="H1086" s="157"/>
      <c r="I1086" s="133"/>
      <c r="J1086" s="133"/>
      <c r="K1086" s="133"/>
      <c r="L1086" s="133"/>
      <c r="M1086" s="133"/>
      <c r="N1086" s="133"/>
      <c r="O1086" s="133"/>
      <c r="Q1086" s="21"/>
    </row>
    <row r="1087" spans="1:17" x14ac:dyDescent="0.25">
      <c r="A1087" s="144" t="s">
        <v>284</v>
      </c>
      <c r="B1087" s="133"/>
      <c r="C1087" s="133"/>
      <c r="D1087" s="133"/>
      <c r="E1087" s="133"/>
      <c r="F1087" s="133"/>
      <c r="G1087" s="133"/>
      <c r="H1087" s="157"/>
      <c r="I1087" s="133"/>
      <c r="J1087" s="133"/>
      <c r="K1087" s="133"/>
      <c r="L1087" s="133"/>
      <c r="M1087" s="133"/>
      <c r="N1087" s="133"/>
      <c r="O1087" s="133"/>
      <c r="Q1087" s="21"/>
    </row>
    <row r="1088" spans="1:17" x14ac:dyDescent="0.25">
      <c r="A1088" s="144" t="s">
        <v>285</v>
      </c>
      <c r="B1088" s="133"/>
      <c r="C1088" s="133"/>
      <c r="D1088" s="133"/>
      <c r="E1088" s="133"/>
      <c r="F1088" s="133"/>
      <c r="G1088" s="133"/>
      <c r="H1088" s="157"/>
      <c r="I1088" s="133"/>
      <c r="J1088" s="133"/>
      <c r="K1088" s="133"/>
      <c r="L1088" s="133"/>
      <c r="M1088" s="133"/>
      <c r="N1088" s="133"/>
      <c r="O1088" s="133"/>
      <c r="Q1088" s="21"/>
    </row>
    <row r="1089" spans="1:17" x14ac:dyDescent="0.25">
      <c r="A1089" s="144" t="s">
        <v>668</v>
      </c>
      <c r="B1089" s="133"/>
      <c r="C1089" s="133"/>
      <c r="D1089" s="133"/>
      <c r="E1089" s="133"/>
      <c r="F1089" s="133"/>
      <c r="G1089" s="133"/>
      <c r="H1089" s="157"/>
      <c r="I1089" s="133"/>
      <c r="J1089" s="133"/>
      <c r="K1089" s="133"/>
      <c r="L1089" s="133"/>
      <c r="M1089" s="133"/>
      <c r="N1089" s="133"/>
      <c r="O1089" s="133"/>
      <c r="Q1089" s="21"/>
    </row>
    <row r="1090" spans="1:17" x14ac:dyDescent="0.25">
      <c r="A1090" s="137" t="s">
        <v>873</v>
      </c>
      <c r="B1090" s="148"/>
      <c r="C1090" s="148"/>
      <c r="D1090" s="148"/>
      <c r="E1090" s="148"/>
      <c r="F1090" s="148"/>
      <c r="G1090" s="148"/>
      <c r="H1090" s="148"/>
      <c r="I1090" s="148"/>
      <c r="J1090" s="148"/>
      <c r="K1090" s="148"/>
      <c r="L1090" s="148"/>
      <c r="M1090" s="148"/>
      <c r="N1090" s="148"/>
      <c r="O1090" s="148"/>
      <c r="P1090" s="33"/>
      <c r="Q1090" s="34"/>
    </row>
    <row r="1091" spans="1:17" x14ac:dyDescent="0.25">
      <c r="A1091" s="132"/>
      <c r="C1091" s="134"/>
    </row>
    <row r="1092" spans="1:17" s="183" customFormat="1" x14ac:dyDescent="0.25">
      <c r="A1092" s="135" t="s">
        <v>14</v>
      </c>
      <c r="B1092" s="136" t="s">
        <v>580</v>
      </c>
      <c r="C1092" s="136" t="s">
        <v>15</v>
      </c>
      <c r="D1092" s="133"/>
    </row>
    <row r="1093" spans="1:17" s="183" customFormat="1" x14ac:dyDescent="0.25">
      <c r="A1093" s="137" t="s">
        <v>16</v>
      </c>
      <c r="B1093" s="150">
        <v>2020</v>
      </c>
      <c r="C1093" s="151">
        <v>2021</v>
      </c>
      <c r="D1093" s="151">
        <v>2022</v>
      </c>
      <c r="E1093" s="151">
        <v>2023</v>
      </c>
    </row>
    <row r="1094" spans="1:17" s="183" customFormat="1" x14ac:dyDescent="0.25">
      <c r="A1094" s="139" t="s">
        <v>17</v>
      </c>
      <c r="B1094" s="152">
        <v>4010</v>
      </c>
      <c r="C1094" s="152">
        <v>4010</v>
      </c>
      <c r="D1094" s="152">
        <v>4010</v>
      </c>
      <c r="E1094" s="152">
        <v>4010</v>
      </c>
    </row>
    <row r="1095" spans="1:17" s="183" customFormat="1" x14ac:dyDescent="0.25">
      <c r="A1095" s="139" t="s">
        <v>18</v>
      </c>
      <c r="B1095" s="152">
        <v>4010</v>
      </c>
      <c r="C1095" s="152"/>
      <c r="D1095" s="152"/>
      <c r="E1095" s="152"/>
    </row>
    <row r="1096" spans="1:17" s="183" customFormat="1" x14ac:dyDescent="0.25">
      <c r="A1096" s="139" t="s">
        <v>19</v>
      </c>
      <c r="B1096" s="152"/>
      <c r="C1096" s="152"/>
      <c r="D1096" s="152"/>
      <c r="E1096" s="152"/>
    </row>
    <row r="1097" spans="1:17" s="183" customFormat="1" x14ac:dyDescent="0.25">
      <c r="A1097" s="139" t="s">
        <v>20</v>
      </c>
      <c r="B1097" s="152">
        <v>1896.6</v>
      </c>
      <c r="C1097" s="152">
        <v>1798</v>
      </c>
      <c r="D1097" s="203">
        <v>2237.3000000000002</v>
      </c>
      <c r="E1097" s="152"/>
    </row>
    <row r="1098" spans="1:17" s="183" customFormat="1" x14ac:dyDescent="0.25">
      <c r="A1098" s="139" t="s">
        <v>21</v>
      </c>
      <c r="B1098" s="152">
        <v>2113.4</v>
      </c>
      <c r="C1098" s="152">
        <f>C1094-C1097</f>
        <v>2212</v>
      </c>
      <c r="D1098" s="203">
        <f>D1094-D1097</f>
        <v>1772.6999999999998</v>
      </c>
      <c r="E1098" s="152"/>
    </row>
    <row r="1099" spans="1:17" s="183" customFormat="1" x14ac:dyDescent="0.25">
      <c r="A1099" s="141" t="s">
        <v>22</v>
      </c>
      <c r="B1099" s="167"/>
      <c r="C1099" s="167"/>
      <c r="D1099" s="167"/>
      <c r="E1099" s="167"/>
    </row>
    <row r="1100" spans="1:17" s="183" customFormat="1" x14ac:dyDescent="0.25">
      <c r="A1100" s="141" t="s">
        <v>23</v>
      </c>
      <c r="B1100" s="142"/>
      <c r="C1100" s="142"/>
      <c r="D1100" s="143"/>
      <c r="E1100" s="143"/>
    </row>
    <row r="1101" spans="1:17" s="183" customFormat="1" x14ac:dyDescent="0.25">
      <c r="A1101" s="141" t="s">
        <v>874</v>
      </c>
      <c r="B1101" s="142"/>
      <c r="C1101" s="142"/>
      <c r="D1101" s="142"/>
      <c r="E1101" s="143"/>
    </row>
    <row r="1102" spans="1:17" s="183" customFormat="1" x14ac:dyDescent="0.25">
      <c r="A1102" s="144" t="s">
        <v>669</v>
      </c>
      <c r="B1102" s="133"/>
      <c r="C1102" s="133"/>
      <c r="D1102" s="133"/>
      <c r="E1102" s="145"/>
    </row>
    <row r="1103" spans="1:17" s="183" customFormat="1" x14ac:dyDescent="0.25">
      <c r="A1103" s="144" t="s">
        <v>670</v>
      </c>
      <c r="B1103" s="133"/>
      <c r="C1103" s="133"/>
      <c r="D1103" s="133"/>
      <c r="E1103" s="145"/>
    </row>
    <row r="1104" spans="1:17" s="183" customFormat="1" x14ac:dyDescent="0.25">
      <c r="A1104" s="144" t="s">
        <v>875</v>
      </c>
      <c r="B1104" s="133"/>
      <c r="C1104" s="133"/>
      <c r="D1104" s="133"/>
      <c r="E1104" s="145"/>
    </row>
    <row r="1105" spans="1:12" x14ac:dyDescent="0.25">
      <c r="A1105" s="507" t="s">
        <v>876</v>
      </c>
      <c r="B1105" s="33"/>
      <c r="C1105" s="131"/>
      <c r="D1105" s="33"/>
      <c r="E1105" s="34"/>
    </row>
    <row r="1106" spans="1:12" x14ac:dyDescent="0.25">
      <c r="A1106" s="132"/>
      <c r="C1106" s="134"/>
    </row>
    <row r="1107" spans="1:12" x14ac:dyDescent="0.25">
      <c r="A1107" s="132"/>
      <c r="C1107" s="134"/>
    </row>
    <row r="1108" spans="1:12" x14ac:dyDescent="0.25">
      <c r="A1108" s="569" t="s">
        <v>698</v>
      </c>
      <c r="B1108" s="552" t="s">
        <v>697</v>
      </c>
      <c r="C1108" s="7"/>
      <c r="D1108" s="7"/>
      <c r="E1108" s="7"/>
      <c r="F1108" s="7"/>
      <c r="G1108" s="7"/>
    </row>
    <row r="1109" spans="1:12" x14ac:dyDescent="0.25">
      <c r="A1109" s="563" t="s">
        <v>14</v>
      </c>
      <c r="B1109" s="568" t="s">
        <v>638</v>
      </c>
      <c r="C1109" s="13" t="s">
        <v>15</v>
      </c>
      <c r="D1109" s="7"/>
      <c r="E1109" s="7"/>
      <c r="F1109" s="7"/>
      <c r="G1109" s="7"/>
    </row>
    <row r="1110" spans="1:12" x14ac:dyDescent="0.25">
      <c r="A1110" s="14" t="s">
        <v>16</v>
      </c>
      <c r="B1110" s="104">
        <v>2014</v>
      </c>
      <c r="C1110" s="77">
        <v>2015</v>
      </c>
      <c r="D1110" s="77">
        <v>2016</v>
      </c>
      <c r="E1110" s="77">
        <v>2017</v>
      </c>
      <c r="F1110" s="78">
        <v>2018</v>
      </c>
      <c r="G1110" s="78">
        <v>2019</v>
      </c>
      <c r="H1110" s="51">
        <v>2020</v>
      </c>
      <c r="I1110" s="51">
        <v>2021</v>
      </c>
      <c r="J1110" s="51">
        <v>2022</v>
      </c>
      <c r="K1110" s="51">
        <v>2023</v>
      </c>
    </row>
    <row r="1111" spans="1:12" x14ac:dyDescent="0.25">
      <c r="A1111" s="8" t="s">
        <v>17</v>
      </c>
      <c r="B1111" s="29">
        <v>200</v>
      </c>
      <c r="C1111" s="29">
        <v>200</v>
      </c>
      <c r="D1111" s="29">
        <v>200</v>
      </c>
      <c r="E1111" s="29">
        <v>200</v>
      </c>
      <c r="F1111" s="42">
        <v>200</v>
      </c>
      <c r="G1111" s="42">
        <v>215</v>
      </c>
      <c r="H1111" s="42">
        <v>215</v>
      </c>
      <c r="I1111" s="42">
        <v>242</v>
      </c>
      <c r="J1111" s="42">
        <v>242</v>
      </c>
      <c r="K1111" s="42">
        <v>242</v>
      </c>
    </row>
    <row r="1112" spans="1:12" x14ac:dyDescent="0.25">
      <c r="A1112" s="8" t="s">
        <v>18</v>
      </c>
      <c r="B1112" s="29">
        <v>250</v>
      </c>
      <c r="C1112" s="29">
        <v>215.6</v>
      </c>
      <c r="D1112" s="29">
        <v>250</v>
      </c>
      <c r="E1112" s="29">
        <v>250</v>
      </c>
      <c r="F1112" s="42">
        <v>250</v>
      </c>
      <c r="G1112" s="42">
        <v>265</v>
      </c>
      <c r="H1112" s="42">
        <v>265</v>
      </c>
      <c r="I1112" s="42">
        <f>I1111+0.25*G1111</f>
        <v>295.75</v>
      </c>
      <c r="J1112" s="42">
        <f>J1111+0.25*H1111</f>
        <v>295.75</v>
      </c>
      <c r="K1112" s="42">
        <f>K1111+I1111*0.25</f>
        <v>302.5</v>
      </c>
    </row>
    <row r="1113" spans="1:12" x14ac:dyDescent="0.25">
      <c r="A1113" s="8" t="s">
        <v>19</v>
      </c>
      <c r="B1113" s="11" t="s">
        <v>132</v>
      </c>
      <c r="C1113" s="12" t="s">
        <v>133</v>
      </c>
      <c r="D1113" s="12" t="s">
        <v>134</v>
      </c>
      <c r="E1113" s="12" t="s">
        <v>134</v>
      </c>
      <c r="F1113" s="12" t="s">
        <v>134</v>
      </c>
      <c r="G1113" s="12" t="s">
        <v>505</v>
      </c>
      <c r="H1113" s="12" t="s">
        <v>505</v>
      </c>
      <c r="I1113" s="12" t="s">
        <v>506</v>
      </c>
      <c r="J1113" s="12" t="s">
        <v>506</v>
      </c>
      <c r="K1113" s="12" t="s">
        <v>886</v>
      </c>
    </row>
    <row r="1114" spans="1:12" x14ac:dyDescent="0.25">
      <c r="A1114" s="8" t="s">
        <v>20</v>
      </c>
      <c r="B1114" s="29">
        <v>63.87</v>
      </c>
      <c r="C1114" s="29">
        <v>4.54</v>
      </c>
      <c r="D1114" s="29">
        <v>13.18</v>
      </c>
      <c r="E1114" s="29">
        <v>7.9</v>
      </c>
      <c r="F1114" s="42">
        <v>27.27</v>
      </c>
      <c r="G1114" s="42">
        <v>48.48</v>
      </c>
      <c r="H1114" s="23">
        <v>115.9</v>
      </c>
      <c r="I1114" s="23">
        <v>114.61</v>
      </c>
      <c r="J1114" s="23">
        <v>124.28</v>
      </c>
      <c r="K1114" s="23"/>
    </row>
    <row r="1115" spans="1:12" x14ac:dyDescent="0.25">
      <c r="A1115" s="8" t="s">
        <v>21</v>
      </c>
      <c r="B1115" s="29">
        <v>186.13</v>
      </c>
      <c r="C1115" s="29">
        <v>211.06</v>
      </c>
      <c r="D1115" s="29">
        <v>236.82</v>
      </c>
      <c r="E1115" s="29">
        <v>242.1</v>
      </c>
      <c r="F1115" s="42">
        <v>222.73</v>
      </c>
      <c r="G1115" s="42">
        <f>G1112-G1114</f>
        <v>216.52</v>
      </c>
      <c r="H1115" s="23">
        <f>H1112-H1114</f>
        <v>149.1</v>
      </c>
      <c r="I1115" s="23">
        <f>I1112-I1114</f>
        <v>181.14</v>
      </c>
      <c r="J1115" s="23">
        <f>J1112-J1114</f>
        <v>171.47</v>
      </c>
      <c r="K1115" s="23"/>
    </row>
    <row r="1116" spans="1:12" x14ac:dyDescent="0.25">
      <c r="A1116" s="37" t="s">
        <v>22</v>
      </c>
      <c r="B1116" s="63">
        <v>2016</v>
      </c>
      <c r="C1116" s="63">
        <v>2017</v>
      </c>
      <c r="D1116" s="63">
        <v>2018</v>
      </c>
      <c r="E1116" s="63">
        <v>2019</v>
      </c>
      <c r="F1116" s="65">
        <v>2020</v>
      </c>
      <c r="G1116" s="65">
        <v>2021</v>
      </c>
      <c r="H1116" s="57">
        <v>2022</v>
      </c>
      <c r="I1116" s="57">
        <v>2023</v>
      </c>
      <c r="J1116" s="57">
        <v>2024</v>
      </c>
      <c r="K1116" s="57">
        <v>2025</v>
      </c>
    </row>
    <row r="1117" spans="1:12" x14ac:dyDescent="0.25">
      <c r="A1117" s="112" t="s">
        <v>135</v>
      </c>
      <c r="B1117" s="113"/>
      <c r="C1117" s="113"/>
      <c r="D1117" s="113"/>
      <c r="E1117" s="113"/>
      <c r="F1117" s="113"/>
      <c r="G1117" s="113"/>
      <c r="H1117" s="113"/>
      <c r="I1117" s="113"/>
      <c r="J1117" s="58"/>
      <c r="K1117" s="56"/>
    </row>
    <row r="1118" spans="1:12" x14ac:dyDescent="0.25">
      <c r="A1118" s="132"/>
      <c r="C1118" s="134"/>
      <c r="K1118" s="222"/>
      <c r="L1118" s="222"/>
    </row>
    <row r="1119" spans="1:12" x14ac:dyDescent="0.25">
      <c r="A1119" s="16" t="s">
        <v>14</v>
      </c>
      <c r="B1119" s="13" t="s">
        <v>657</v>
      </c>
      <c r="C1119" s="13" t="s">
        <v>15</v>
      </c>
      <c r="D1119" s="7"/>
      <c r="E1119" s="7"/>
      <c r="F1119" s="7"/>
      <c r="G1119" s="7"/>
      <c r="K1119" s="222"/>
      <c r="L1119" s="222"/>
    </row>
    <row r="1120" spans="1:12" x14ac:dyDescent="0.25">
      <c r="A1120" s="14" t="s">
        <v>16</v>
      </c>
      <c r="B1120" s="104">
        <v>2014</v>
      </c>
      <c r="C1120" s="77">
        <v>2015</v>
      </c>
      <c r="D1120" s="77">
        <v>2016</v>
      </c>
      <c r="E1120" s="77">
        <v>2017</v>
      </c>
      <c r="F1120" s="78">
        <v>2018</v>
      </c>
      <c r="G1120" s="78">
        <v>2019</v>
      </c>
      <c r="H1120" s="51">
        <v>2020</v>
      </c>
      <c r="I1120" s="51">
        <v>2021</v>
      </c>
      <c r="J1120" s="51">
        <v>2022</v>
      </c>
      <c r="K1120" s="213">
        <v>2023</v>
      </c>
      <c r="L1120" s="222"/>
    </row>
    <row r="1121" spans="1:12" x14ac:dyDescent="0.25">
      <c r="A1121" s="8" t="s">
        <v>17</v>
      </c>
      <c r="B1121" s="29">
        <v>140</v>
      </c>
      <c r="C1121" s="29">
        <v>140</v>
      </c>
      <c r="D1121" s="29">
        <v>140</v>
      </c>
      <c r="E1121" s="29">
        <v>140</v>
      </c>
      <c r="F1121" s="42">
        <v>140</v>
      </c>
      <c r="G1121" s="42">
        <v>140</v>
      </c>
      <c r="H1121" s="42">
        <v>140</v>
      </c>
      <c r="I1121" s="42">
        <v>140</v>
      </c>
      <c r="J1121" s="42">
        <v>140</v>
      </c>
      <c r="K1121" s="432">
        <v>170</v>
      </c>
      <c r="L1121" s="222"/>
    </row>
    <row r="1122" spans="1:12" x14ac:dyDescent="0.25">
      <c r="A1122" s="8" t="s">
        <v>18</v>
      </c>
      <c r="B1122" s="29">
        <v>140</v>
      </c>
      <c r="C1122" s="29">
        <v>177.5</v>
      </c>
      <c r="D1122" s="29">
        <v>175</v>
      </c>
      <c r="E1122" s="29">
        <v>175</v>
      </c>
      <c r="F1122" s="42">
        <v>175</v>
      </c>
      <c r="G1122" s="42">
        <v>175</v>
      </c>
      <c r="H1122" s="42">
        <v>148.36000000000001</v>
      </c>
      <c r="I1122" s="42">
        <v>144.99</v>
      </c>
      <c r="J1122" s="42">
        <f>J1121+H1125</f>
        <v>156.91000000000003</v>
      </c>
      <c r="K1122" s="432">
        <f>K1121+I1125</f>
        <v>183.97</v>
      </c>
      <c r="L1122" s="222"/>
    </row>
    <row r="1123" spans="1:12" x14ac:dyDescent="0.25">
      <c r="A1123" s="8" t="s">
        <v>19</v>
      </c>
      <c r="B1123" s="12" t="s">
        <v>136</v>
      </c>
      <c r="C1123" s="12" t="s">
        <v>137</v>
      </c>
      <c r="D1123" s="12" t="s">
        <v>138</v>
      </c>
      <c r="E1123" s="12" t="s">
        <v>138</v>
      </c>
      <c r="F1123" s="12" t="s">
        <v>138</v>
      </c>
      <c r="G1123" s="12" t="s">
        <v>138</v>
      </c>
      <c r="H1123" s="12" t="s">
        <v>286</v>
      </c>
      <c r="I1123" s="12" t="s">
        <v>507</v>
      </c>
      <c r="J1123" s="12" t="s">
        <v>508</v>
      </c>
      <c r="K1123" s="331" t="s">
        <v>763</v>
      </c>
      <c r="L1123" s="222"/>
    </row>
    <row r="1124" spans="1:12" x14ac:dyDescent="0.25">
      <c r="A1124" s="8" t="s">
        <v>20</v>
      </c>
      <c r="B1124" s="29">
        <v>3.42</v>
      </c>
      <c r="C1124" s="29">
        <v>3.47</v>
      </c>
      <c r="D1124" s="29">
        <v>48.27</v>
      </c>
      <c r="E1124" s="29">
        <v>85.96</v>
      </c>
      <c r="F1124" s="42">
        <v>166.64</v>
      </c>
      <c r="G1124" s="42">
        <v>170.01</v>
      </c>
      <c r="H1124" s="23">
        <v>131.44999999999999</v>
      </c>
      <c r="I1124" s="23">
        <v>131.02000000000001</v>
      </c>
      <c r="J1124" s="23">
        <v>152.91999999999999</v>
      </c>
      <c r="K1124" s="216"/>
      <c r="L1124" s="222"/>
    </row>
    <row r="1125" spans="1:12" x14ac:dyDescent="0.25">
      <c r="A1125" s="8" t="s">
        <v>21</v>
      </c>
      <c r="B1125" s="184">
        <v>136.58000000000001</v>
      </c>
      <c r="C1125" s="29">
        <v>174.03</v>
      </c>
      <c r="D1125" s="29">
        <v>126.73</v>
      </c>
      <c r="E1125" s="29">
        <v>89.04</v>
      </c>
      <c r="F1125" s="42">
        <v>8.36</v>
      </c>
      <c r="G1125" s="42">
        <f>G1122-G1124</f>
        <v>4.9900000000000091</v>
      </c>
      <c r="H1125" s="23">
        <f>H1122-H1124</f>
        <v>16.910000000000025</v>
      </c>
      <c r="I1125" s="23">
        <f>I1122-I1124</f>
        <v>13.969999999999999</v>
      </c>
      <c r="J1125" s="23">
        <f>J1122-J1124</f>
        <v>3.9900000000000375</v>
      </c>
      <c r="K1125" s="216"/>
      <c r="L1125" s="222"/>
    </row>
    <row r="1126" spans="1:12" x14ac:dyDescent="0.25">
      <c r="A1126" s="37" t="s">
        <v>22</v>
      </c>
      <c r="B1126" s="63">
        <v>2016</v>
      </c>
      <c r="C1126" s="63">
        <v>2017</v>
      </c>
      <c r="D1126" s="63">
        <v>2018</v>
      </c>
      <c r="E1126" s="63">
        <v>2019</v>
      </c>
      <c r="F1126" s="65">
        <v>2020</v>
      </c>
      <c r="G1126" s="65">
        <v>2021</v>
      </c>
      <c r="H1126" s="57">
        <v>2022</v>
      </c>
      <c r="I1126" s="57">
        <v>2023</v>
      </c>
      <c r="J1126" s="57">
        <v>2024</v>
      </c>
      <c r="K1126" s="245">
        <v>2025</v>
      </c>
      <c r="L1126" s="222"/>
    </row>
    <row r="1127" spans="1:12" x14ac:dyDescent="0.25">
      <c r="A1127" s="112" t="s">
        <v>135</v>
      </c>
      <c r="B1127" s="113"/>
      <c r="C1127" s="113"/>
      <c r="D1127" s="113"/>
      <c r="E1127" s="113"/>
      <c r="F1127" s="113"/>
      <c r="G1127" s="113"/>
      <c r="H1127" s="113"/>
      <c r="I1127" s="94"/>
      <c r="J1127" s="94"/>
      <c r="K1127" s="622"/>
      <c r="L1127" s="222"/>
    </row>
    <row r="1128" spans="1:12" x14ac:dyDescent="0.25">
      <c r="A1128" s="132"/>
      <c r="C1128" s="134"/>
      <c r="K1128" s="222"/>
      <c r="L1128" s="222"/>
    </row>
    <row r="1129" spans="1:12" x14ac:dyDescent="0.25">
      <c r="A1129" s="16" t="s">
        <v>14</v>
      </c>
      <c r="B1129" s="13" t="s">
        <v>637</v>
      </c>
      <c r="C1129" s="13" t="s">
        <v>152</v>
      </c>
      <c r="D1129" s="7"/>
      <c r="E1129" s="7"/>
      <c r="F1129" s="7"/>
      <c r="G1129" s="7"/>
      <c r="K1129" s="222"/>
      <c r="L1129" s="222"/>
    </row>
    <row r="1130" spans="1:12" x14ac:dyDescent="0.25">
      <c r="A1130" s="14" t="s">
        <v>16</v>
      </c>
      <c r="B1130" s="104">
        <v>2014</v>
      </c>
      <c r="C1130" s="77">
        <v>2015</v>
      </c>
      <c r="D1130" s="77">
        <v>2016</v>
      </c>
      <c r="E1130" s="77" t="s">
        <v>242</v>
      </c>
      <c r="F1130" s="77" t="s">
        <v>243</v>
      </c>
      <c r="G1130" s="77" t="s">
        <v>244</v>
      </c>
      <c r="H1130" s="77" t="s">
        <v>287</v>
      </c>
      <c r="I1130" s="77" t="s">
        <v>512</v>
      </c>
      <c r="J1130" s="77" t="s">
        <v>699</v>
      </c>
      <c r="K1130" s="339" t="s">
        <v>887</v>
      </c>
      <c r="L1130" s="222"/>
    </row>
    <row r="1131" spans="1:12" x14ac:dyDescent="0.25">
      <c r="A1131" s="8" t="s">
        <v>17</v>
      </c>
      <c r="B1131" s="29">
        <v>50</v>
      </c>
      <c r="C1131" s="29">
        <v>50</v>
      </c>
      <c r="D1131" s="29">
        <v>50</v>
      </c>
      <c r="E1131" s="29">
        <v>50</v>
      </c>
      <c r="F1131" s="29">
        <v>50</v>
      </c>
      <c r="G1131" s="29">
        <v>50</v>
      </c>
      <c r="H1131" s="23">
        <v>50</v>
      </c>
      <c r="I1131" s="23">
        <v>50</v>
      </c>
      <c r="J1131" s="23">
        <v>50</v>
      </c>
      <c r="K1131" s="216">
        <v>50</v>
      </c>
      <c r="L1131" s="222"/>
    </row>
    <row r="1132" spans="1:12" x14ac:dyDescent="0.25">
      <c r="A1132" s="8" t="s">
        <v>18</v>
      </c>
      <c r="B1132" s="29">
        <v>45.6</v>
      </c>
      <c r="C1132" s="29">
        <v>45.6</v>
      </c>
      <c r="D1132" s="29">
        <v>65.34</v>
      </c>
      <c r="E1132" s="29">
        <v>75</v>
      </c>
      <c r="F1132" s="29">
        <v>70</v>
      </c>
      <c r="G1132" s="29">
        <v>70</v>
      </c>
      <c r="H1132" s="23">
        <v>70</v>
      </c>
      <c r="I1132" s="23">
        <v>70</v>
      </c>
      <c r="J1132" s="23">
        <v>70</v>
      </c>
      <c r="K1132" s="216">
        <v>70</v>
      </c>
      <c r="L1132" s="222"/>
    </row>
    <row r="1133" spans="1:12" x14ac:dyDescent="0.25">
      <c r="A1133" s="8" t="s">
        <v>19</v>
      </c>
      <c r="B1133" s="43" t="s">
        <v>139</v>
      </c>
      <c r="C1133" s="12" t="s">
        <v>139</v>
      </c>
      <c r="D1133" s="12" t="s">
        <v>140</v>
      </c>
      <c r="E1133" s="12" t="s">
        <v>141</v>
      </c>
      <c r="F1133" s="12" t="s">
        <v>245</v>
      </c>
      <c r="G1133" s="12" t="s">
        <v>245</v>
      </c>
      <c r="H1133" s="22" t="s">
        <v>245</v>
      </c>
      <c r="I1133" s="22" t="s">
        <v>245</v>
      </c>
      <c r="J1133" s="22" t="s">
        <v>245</v>
      </c>
      <c r="K1133" s="22" t="s">
        <v>245</v>
      </c>
    </row>
    <row r="1134" spans="1:12" x14ac:dyDescent="0.25">
      <c r="A1134" s="8" t="s">
        <v>20</v>
      </c>
      <c r="B1134" s="29">
        <v>34.659999999999997</v>
      </c>
      <c r="C1134" s="29">
        <v>0</v>
      </c>
      <c r="D1134" s="29">
        <v>9.14</v>
      </c>
      <c r="E1134" s="29">
        <v>18.559999999999999</v>
      </c>
      <c r="F1134" s="29">
        <v>8.7899999999999991</v>
      </c>
      <c r="G1134" s="29">
        <v>9.3699999999999992</v>
      </c>
      <c r="H1134" s="23">
        <v>13.7</v>
      </c>
      <c r="I1134" s="23">
        <v>13.48</v>
      </c>
      <c r="J1134" s="23">
        <v>16.86</v>
      </c>
      <c r="K1134" s="23"/>
    </row>
    <row r="1135" spans="1:12" x14ac:dyDescent="0.25">
      <c r="A1135" s="8" t="s">
        <v>21</v>
      </c>
      <c r="B1135" s="29">
        <v>10.94</v>
      </c>
      <c r="C1135" s="29">
        <v>45.6</v>
      </c>
      <c r="D1135" s="29">
        <v>56.2</v>
      </c>
      <c r="E1135" s="29">
        <v>56.44</v>
      </c>
      <c r="F1135" s="29">
        <v>61.21</v>
      </c>
      <c r="G1135" s="29">
        <f>G1132-G1134</f>
        <v>60.63</v>
      </c>
      <c r="H1135" s="29">
        <f>H1132-H1134</f>
        <v>56.3</v>
      </c>
      <c r="I1135" s="29">
        <f>I1132-I1134</f>
        <v>56.519999999999996</v>
      </c>
      <c r="J1135" s="29">
        <f>J1132-J1134</f>
        <v>53.14</v>
      </c>
      <c r="K1135" s="23"/>
    </row>
    <row r="1136" spans="1:12" x14ac:dyDescent="0.25">
      <c r="A1136" s="37" t="s">
        <v>22</v>
      </c>
      <c r="B1136" s="63">
        <v>2016</v>
      </c>
      <c r="C1136" s="63">
        <v>2017</v>
      </c>
      <c r="D1136" s="63">
        <v>2018</v>
      </c>
      <c r="E1136" s="63">
        <v>2019</v>
      </c>
      <c r="F1136" s="63">
        <v>2020</v>
      </c>
      <c r="G1136" s="63">
        <v>2021</v>
      </c>
      <c r="H1136" s="57">
        <v>2022</v>
      </c>
      <c r="I1136" s="57">
        <v>2023</v>
      </c>
      <c r="J1136" s="57">
        <v>2024</v>
      </c>
      <c r="K1136" s="57">
        <v>2025</v>
      </c>
    </row>
    <row r="1137" spans="1:11" x14ac:dyDescent="0.25">
      <c r="A1137" s="37" t="s">
        <v>588</v>
      </c>
      <c r="B1137" s="95"/>
      <c r="C1137" s="95"/>
      <c r="D1137" s="95"/>
      <c r="E1137" s="95"/>
      <c r="F1137" s="95"/>
      <c r="G1137" s="95"/>
      <c r="H1137" s="79"/>
      <c r="I1137" s="79"/>
      <c r="J1137" s="79"/>
      <c r="K1137" s="80"/>
    </row>
    <row r="1138" spans="1:11" x14ac:dyDescent="0.25">
      <c r="A1138" s="17" t="s">
        <v>510</v>
      </c>
      <c r="B1138" s="534"/>
      <c r="C1138" s="534"/>
      <c r="D1138" s="534"/>
      <c r="E1138" s="534"/>
      <c r="F1138" s="534"/>
      <c r="G1138" s="534"/>
      <c r="H1138" s="106"/>
      <c r="K1138" s="21"/>
    </row>
    <row r="1139" spans="1:11" x14ac:dyDescent="0.25">
      <c r="A1139" s="14" t="s">
        <v>511</v>
      </c>
      <c r="B1139" s="15"/>
      <c r="C1139" s="15"/>
      <c r="D1139" s="15"/>
      <c r="E1139" s="15"/>
      <c r="F1139" s="15"/>
      <c r="G1139" s="15"/>
      <c r="H1139" s="15"/>
      <c r="I1139" s="33"/>
      <c r="J1139" s="33"/>
      <c r="K1139" s="34"/>
    </row>
    <row r="1140" spans="1:11" ht="15.6" customHeight="1" x14ac:dyDescent="0.25">
      <c r="A1140" s="28"/>
      <c r="B1140" s="7"/>
      <c r="C1140" s="7"/>
      <c r="D1140" s="7"/>
      <c r="E1140" s="7"/>
      <c r="F1140" s="7"/>
      <c r="G1140" s="7"/>
    </row>
    <row r="1141" spans="1:11" x14ac:dyDescent="0.25">
      <c r="A1141" s="16" t="s">
        <v>14</v>
      </c>
      <c r="B1141" s="13" t="s">
        <v>660</v>
      </c>
      <c r="C1141" s="10" t="s">
        <v>152</v>
      </c>
      <c r="D1141" s="7"/>
      <c r="E1141" s="7"/>
      <c r="F1141" s="7"/>
      <c r="G1141" s="7"/>
    </row>
    <row r="1142" spans="1:11" x14ac:dyDescent="0.25">
      <c r="A1142" s="14" t="s">
        <v>16</v>
      </c>
      <c r="B1142" s="104">
        <v>2014</v>
      </c>
      <c r="C1142" s="77">
        <v>2015</v>
      </c>
      <c r="D1142" s="77">
        <v>2016</v>
      </c>
      <c r="E1142" s="77">
        <v>2017</v>
      </c>
      <c r="F1142" s="77" t="s">
        <v>243</v>
      </c>
      <c r="G1142" s="77" t="s">
        <v>244</v>
      </c>
      <c r="H1142" s="51" t="s">
        <v>287</v>
      </c>
      <c r="I1142" s="51" t="s">
        <v>512</v>
      </c>
      <c r="J1142" s="51" t="s">
        <v>699</v>
      </c>
      <c r="K1142" s="51">
        <v>2023</v>
      </c>
    </row>
    <row r="1143" spans="1:11" x14ac:dyDescent="0.25">
      <c r="A1143" s="8" t="s">
        <v>17</v>
      </c>
      <c r="B1143" s="29">
        <v>50</v>
      </c>
      <c r="C1143" s="29">
        <v>50</v>
      </c>
      <c r="D1143" s="29">
        <v>50</v>
      </c>
      <c r="E1143" s="29">
        <v>50</v>
      </c>
      <c r="F1143" s="29">
        <v>50</v>
      </c>
      <c r="G1143" s="29">
        <v>50</v>
      </c>
      <c r="H1143" s="23">
        <v>50</v>
      </c>
      <c r="I1143" s="23">
        <v>50</v>
      </c>
      <c r="J1143" s="23">
        <v>50</v>
      </c>
      <c r="K1143" s="23">
        <v>50</v>
      </c>
    </row>
    <row r="1144" spans="1:11" x14ac:dyDescent="0.25">
      <c r="A1144" s="8" t="s">
        <v>18</v>
      </c>
      <c r="B1144" s="29">
        <v>50</v>
      </c>
      <c r="C1144" s="29">
        <v>60.7</v>
      </c>
      <c r="D1144" s="29">
        <v>47.37</v>
      </c>
      <c r="E1144" s="29">
        <v>65</v>
      </c>
      <c r="F1144" s="29">
        <v>60</v>
      </c>
      <c r="G1144" s="29">
        <v>60</v>
      </c>
      <c r="H1144" s="23">
        <f>H1143*1.2</f>
        <v>60</v>
      </c>
      <c r="I1144" s="23">
        <f>I1143*1.2</f>
        <v>60</v>
      </c>
      <c r="J1144" s="23">
        <f>J1143*1.2</f>
        <v>60</v>
      </c>
      <c r="K1144" s="23">
        <v>55</v>
      </c>
    </row>
    <row r="1145" spans="1:11" x14ac:dyDescent="0.25">
      <c r="A1145" s="8" t="s">
        <v>19</v>
      </c>
      <c r="B1145" s="12"/>
      <c r="C1145" s="12" t="s">
        <v>142</v>
      </c>
      <c r="D1145" s="12" t="s">
        <v>143</v>
      </c>
      <c r="E1145" s="12" t="s">
        <v>144</v>
      </c>
      <c r="F1145" s="12" t="s">
        <v>288</v>
      </c>
      <c r="G1145" s="12" t="s">
        <v>288</v>
      </c>
      <c r="H1145" s="12" t="s">
        <v>288</v>
      </c>
      <c r="I1145" s="12" t="s">
        <v>288</v>
      </c>
      <c r="J1145" s="12" t="s">
        <v>288</v>
      </c>
      <c r="K1145" s="12" t="s">
        <v>890</v>
      </c>
    </row>
    <row r="1146" spans="1:11" x14ac:dyDescent="0.25">
      <c r="A1146" s="8" t="s">
        <v>20</v>
      </c>
      <c r="B1146" s="29">
        <v>52.63</v>
      </c>
      <c r="C1146" s="29">
        <v>5.45</v>
      </c>
      <c r="D1146" s="29">
        <v>19.25</v>
      </c>
      <c r="E1146" s="29">
        <v>10.92</v>
      </c>
      <c r="F1146" s="29">
        <v>17.18</v>
      </c>
      <c r="G1146" s="29">
        <v>8.6999999999999993</v>
      </c>
      <c r="H1146" s="23">
        <v>15.41</v>
      </c>
      <c r="I1146" s="23">
        <v>5.56</v>
      </c>
      <c r="J1146" s="23">
        <v>6.37</v>
      </c>
      <c r="K1146" s="23"/>
    </row>
    <row r="1147" spans="1:11" x14ac:dyDescent="0.25">
      <c r="A1147" s="8" t="s">
        <v>21</v>
      </c>
      <c r="B1147" s="29">
        <v>-2.63</v>
      </c>
      <c r="C1147" s="29">
        <v>55.25</v>
      </c>
      <c r="D1147" s="29">
        <v>28.12</v>
      </c>
      <c r="E1147" s="29">
        <v>54.08</v>
      </c>
      <c r="F1147" s="29">
        <f>F1144-F1146</f>
        <v>42.82</v>
      </c>
      <c r="G1147" s="29">
        <f>G1144-G1146</f>
        <v>51.3</v>
      </c>
      <c r="H1147" s="23">
        <f>H1144-H1146</f>
        <v>44.59</v>
      </c>
      <c r="I1147" s="23">
        <f>I1144-I1146</f>
        <v>54.44</v>
      </c>
      <c r="J1147" s="23">
        <f>J1144-J1146</f>
        <v>53.63</v>
      </c>
      <c r="K1147" s="23"/>
    </row>
    <row r="1148" spans="1:11" x14ac:dyDescent="0.25">
      <c r="A1148" s="37" t="s">
        <v>22</v>
      </c>
      <c r="B1148" s="63">
        <v>2016</v>
      </c>
      <c r="C1148" s="63">
        <v>2017</v>
      </c>
      <c r="D1148" s="63">
        <v>2018</v>
      </c>
      <c r="E1148" s="63">
        <v>2019</v>
      </c>
      <c r="F1148" s="63">
        <v>2020</v>
      </c>
      <c r="G1148" s="63">
        <v>2021</v>
      </c>
      <c r="H1148" s="57">
        <v>2022</v>
      </c>
      <c r="I1148" s="57">
        <v>2023</v>
      </c>
      <c r="J1148" s="57">
        <v>2024</v>
      </c>
      <c r="K1148" s="57">
        <v>2025</v>
      </c>
    </row>
    <row r="1149" spans="1:11" x14ac:dyDescent="0.25">
      <c r="A1149" s="37" t="s">
        <v>462</v>
      </c>
      <c r="B1149" s="95"/>
      <c r="C1149" s="95"/>
      <c r="D1149" s="95"/>
      <c r="E1149" s="95"/>
      <c r="F1149" s="95"/>
      <c r="G1149" s="95"/>
      <c r="H1149" s="79"/>
      <c r="I1149" s="30"/>
      <c r="J1149" s="30"/>
      <c r="K1149" s="31"/>
    </row>
    <row r="1150" spans="1:11" x14ac:dyDescent="0.25">
      <c r="A1150" s="17" t="s">
        <v>888</v>
      </c>
      <c r="B1150" s="534"/>
      <c r="C1150" s="534"/>
      <c r="D1150" s="534"/>
      <c r="E1150" s="534"/>
      <c r="F1150" s="534"/>
      <c r="G1150" s="534"/>
      <c r="H1150" s="106"/>
      <c r="K1150" s="21"/>
    </row>
    <row r="1151" spans="1:11" x14ac:dyDescent="0.25">
      <c r="A1151" s="14" t="s">
        <v>889</v>
      </c>
      <c r="B1151" s="15"/>
      <c r="C1151" s="15"/>
      <c r="D1151" s="15"/>
      <c r="E1151" s="15"/>
      <c r="F1151" s="15"/>
      <c r="G1151" s="15"/>
      <c r="H1151" s="15"/>
      <c r="I1151" s="33"/>
      <c r="J1151" s="33"/>
      <c r="K1151" s="34"/>
    </row>
    <row r="1152" spans="1:11" ht="14.4" customHeight="1" x14ac:dyDescent="0.25">
      <c r="A1152" s="35"/>
      <c r="B1152" s="35"/>
      <c r="C1152" s="35"/>
      <c r="D1152" s="35"/>
      <c r="E1152" s="35"/>
      <c r="F1152" s="35"/>
      <c r="G1152" s="35"/>
      <c r="H1152" s="35"/>
    </row>
    <row r="1153" spans="1:11" ht="14.4" customHeight="1" x14ac:dyDescent="0.25">
      <c r="A1153" s="16" t="s">
        <v>203</v>
      </c>
      <c r="B1153" s="13" t="s">
        <v>661</v>
      </c>
      <c r="C1153" s="13" t="s">
        <v>152</v>
      </c>
      <c r="D1153" s="7"/>
      <c r="E1153" s="7"/>
      <c r="F1153" s="7"/>
      <c r="G1153" s="7"/>
    </row>
    <row r="1154" spans="1:11" ht="14.4" customHeight="1" x14ac:dyDescent="0.25">
      <c r="A1154" s="14" t="s">
        <v>16</v>
      </c>
      <c r="B1154" s="101"/>
      <c r="C1154" s="9"/>
      <c r="D1154" s="77">
        <v>2016</v>
      </c>
      <c r="E1154" s="77">
        <v>2017</v>
      </c>
      <c r="F1154" s="77">
        <v>2018</v>
      </c>
      <c r="G1154" s="77">
        <v>2019</v>
      </c>
      <c r="H1154" s="51">
        <v>2020</v>
      </c>
      <c r="I1154" s="51">
        <v>2021</v>
      </c>
      <c r="J1154" s="51">
        <v>2022</v>
      </c>
      <c r="K1154" s="51">
        <v>2022</v>
      </c>
    </row>
    <row r="1155" spans="1:11" ht="14.4" customHeight="1" x14ac:dyDescent="0.25">
      <c r="A1155" s="8" t="s">
        <v>17</v>
      </c>
      <c r="B1155" s="29"/>
      <c r="C1155" s="29"/>
      <c r="D1155" s="29">
        <v>113.66</v>
      </c>
      <c r="E1155" s="29">
        <v>136.46</v>
      </c>
      <c r="F1155" s="29">
        <v>160</v>
      </c>
      <c r="G1155" s="29">
        <v>184</v>
      </c>
      <c r="H1155" s="23">
        <v>200</v>
      </c>
      <c r="I1155" s="23">
        <v>200</v>
      </c>
      <c r="J1155" s="23">
        <v>200</v>
      </c>
      <c r="K1155" s="23">
        <v>221</v>
      </c>
    </row>
    <row r="1156" spans="1:11" ht="14.4" customHeight="1" x14ac:dyDescent="0.25">
      <c r="A1156" s="8" t="s">
        <v>18</v>
      </c>
      <c r="B1156" s="29"/>
      <c r="C1156" s="29"/>
      <c r="D1156" s="29">
        <v>163.66</v>
      </c>
      <c r="E1156" s="29">
        <v>181.46</v>
      </c>
      <c r="F1156" s="29">
        <v>210</v>
      </c>
      <c r="G1156" s="29">
        <v>234</v>
      </c>
      <c r="H1156" s="23">
        <v>251.57</v>
      </c>
      <c r="I1156" s="23">
        <f>I1155+50+H1159</f>
        <v>254.29999999999998</v>
      </c>
      <c r="J1156" s="23">
        <f>J1155+50+10</f>
        <v>260</v>
      </c>
      <c r="K1156" s="23">
        <f>K1155+50+J1159</f>
        <v>278.72399999999999</v>
      </c>
    </row>
    <row r="1157" spans="1:11" ht="14.4" customHeight="1" x14ac:dyDescent="0.25">
      <c r="A1157" s="8" t="s">
        <v>19</v>
      </c>
      <c r="B1157" s="27"/>
      <c r="C1157" s="27"/>
      <c r="D1157" s="12" t="s">
        <v>291</v>
      </c>
      <c r="E1157" s="12" t="s">
        <v>292</v>
      </c>
      <c r="F1157" s="12" t="s">
        <v>293</v>
      </c>
      <c r="G1157" s="12" t="s">
        <v>294</v>
      </c>
      <c r="H1157" s="22" t="s">
        <v>295</v>
      </c>
      <c r="I1157" s="22" t="s">
        <v>514</v>
      </c>
      <c r="J1157" s="22" t="s">
        <v>701</v>
      </c>
      <c r="K1157" s="22" t="s">
        <v>893</v>
      </c>
    </row>
    <row r="1158" spans="1:11" ht="14.4" customHeight="1" x14ac:dyDescent="0.25">
      <c r="A1158" s="8" t="s">
        <v>20</v>
      </c>
      <c r="B1158" s="29"/>
      <c r="C1158" s="29"/>
      <c r="D1158" s="29">
        <v>161.08000000000001</v>
      </c>
      <c r="E1158" s="29">
        <v>181.19</v>
      </c>
      <c r="F1158" s="29">
        <v>207.97</v>
      </c>
      <c r="G1158" s="29">
        <v>232.43299999999999</v>
      </c>
      <c r="H1158" s="23">
        <v>247.27</v>
      </c>
      <c r="I1158" s="23">
        <v>242.24</v>
      </c>
      <c r="J1158" s="23">
        <v>252.27600000000001</v>
      </c>
      <c r="K1158" s="23"/>
    </row>
    <row r="1159" spans="1:11" ht="14.4" customHeight="1" x14ac:dyDescent="0.25">
      <c r="A1159" s="8" t="s">
        <v>21</v>
      </c>
      <c r="B1159" s="29"/>
      <c r="C1159" s="29"/>
      <c r="D1159" s="29">
        <v>2.58</v>
      </c>
      <c r="E1159" s="29">
        <v>0.27</v>
      </c>
      <c r="F1159" s="29">
        <v>2.0299999999999998</v>
      </c>
      <c r="G1159" s="29">
        <v>1.5670000000000073</v>
      </c>
      <c r="H1159" s="23">
        <f>H1156-H1158</f>
        <v>4.2999999999999829</v>
      </c>
      <c r="I1159" s="23">
        <f>I1156-I1158</f>
        <v>12.059999999999974</v>
      </c>
      <c r="J1159" s="23">
        <f>J1156-J1158</f>
        <v>7.7239999999999895</v>
      </c>
      <c r="K1159" s="23"/>
    </row>
    <row r="1160" spans="1:11" ht="14.4" customHeight="1" x14ac:dyDescent="0.25">
      <c r="A1160" s="37" t="s">
        <v>22</v>
      </c>
      <c r="B1160" s="38"/>
      <c r="C1160" s="38"/>
      <c r="D1160" s="38"/>
      <c r="E1160" s="38"/>
      <c r="F1160" s="38"/>
      <c r="G1160" s="63">
        <v>2020</v>
      </c>
      <c r="H1160" s="57">
        <v>2021</v>
      </c>
      <c r="I1160" s="36">
        <v>2022</v>
      </c>
      <c r="J1160" s="36">
        <v>2023</v>
      </c>
      <c r="K1160" s="36">
        <v>2024</v>
      </c>
    </row>
    <row r="1161" spans="1:11" ht="14.4" customHeight="1" x14ac:dyDescent="0.25">
      <c r="A1161" s="37" t="s">
        <v>296</v>
      </c>
      <c r="B1161" s="44"/>
      <c r="C1161" s="44"/>
      <c r="D1161" s="44"/>
      <c r="E1161" s="44"/>
      <c r="F1161" s="44"/>
      <c r="G1161" s="44"/>
      <c r="H1161" s="30"/>
      <c r="I1161" s="30"/>
      <c r="J1161" s="30"/>
      <c r="K1161" s="31"/>
    </row>
    <row r="1162" spans="1:11" ht="14.4" customHeight="1" x14ac:dyDescent="0.25">
      <c r="A1162" s="17" t="s">
        <v>297</v>
      </c>
      <c r="B1162" s="7"/>
      <c r="C1162" s="7"/>
      <c r="D1162" s="7"/>
      <c r="E1162" s="7"/>
      <c r="F1162" s="7"/>
      <c r="G1162" s="7"/>
      <c r="K1162" s="21"/>
    </row>
    <row r="1163" spans="1:11" ht="14.4" customHeight="1" x14ac:dyDescent="0.25">
      <c r="A1163" s="17" t="s">
        <v>298</v>
      </c>
      <c r="B1163" s="7"/>
      <c r="C1163" s="7"/>
      <c r="D1163" s="7"/>
      <c r="E1163" s="7"/>
      <c r="F1163" s="7"/>
      <c r="G1163" s="7"/>
      <c r="K1163" s="21"/>
    </row>
    <row r="1164" spans="1:11" ht="14.4" customHeight="1" x14ac:dyDescent="0.25">
      <c r="A1164" s="17" t="s">
        <v>299</v>
      </c>
      <c r="B1164" s="7"/>
      <c r="C1164" s="7"/>
      <c r="D1164" s="7"/>
      <c r="E1164" s="7"/>
      <c r="F1164" s="7"/>
      <c r="G1164" s="7"/>
      <c r="K1164" s="21"/>
    </row>
    <row r="1165" spans="1:11" ht="14.4" customHeight="1" x14ac:dyDescent="0.25">
      <c r="A1165" s="17" t="s">
        <v>513</v>
      </c>
      <c r="B1165" s="7"/>
      <c r="C1165" s="7"/>
      <c r="D1165" s="7"/>
      <c r="E1165" s="7"/>
      <c r="F1165" s="7"/>
      <c r="G1165" s="7"/>
      <c r="K1165" s="21"/>
    </row>
    <row r="1166" spans="1:11" ht="14.4" customHeight="1" x14ac:dyDescent="0.25">
      <c r="A1166" s="17" t="s">
        <v>700</v>
      </c>
      <c r="B1166" s="7"/>
      <c r="C1166" s="7"/>
      <c r="D1166" s="7"/>
      <c r="E1166" s="7"/>
      <c r="F1166" s="7"/>
      <c r="G1166" s="7"/>
      <c r="K1166" s="21"/>
    </row>
    <row r="1167" spans="1:11" ht="14.4" customHeight="1" x14ac:dyDescent="0.25">
      <c r="A1167" s="17" t="s">
        <v>891</v>
      </c>
      <c r="B1167" s="7"/>
      <c r="C1167" s="7"/>
      <c r="D1167" s="7"/>
      <c r="E1167" s="7"/>
      <c r="F1167" s="7"/>
      <c r="G1167" s="7"/>
      <c r="K1167" s="21"/>
    </row>
    <row r="1168" spans="1:11" ht="14.4" customHeight="1" x14ac:dyDescent="0.25">
      <c r="A1168" s="14" t="s">
        <v>892</v>
      </c>
      <c r="B1168" s="15"/>
      <c r="C1168" s="15"/>
      <c r="D1168" s="15"/>
      <c r="E1168" s="15"/>
      <c r="F1168" s="15"/>
      <c r="G1168" s="15"/>
      <c r="H1168" s="33"/>
      <c r="I1168" s="33"/>
      <c r="J1168" s="33"/>
      <c r="K1168" s="34"/>
    </row>
    <row r="1169" spans="1:11" ht="14.4" customHeight="1" x14ac:dyDescent="0.25">
      <c r="A1169" s="35"/>
      <c r="B1169" s="35"/>
      <c r="C1169" s="35"/>
      <c r="D1169" s="35"/>
      <c r="E1169" s="35"/>
      <c r="F1169" s="35"/>
      <c r="G1169" s="35"/>
      <c r="H1169" s="35"/>
    </row>
    <row r="1170" spans="1:11" x14ac:dyDescent="0.25">
      <c r="A1170" s="251" t="s">
        <v>203</v>
      </c>
      <c r="B1170" s="252" t="s">
        <v>66</v>
      </c>
      <c r="C1170" s="252" t="s">
        <v>152</v>
      </c>
      <c r="D1170" s="254"/>
      <c r="E1170" s="254"/>
      <c r="F1170" s="254"/>
      <c r="G1170" s="254"/>
      <c r="H1170" s="222"/>
      <c r="I1170" s="222"/>
      <c r="J1170" s="222"/>
    </row>
    <row r="1171" spans="1:11" x14ac:dyDescent="0.25">
      <c r="A1171" s="323" t="s">
        <v>16</v>
      </c>
      <c r="B1171" s="343">
        <v>2014</v>
      </c>
      <c r="C1171" s="339">
        <v>2015</v>
      </c>
      <c r="D1171" s="339">
        <v>2016</v>
      </c>
      <c r="E1171" s="339">
        <v>2017</v>
      </c>
      <c r="F1171" s="339">
        <v>2018</v>
      </c>
      <c r="G1171" s="339">
        <v>2019</v>
      </c>
      <c r="H1171" s="213">
        <v>2020</v>
      </c>
      <c r="I1171" s="213">
        <v>2021</v>
      </c>
      <c r="J1171" s="213">
        <v>2022</v>
      </c>
      <c r="K1171" s="213">
        <v>2023</v>
      </c>
    </row>
    <row r="1172" spans="1:11" x14ac:dyDescent="0.25">
      <c r="A1172" s="255" t="s">
        <v>17</v>
      </c>
      <c r="B1172" s="327">
        <v>1983</v>
      </c>
      <c r="C1172" s="327">
        <v>1983</v>
      </c>
      <c r="D1172" s="327">
        <v>1486</v>
      </c>
      <c r="E1172" s="327">
        <v>1486</v>
      </c>
      <c r="F1172" s="327">
        <v>1486</v>
      </c>
      <c r="G1172" s="327">
        <v>1486</v>
      </c>
      <c r="H1172" s="216">
        <v>1000</v>
      </c>
      <c r="I1172" s="216">
        <v>984</v>
      </c>
      <c r="J1172" s="216">
        <v>992</v>
      </c>
      <c r="K1172" s="216">
        <v>992</v>
      </c>
    </row>
    <row r="1173" spans="1:11" x14ac:dyDescent="0.25">
      <c r="A1173" s="255" t="s">
        <v>18</v>
      </c>
      <c r="B1173" s="327">
        <v>2557.9</v>
      </c>
      <c r="C1173" s="327">
        <v>2557.9</v>
      </c>
      <c r="D1173" s="327">
        <v>2080.9</v>
      </c>
      <c r="E1173" s="327">
        <v>1708.9</v>
      </c>
      <c r="F1173" s="327">
        <v>1485.9</v>
      </c>
      <c r="G1173" s="327">
        <v>1485.9</v>
      </c>
      <c r="H1173" s="216">
        <f>H1172+F1172*0.15-223</f>
        <v>999.90000000000009</v>
      </c>
      <c r="I1173" s="216">
        <f>I1172-223+G1172*0.1</f>
        <v>909.6</v>
      </c>
      <c r="J1173" s="216">
        <f>J1172-223+H1172*0.1</f>
        <v>869</v>
      </c>
      <c r="K1173" s="216">
        <f>K1172+0.1*I1172-223</f>
        <v>867.40000000000009</v>
      </c>
    </row>
    <row r="1174" spans="1:11" ht="28.95" customHeight="1" x14ac:dyDescent="0.25">
      <c r="A1174" s="255" t="s">
        <v>19</v>
      </c>
      <c r="B1174" s="330" t="s">
        <v>145</v>
      </c>
      <c r="C1174" s="330" t="s">
        <v>145</v>
      </c>
      <c r="D1174" s="330" t="s">
        <v>146</v>
      </c>
      <c r="E1174" s="330" t="s">
        <v>147</v>
      </c>
      <c r="F1174" s="330" t="s">
        <v>215</v>
      </c>
      <c r="G1174" s="330" t="s">
        <v>216</v>
      </c>
      <c r="H1174" s="244" t="s">
        <v>516</v>
      </c>
      <c r="I1174" s="244" t="s">
        <v>702</v>
      </c>
      <c r="J1174" s="244" t="s">
        <v>703</v>
      </c>
      <c r="K1174" s="244" t="s">
        <v>896</v>
      </c>
    </row>
    <row r="1175" spans="1:11" x14ac:dyDescent="0.25">
      <c r="A1175" s="255" t="s">
        <v>20</v>
      </c>
      <c r="B1175" s="327">
        <v>1038.83</v>
      </c>
      <c r="C1175" s="327">
        <v>670.7</v>
      </c>
      <c r="D1175" s="327">
        <v>561.97</v>
      </c>
      <c r="E1175" s="327">
        <v>432.09</v>
      </c>
      <c r="F1175" s="327">
        <v>662.7</v>
      </c>
      <c r="G1175" s="327">
        <v>539.84</v>
      </c>
      <c r="H1175" s="216">
        <v>587.15</v>
      </c>
      <c r="I1175" s="216">
        <v>674.38</v>
      </c>
      <c r="J1175" s="216">
        <v>763.45</v>
      </c>
      <c r="K1175" s="216"/>
    </row>
    <row r="1176" spans="1:11" x14ac:dyDescent="0.25">
      <c r="A1176" s="255" t="s">
        <v>21</v>
      </c>
      <c r="B1176" s="327">
        <v>1519.07</v>
      </c>
      <c r="C1176" s="327">
        <v>1887.2</v>
      </c>
      <c r="D1176" s="327">
        <v>1518.93</v>
      </c>
      <c r="E1176" s="327">
        <v>1276.8100000000002</v>
      </c>
      <c r="F1176" s="327">
        <v>823.2</v>
      </c>
      <c r="G1176" s="327">
        <f>G1173-G1175</f>
        <v>946.06000000000006</v>
      </c>
      <c r="H1176" s="216">
        <f>H1173-H1175</f>
        <v>412.75000000000011</v>
      </c>
      <c r="I1176" s="216">
        <f>I1173-I1175</f>
        <v>235.22000000000003</v>
      </c>
      <c r="J1176" s="216">
        <f>J1173-J1175</f>
        <v>105.54999999999995</v>
      </c>
      <c r="K1176" s="216"/>
    </row>
    <row r="1177" spans="1:11" x14ac:dyDescent="0.25">
      <c r="A1177" s="258" t="s">
        <v>22</v>
      </c>
      <c r="B1177" s="332">
        <v>2016</v>
      </c>
      <c r="C1177" s="332">
        <v>2017</v>
      </c>
      <c r="D1177" s="332">
        <v>2018</v>
      </c>
      <c r="E1177" s="332">
        <v>2019</v>
      </c>
      <c r="F1177" s="332">
        <v>2020</v>
      </c>
      <c r="G1177" s="332">
        <v>2021</v>
      </c>
      <c r="H1177" s="245">
        <v>2022</v>
      </c>
      <c r="I1177" s="245">
        <v>2023</v>
      </c>
      <c r="J1177" s="245">
        <v>2024</v>
      </c>
      <c r="K1177" s="245">
        <v>2025</v>
      </c>
    </row>
    <row r="1178" spans="1:11" x14ac:dyDescent="0.25">
      <c r="A1178" s="258" t="s">
        <v>589</v>
      </c>
      <c r="B1178" s="423"/>
      <c r="C1178" s="423"/>
      <c r="D1178" s="423"/>
      <c r="E1178" s="423"/>
      <c r="F1178" s="423"/>
      <c r="G1178" s="423"/>
      <c r="H1178" s="282"/>
      <c r="I1178" s="282"/>
      <c r="J1178" s="282"/>
      <c r="K1178" s="246"/>
    </row>
    <row r="1179" spans="1:11" x14ac:dyDescent="0.25">
      <c r="A1179" s="424" t="s">
        <v>289</v>
      </c>
      <c r="B1179" s="254"/>
      <c r="C1179" s="254"/>
      <c r="D1179" s="254"/>
      <c r="E1179" s="254"/>
      <c r="F1179" s="254"/>
      <c r="G1179" s="254"/>
      <c r="H1179" s="222"/>
      <c r="I1179" s="222"/>
      <c r="J1179" s="222"/>
      <c r="K1179" s="223"/>
    </row>
    <row r="1180" spans="1:11" x14ac:dyDescent="0.25">
      <c r="A1180" s="424" t="s">
        <v>290</v>
      </c>
      <c r="B1180" s="254"/>
      <c r="C1180" s="254"/>
      <c r="D1180" s="254"/>
      <c r="E1180" s="254"/>
      <c r="F1180" s="254"/>
      <c r="G1180" s="254"/>
      <c r="H1180" s="222"/>
      <c r="I1180" s="222"/>
      <c r="J1180" s="222"/>
      <c r="K1180" s="223"/>
    </row>
    <row r="1181" spans="1:11" x14ac:dyDescent="0.25">
      <c r="A1181" s="424" t="s">
        <v>517</v>
      </c>
      <c r="B1181" s="254"/>
      <c r="C1181" s="254"/>
      <c r="D1181" s="254"/>
      <c r="E1181" s="254"/>
      <c r="F1181" s="254"/>
      <c r="G1181" s="254"/>
      <c r="H1181" s="222"/>
      <c r="I1181" s="222"/>
      <c r="J1181" s="222"/>
      <c r="K1181" s="223"/>
    </row>
    <row r="1182" spans="1:11" x14ac:dyDescent="0.25">
      <c r="A1182" s="424" t="s">
        <v>148</v>
      </c>
      <c r="B1182" s="254"/>
      <c r="C1182" s="254"/>
      <c r="D1182" s="254"/>
      <c r="E1182" s="254"/>
      <c r="F1182" s="254"/>
      <c r="G1182" s="254"/>
      <c r="H1182" s="222"/>
      <c r="I1182" s="222"/>
      <c r="J1182" s="222"/>
      <c r="K1182" s="223"/>
    </row>
    <row r="1183" spans="1:11" x14ac:dyDescent="0.25">
      <c r="A1183" s="424" t="s">
        <v>515</v>
      </c>
      <c r="B1183" s="254"/>
      <c r="C1183" s="254"/>
      <c r="D1183" s="254"/>
      <c r="E1183" s="254"/>
      <c r="F1183" s="254"/>
      <c r="G1183" s="254"/>
      <c r="H1183" s="222"/>
      <c r="I1183" s="222"/>
      <c r="J1183" s="222"/>
      <c r="K1183" s="223"/>
    </row>
    <row r="1184" spans="1:11" x14ac:dyDescent="0.25">
      <c r="A1184" s="424" t="s">
        <v>704</v>
      </c>
      <c r="B1184" s="254"/>
      <c r="C1184" s="254"/>
      <c r="D1184" s="254"/>
      <c r="E1184" s="254"/>
      <c r="F1184" s="254"/>
      <c r="G1184" s="254"/>
      <c r="H1184" s="222"/>
      <c r="I1184" s="222"/>
      <c r="J1184" s="222"/>
      <c r="K1184" s="223"/>
    </row>
    <row r="1185" spans="1:11" x14ac:dyDescent="0.25">
      <c r="A1185" s="424" t="s">
        <v>894</v>
      </c>
      <c r="B1185" s="254"/>
      <c r="C1185" s="254"/>
      <c r="D1185" s="254"/>
      <c r="E1185" s="254"/>
      <c r="F1185" s="254"/>
      <c r="G1185" s="254"/>
      <c r="H1185" s="222"/>
      <c r="I1185" s="222"/>
      <c r="J1185" s="222"/>
      <c r="K1185" s="223"/>
    </row>
    <row r="1186" spans="1:11" x14ac:dyDescent="0.25">
      <c r="A1186" s="323" t="s">
        <v>895</v>
      </c>
      <c r="B1186" s="406"/>
      <c r="C1186" s="406"/>
      <c r="D1186" s="406"/>
      <c r="E1186" s="406"/>
      <c r="F1186" s="406"/>
      <c r="G1186" s="406"/>
      <c r="H1186" s="224"/>
      <c r="I1186" s="224"/>
      <c r="J1186" s="224"/>
      <c r="K1186" s="225"/>
    </row>
    <row r="1187" spans="1:11" x14ac:dyDescent="0.25">
      <c r="A1187" s="7"/>
      <c r="B1187" s="7"/>
      <c r="C1187" s="7"/>
      <c r="D1187" s="7"/>
      <c r="E1187" s="7"/>
      <c r="F1187" s="7"/>
      <c r="G1187" s="7"/>
    </row>
    <row r="1188" spans="1:11" x14ac:dyDescent="0.25">
      <c r="A1188" s="132"/>
      <c r="C1188" s="134"/>
    </row>
    <row r="1189" spans="1:11" x14ac:dyDescent="0.25">
      <c r="A1189" s="16" t="s">
        <v>203</v>
      </c>
      <c r="B1189" s="13" t="s">
        <v>74</v>
      </c>
      <c r="C1189" s="13" t="s">
        <v>152</v>
      </c>
      <c r="D1189" s="7"/>
      <c r="E1189" s="7"/>
      <c r="F1189" s="7"/>
      <c r="G1189" s="7"/>
    </row>
    <row r="1190" spans="1:11" x14ac:dyDescent="0.25">
      <c r="A1190" s="14" t="s">
        <v>16</v>
      </c>
      <c r="B1190" s="104">
        <v>2014</v>
      </c>
      <c r="C1190" s="77">
        <v>2015</v>
      </c>
      <c r="D1190" s="77">
        <v>2016</v>
      </c>
      <c r="E1190" s="77">
        <v>2017</v>
      </c>
      <c r="F1190" s="77">
        <v>2018</v>
      </c>
      <c r="G1190" s="77">
        <v>2019</v>
      </c>
      <c r="H1190" s="51">
        <v>2020</v>
      </c>
      <c r="I1190" s="51">
        <v>2021</v>
      </c>
      <c r="J1190" s="51">
        <v>2022</v>
      </c>
      <c r="K1190" s="51">
        <v>2023</v>
      </c>
    </row>
    <row r="1191" spans="1:11" x14ac:dyDescent="0.25">
      <c r="A1191" s="8" t="s">
        <v>17</v>
      </c>
      <c r="B1191" s="29">
        <v>35</v>
      </c>
      <c r="C1191" s="29">
        <v>35</v>
      </c>
      <c r="D1191" s="29">
        <v>35</v>
      </c>
      <c r="E1191" s="29">
        <v>35</v>
      </c>
      <c r="F1191" s="29">
        <v>35</v>
      </c>
      <c r="G1191" s="29">
        <v>35</v>
      </c>
      <c r="H1191" s="23">
        <v>29.4</v>
      </c>
      <c r="I1191" s="23">
        <v>29.4</v>
      </c>
      <c r="J1191" s="23">
        <v>29.4</v>
      </c>
      <c r="K1191" s="23">
        <v>29.4</v>
      </c>
    </row>
    <row r="1192" spans="1:11" x14ac:dyDescent="0.25">
      <c r="A1192" s="8" t="s">
        <v>18</v>
      </c>
      <c r="B1192" s="29">
        <v>35</v>
      </c>
      <c r="C1192" s="29">
        <v>42</v>
      </c>
      <c r="D1192" s="29">
        <v>42</v>
      </c>
      <c r="E1192" s="29">
        <v>42</v>
      </c>
      <c r="F1192" s="29">
        <v>42</v>
      </c>
      <c r="G1192" s="29">
        <v>42</v>
      </c>
      <c r="H1192" s="23">
        <v>36.4</v>
      </c>
      <c r="I1192" s="23">
        <v>36.4</v>
      </c>
      <c r="J1192" s="23"/>
      <c r="K1192" s="23"/>
    </row>
    <row r="1193" spans="1:11" x14ac:dyDescent="0.25">
      <c r="A1193" s="8" t="s">
        <v>19</v>
      </c>
      <c r="B1193" s="96" t="s">
        <v>136</v>
      </c>
      <c r="C1193" s="97" t="s">
        <v>149</v>
      </c>
      <c r="D1193" s="97" t="s">
        <v>149</v>
      </c>
      <c r="E1193" s="97" t="s">
        <v>149</v>
      </c>
      <c r="F1193" s="97" t="s">
        <v>149</v>
      </c>
      <c r="G1193" s="97" t="s">
        <v>149</v>
      </c>
      <c r="H1193" s="87" t="s">
        <v>300</v>
      </c>
      <c r="I1193" s="87" t="s">
        <v>300</v>
      </c>
      <c r="J1193" s="87"/>
      <c r="K1193" s="87"/>
    </row>
    <row r="1194" spans="1:11" x14ac:dyDescent="0.25">
      <c r="A1194" s="8" t="s">
        <v>20</v>
      </c>
      <c r="B1194" s="29">
        <v>9.7799999999999994</v>
      </c>
      <c r="C1194" s="29">
        <v>3.07</v>
      </c>
      <c r="D1194" s="29">
        <v>26.19</v>
      </c>
      <c r="E1194" s="29">
        <v>25.13</v>
      </c>
      <c r="F1194" s="29">
        <v>24.55</v>
      </c>
      <c r="G1194" s="29">
        <v>12.91</v>
      </c>
      <c r="H1194" s="23">
        <v>20.36</v>
      </c>
      <c r="I1194" s="23">
        <v>11.52</v>
      </c>
      <c r="J1194" s="23">
        <v>10.3</v>
      </c>
      <c r="K1194" s="23"/>
    </row>
    <row r="1195" spans="1:11" x14ac:dyDescent="0.25">
      <c r="A1195" s="8" t="s">
        <v>21</v>
      </c>
      <c r="B1195" s="29">
        <v>25.22</v>
      </c>
      <c r="C1195" s="29">
        <v>38.93</v>
      </c>
      <c r="D1195" s="29">
        <v>15.81</v>
      </c>
      <c r="E1195" s="29">
        <v>16.87</v>
      </c>
      <c r="F1195" s="29">
        <v>17.45</v>
      </c>
      <c r="G1195" s="29">
        <f>G1192-G1194</f>
        <v>29.09</v>
      </c>
      <c r="H1195" s="23">
        <f>H1192-H1194</f>
        <v>16.04</v>
      </c>
      <c r="I1195" s="23">
        <f>I1192-I1194</f>
        <v>24.88</v>
      </c>
      <c r="J1195" s="23">
        <f>J1191-J1194</f>
        <v>19.099999999999998</v>
      </c>
      <c r="K1195" s="23"/>
    </row>
    <row r="1196" spans="1:11" x14ac:dyDescent="0.25">
      <c r="A1196" s="37" t="s">
        <v>22</v>
      </c>
      <c r="B1196" s="63">
        <v>2016</v>
      </c>
      <c r="C1196" s="63">
        <v>2017</v>
      </c>
      <c r="D1196" s="63">
        <v>2018</v>
      </c>
      <c r="E1196" s="63">
        <v>2019</v>
      </c>
      <c r="F1196" s="63">
        <v>2020</v>
      </c>
      <c r="G1196" s="63">
        <v>2021</v>
      </c>
      <c r="H1196" s="63"/>
      <c r="I1196" s="63"/>
      <c r="J1196" s="63"/>
      <c r="K1196" s="63"/>
    </row>
    <row r="1197" spans="1:11" x14ac:dyDescent="0.25">
      <c r="A1197" s="37" t="s">
        <v>150</v>
      </c>
      <c r="B1197" s="95"/>
      <c r="C1197" s="95"/>
      <c r="D1197" s="95"/>
      <c r="E1197" s="95"/>
      <c r="F1197" s="95"/>
      <c r="G1197" s="95"/>
      <c r="H1197" s="95"/>
      <c r="I1197" s="95"/>
      <c r="J1197" s="95"/>
      <c r="K1197" s="65"/>
    </row>
    <row r="1198" spans="1:11" x14ac:dyDescent="0.25">
      <c r="A1198" s="17" t="s">
        <v>590</v>
      </c>
      <c r="B1198" s="534"/>
      <c r="C1198" s="534"/>
      <c r="D1198" s="534"/>
      <c r="E1198" s="534"/>
      <c r="F1198" s="534"/>
      <c r="G1198" s="534"/>
      <c r="H1198" s="534"/>
      <c r="I1198" s="534"/>
      <c r="J1198" s="534"/>
      <c r="K1198" s="111"/>
    </row>
    <row r="1199" spans="1:11" x14ac:dyDescent="0.25">
      <c r="A1199" s="98" t="s">
        <v>518</v>
      </c>
      <c r="B1199" s="99"/>
      <c r="C1199" s="99"/>
      <c r="D1199" s="99"/>
      <c r="E1199" s="99"/>
      <c r="F1199" s="99"/>
      <c r="G1199" s="99"/>
      <c r="H1199" s="99"/>
      <c r="I1199" s="99"/>
      <c r="J1199" s="99"/>
      <c r="K1199" s="100"/>
    </row>
    <row r="1200" spans="1:11" x14ac:dyDescent="0.25">
      <c r="A1200" s="132"/>
      <c r="C1200" s="134"/>
    </row>
    <row r="1201" spans="1:11" x14ac:dyDescent="0.25">
      <c r="A1201" s="16" t="s">
        <v>14</v>
      </c>
      <c r="B1201" s="13" t="s">
        <v>79</v>
      </c>
      <c r="C1201" s="13" t="s">
        <v>152</v>
      </c>
      <c r="D1201" s="7"/>
      <c r="E1201" s="7"/>
      <c r="F1201" s="7"/>
      <c r="G1201" s="7"/>
    </row>
    <row r="1202" spans="1:11" x14ac:dyDescent="0.25">
      <c r="A1202" s="14" t="s">
        <v>16</v>
      </c>
      <c r="B1202" s="104">
        <v>2014</v>
      </c>
      <c r="C1202" s="77">
        <v>2015</v>
      </c>
      <c r="D1202" s="77">
        <v>2016</v>
      </c>
      <c r="E1202" s="77">
        <v>2017</v>
      </c>
      <c r="F1202" s="77">
        <v>2018</v>
      </c>
      <c r="G1202" s="77">
        <v>2019</v>
      </c>
      <c r="H1202" s="51">
        <v>2020</v>
      </c>
      <c r="I1202" s="51">
        <v>2021</v>
      </c>
      <c r="J1202" s="51">
        <v>2022</v>
      </c>
      <c r="K1202" s="51">
        <v>2023</v>
      </c>
    </row>
    <row r="1203" spans="1:11" x14ac:dyDescent="0.25">
      <c r="A1203" s="8" t="s">
        <v>17</v>
      </c>
      <c r="B1203" s="29">
        <v>20</v>
      </c>
      <c r="C1203" s="29">
        <v>20</v>
      </c>
      <c r="D1203" s="29">
        <v>20</v>
      </c>
      <c r="E1203" s="29">
        <v>20</v>
      </c>
      <c r="F1203" s="29">
        <v>20</v>
      </c>
      <c r="G1203" s="29">
        <v>20</v>
      </c>
      <c r="H1203" s="29">
        <v>20</v>
      </c>
      <c r="I1203" s="29">
        <v>20</v>
      </c>
      <c r="J1203" s="29">
        <v>20</v>
      </c>
      <c r="K1203" s="29">
        <v>20</v>
      </c>
    </row>
    <row r="1204" spans="1:11" x14ac:dyDescent="0.25">
      <c r="A1204" s="8" t="s">
        <v>18</v>
      </c>
      <c r="B1204" s="29">
        <v>20</v>
      </c>
      <c r="C1204" s="29">
        <v>24</v>
      </c>
      <c r="D1204" s="29">
        <v>24</v>
      </c>
      <c r="E1204" s="29">
        <v>24</v>
      </c>
      <c r="F1204" s="29">
        <v>24</v>
      </c>
      <c r="G1204" s="29">
        <v>24</v>
      </c>
      <c r="H1204" s="29">
        <v>24</v>
      </c>
      <c r="I1204" s="29">
        <v>24</v>
      </c>
      <c r="J1204" s="29"/>
      <c r="K1204" s="29"/>
    </row>
    <row r="1205" spans="1:11" x14ac:dyDescent="0.25">
      <c r="A1205" s="8" t="s">
        <v>19</v>
      </c>
      <c r="B1205" s="96" t="s">
        <v>136</v>
      </c>
      <c r="C1205" s="96" t="s">
        <v>151</v>
      </c>
      <c r="D1205" s="96" t="s">
        <v>151</v>
      </c>
      <c r="E1205" s="96" t="s">
        <v>151</v>
      </c>
      <c r="F1205" s="96" t="s">
        <v>151</v>
      </c>
      <c r="G1205" s="96" t="s">
        <v>151</v>
      </c>
      <c r="H1205" s="96" t="s">
        <v>151</v>
      </c>
      <c r="I1205" s="96" t="s">
        <v>151</v>
      </c>
      <c r="J1205" s="96"/>
      <c r="K1205" s="96"/>
    </row>
    <row r="1206" spans="1:11" x14ac:dyDescent="0.25">
      <c r="A1206" s="8" t="s">
        <v>20</v>
      </c>
      <c r="B1206" s="29">
        <v>0.15</v>
      </c>
      <c r="C1206" s="29">
        <v>0</v>
      </c>
      <c r="D1206" s="29">
        <v>0</v>
      </c>
      <c r="E1206" s="29">
        <v>0.14000000000000001</v>
      </c>
      <c r="F1206" s="29">
        <v>0</v>
      </c>
      <c r="G1206" s="29">
        <v>0</v>
      </c>
      <c r="H1206" s="23">
        <v>0</v>
      </c>
      <c r="I1206" s="23">
        <v>0</v>
      </c>
      <c r="J1206" s="23">
        <v>0</v>
      </c>
      <c r="K1206" s="23"/>
    </row>
    <row r="1207" spans="1:11" x14ac:dyDescent="0.25">
      <c r="A1207" s="8" t="s">
        <v>21</v>
      </c>
      <c r="B1207" s="29">
        <v>19.850000000000001</v>
      </c>
      <c r="C1207" s="29">
        <v>24</v>
      </c>
      <c r="D1207" s="29">
        <v>24</v>
      </c>
      <c r="E1207" s="29">
        <v>23.86</v>
      </c>
      <c r="F1207" s="29">
        <v>24</v>
      </c>
      <c r="G1207" s="29">
        <f>G1204-G1206</f>
        <v>24</v>
      </c>
      <c r="H1207" s="29">
        <f>H1204-H1206</f>
        <v>24</v>
      </c>
      <c r="I1207" s="23">
        <v>24</v>
      </c>
      <c r="J1207" s="23">
        <v>20</v>
      </c>
      <c r="K1207" s="23"/>
    </row>
    <row r="1208" spans="1:11" x14ac:dyDescent="0.25">
      <c r="A1208" s="37" t="s">
        <v>22</v>
      </c>
      <c r="B1208" s="63">
        <v>2016</v>
      </c>
      <c r="C1208" s="63">
        <v>2017</v>
      </c>
      <c r="D1208" s="63">
        <v>2018</v>
      </c>
      <c r="E1208" s="63">
        <v>2019</v>
      </c>
      <c r="F1208" s="63">
        <v>2020</v>
      </c>
      <c r="G1208" s="63">
        <v>2021</v>
      </c>
      <c r="H1208" s="63"/>
      <c r="I1208" s="63"/>
      <c r="J1208" s="63"/>
      <c r="K1208" s="63"/>
    </row>
    <row r="1209" spans="1:11" x14ac:dyDescent="0.25">
      <c r="A1209" s="37" t="s">
        <v>150</v>
      </c>
      <c r="B1209" s="95"/>
      <c r="C1209" s="95"/>
      <c r="D1209" s="95"/>
      <c r="E1209" s="95"/>
      <c r="F1209" s="95"/>
      <c r="G1209" s="95"/>
      <c r="H1209" s="95"/>
      <c r="I1209" s="95"/>
      <c r="J1209" s="95"/>
      <c r="K1209" s="65"/>
    </row>
    <row r="1210" spans="1:11" x14ac:dyDescent="0.25">
      <c r="A1210" s="98" t="s">
        <v>518</v>
      </c>
      <c r="B1210" s="99"/>
      <c r="C1210" s="99"/>
      <c r="D1210" s="99"/>
      <c r="E1210" s="99"/>
      <c r="F1210" s="99"/>
      <c r="G1210" s="99"/>
      <c r="H1210" s="99"/>
      <c r="I1210" s="99"/>
      <c r="J1210" s="99"/>
      <c r="K1210" s="100"/>
    </row>
    <row r="1211" spans="1:11" x14ac:dyDescent="0.25">
      <c r="A1211" s="132"/>
      <c r="C1211" s="134"/>
    </row>
    <row r="1212" spans="1:11" x14ac:dyDescent="0.25">
      <c r="A1212" s="132"/>
      <c r="C1212" s="134"/>
    </row>
    <row r="1213" spans="1:11" x14ac:dyDescent="0.25">
      <c r="A1213" s="115" t="s">
        <v>12</v>
      </c>
      <c r="B1213" s="553" t="s">
        <v>402</v>
      </c>
      <c r="C1213" s="222"/>
      <c r="D1213" s="222"/>
      <c r="E1213" s="222"/>
      <c r="F1213" s="222"/>
      <c r="G1213" s="222"/>
      <c r="H1213" s="222"/>
      <c r="I1213" s="222"/>
    </row>
    <row r="1214" spans="1:11" x14ac:dyDescent="0.25">
      <c r="A1214" s="72" t="s">
        <v>14</v>
      </c>
      <c r="B1214" s="365" t="s">
        <v>74</v>
      </c>
      <c r="C1214" s="276" t="s">
        <v>152</v>
      </c>
      <c r="D1214" s="222"/>
      <c r="E1214" s="222"/>
      <c r="F1214" s="222"/>
      <c r="G1214" s="222"/>
      <c r="H1214" s="222"/>
      <c r="I1214" s="222"/>
    </row>
    <row r="1215" spans="1:11" x14ac:dyDescent="0.25">
      <c r="A1215" s="32" t="s">
        <v>16</v>
      </c>
      <c r="B1215" s="345">
        <v>2016</v>
      </c>
      <c r="C1215" s="213">
        <v>2017</v>
      </c>
      <c r="D1215" s="213">
        <v>2018</v>
      </c>
      <c r="E1215" s="213">
        <v>2019</v>
      </c>
      <c r="F1215" s="213">
        <v>2020</v>
      </c>
      <c r="G1215" s="213">
        <v>2021</v>
      </c>
      <c r="H1215" s="213">
        <v>2022</v>
      </c>
      <c r="I1215" s="213">
        <v>2023</v>
      </c>
    </row>
    <row r="1216" spans="1:11" x14ac:dyDescent="0.25">
      <c r="A1216" s="46" t="s">
        <v>17</v>
      </c>
      <c r="B1216" s="216">
        <v>10</v>
      </c>
      <c r="C1216" s="216">
        <v>10</v>
      </c>
      <c r="D1216" s="216">
        <v>10</v>
      </c>
      <c r="E1216" s="216">
        <v>10</v>
      </c>
      <c r="F1216" s="216">
        <v>10</v>
      </c>
      <c r="G1216" s="216">
        <v>10</v>
      </c>
      <c r="H1216" s="216">
        <v>10</v>
      </c>
      <c r="I1216" s="216">
        <v>10</v>
      </c>
    </row>
    <row r="1217" spans="1:9" x14ac:dyDescent="0.25">
      <c r="A1217" s="46" t="s">
        <v>18</v>
      </c>
      <c r="B1217" s="216">
        <v>10</v>
      </c>
      <c r="C1217" s="216">
        <f>C1216+B1220</f>
        <v>-106.85</v>
      </c>
      <c r="D1217" s="216">
        <f t="shared" ref="D1217:F1217" si="46">D1216+C1220</f>
        <v>-107.18599999999999</v>
      </c>
      <c r="E1217" s="216">
        <f t="shared" si="46"/>
        <v>-97.965349999999987</v>
      </c>
      <c r="F1217" s="216">
        <f t="shared" si="46"/>
        <v>-89.945349999999991</v>
      </c>
      <c r="G1217" s="216">
        <f>F1220+G1216</f>
        <v>-81.765349999999984</v>
      </c>
      <c r="H1217" s="216">
        <f>G1220+H1216</f>
        <v>-73.615349999999978</v>
      </c>
      <c r="I1217" s="216">
        <f>H1220+I1216</f>
        <v>-63.615349999999978</v>
      </c>
    </row>
    <row r="1218" spans="1:9" x14ac:dyDescent="0.25">
      <c r="A1218" s="46" t="s">
        <v>19</v>
      </c>
      <c r="B1218" s="232"/>
      <c r="C1218" s="232" t="s">
        <v>403</v>
      </c>
      <c r="D1218" s="232" t="s">
        <v>404</v>
      </c>
      <c r="E1218" s="232" t="s">
        <v>405</v>
      </c>
      <c r="F1218" s="232" t="s">
        <v>406</v>
      </c>
      <c r="G1218" s="232" t="s">
        <v>575</v>
      </c>
      <c r="H1218" s="232" t="s">
        <v>618</v>
      </c>
      <c r="I1218" s="232" t="s">
        <v>639</v>
      </c>
    </row>
    <row r="1219" spans="1:9" x14ac:dyDescent="0.25">
      <c r="A1219" s="46" t="s">
        <v>20</v>
      </c>
      <c r="B1219" s="232">
        <v>126.85</v>
      </c>
      <c r="C1219" s="232">
        <v>10.336</v>
      </c>
      <c r="D1219" s="232">
        <v>0.77934999999999999</v>
      </c>
      <c r="E1219" s="232">
        <v>1.98</v>
      </c>
      <c r="F1219" s="232">
        <v>1.82</v>
      </c>
      <c r="G1219" s="232">
        <v>1.85</v>
      </c>
      <c r="H1219" s="232">
        <v>0</v>
      </c>
      <c r="I1219" s="232"/>
    </row>
    <row r="1220" spans="1:9" x14ac:dyDescent="0.25">
      <c r="A1220" s="46" t="s">
        <v>21</v>
      </c>
      <c r="B1220" s="216">
        <f>B1217-B1219</f>
        <v>-116.85</v>
      </c>
      <c r="C1220" s="216">
        <f>C1217-C1219</f>
        <v>-117.18599999999999</v>
      </c>
      <c r="D1220" s="216">
        <f t="shared" ref="D1220:E1220" si="47">D1217-D1219</f>
        <v>-107.96534999999999</v>
      </c>
      <c r="E1220" s="216">
        <f t="shared" si="47"/>
        <v>-99.945349999999991</v>
      </c>
      <c r="F1220" s="216">
        <f>F1217-F1219</f>
        <v>-91.765349999999984</v>
      </c>
      <c r="G1220" s="216">
        <f>G1217-G1219</f>
        <v>-83.615349999999978</v>
      </c>
      <c r="H1220" s="216">
        <f>H1217-H1219</f>
        <v>-73.615349999999978</v>
      </c>
      <c r="I1220" s="216"/>
    </row>
    <row r="1221" spans="1:9" x14ac:dyDescent="0.25">
      <c r="A1221" s="49" t="s">
        <v>22</v>
      </c>
      <c r="B1221" s="425">
        <v>2017</v>
      </c>
      <c r="C1221" s="425">
        <v>2018</v>
      </c>
      <c r="D1221" s="425">
        <v>2019</v>
      </c>
      <c r="E1221" s="425">
        <v>2020</v>
      </c>
      <c r="F1221" s="425">
        <v>2021</v>
      </c>
      <c r="G1221" s="425">
        <v>2022</v>
      </c>
      <c r="H1221" s="425">
        <v>2023</v>
      </c>
      <c r="I1221" s="425">
        <v>2023</v>
      </c>
    </row>
    <row r="1222" spans="1:9" x14ac:dyDescent="0.25">
      <c r="A1222" s="49" t="s">
        <v>179</v>
      </c>
      <c r="B1222" s="220"/>
      <c r="C1222" s="220"/>
      <c r="D1222" s="220"/>
      <c r="E1222" s="220"/>
      <c r="F1222" s="220"/>
      <c r="G1222" s="220"/>
      <c r="H1222" s="220"/>
      <c r="I1222" s="218"/>
    </row>
    <row r="1223" spans="1:9" x14ac:dyDescent="0.25">
      <c r="A1223" s="5" t="s">
        <v>407</v>
      </c>
      <c r="B1223" s="222"/>
      <c r="C1223" s="222"/>
      <c r="D1223" s="222"/>
      <c r="E1223" s="222"/>
      <c r="F1223" s="222"/>
      <c r="G1223" s="222"/>
      <c r="H1223" s="222"/>
      <c r="I1223" s="223"/>
    </row>
    <row r="1224" spans="1:9" x14ac:dyDescent="0.25">
      <c r="A1224" s="5" t="s">
        <v>408</v>
      </c>
      <c r="B1224" s="222"/>
      <c r="C1224" s="222"/>
      <c r="D1224" s="222"/>
      <c r="E1224" s="222"/>
      <c r="F1224" s="222"/>
      <c r="G1224" s="222"/>
      <c r="H1224" s="222"/>
      <c r="I1224" s="223"/>
    </row>
    <row r="1225" spans="1:9" x14ac:dyDescent="0.25">
      <c r="A1225" s="5" t="s">
        <v>409</v>
      </c>
      <c r="B1225" s="222"/>
      <c r="C1225" s="222"/>
      <c r="D1225" s="222"/>
      <c r="E1225" s="222"/>
      <c r="F1225" s="222"/>
      <c r="G1225" s="222"/>
      <c r="H1225" s="222"/>
      <c r="I1225" s="223"/>
    </row>
    <row r="1226" spans="1:9" x14ac:dyDescent="0.25">
      <c r="A1226" s="5" t="s">
        <v>574</v>
      </c>
      <c r="B1226" s="222"/>
      <c r="C1226" s="401"/>
      <c r="D1226" s="222"/>
      <c r="E1226" s="222"/>
      <c r="F1226" s="222"/>
      <c r="G1226" s="222"/>
      <c r="H1226" s="222"/>
      <c r="I1226" s="223"/>
    </row>
    <row r="1227" spans="1:9" x14ac:dyDescent="0.25">
      <c r="A1227" s="5" t="s">
        <v>576</v>
      </c>
      <c r="C1227" s="134"/>
      <c r="I1227" s="21"/>
    </row>
    <row r="1228" spans="1:9" x14ac:dyDescent="0.25">
      <c r="A1228" s="5" t="s">
        <v>619</v>
      </c>
      <c r="C1228" s="134"/>
      <c r="I1228" s="21"/>
    </row>
    <row r="1229" spans="1:9" x14ac:dyDescent="0.25">
      <c r="A1229" s="71" t="s">
        <v>909</v>
      </c>
      <c r="B1229" s="33"/>
      <c r="C1229" s="131"/>
      <c r="D1229" s="33"/>
      <c r="E1229" s="33"/>
      <c r="F1229" s="33"/>
      <c r="G1229" s="33"/>
      <c r="H1229" s="33"/>
      <c r="I1229" s="34"/>
    </row>
    <row r="1230" spans="1:9" x14ac:dyDescent="0.25">
      <c r="A1230" s="132"/>
      <c r="C1230" s="134"/>
    </row>
    <row r="1232" spans="1:9" x14ac:dyDescent="0.25">
      <c r="A1232" s="115" t="s">
        <v>11</v>
      </c>
      <c r="B1232" s="551" t="s">
        <v>0</v>
      </c>
    </row>
    <row r="1233" spans="1:9" s="183" customFormat="1" x14ac:dyDescent="0.25">
      <c r="A1233" s="91" t="s">
        <v>1</v>
      </c>
      <c r="B1233" s="55" t="s">
        <v>638</v>
      </c>
      <c r="C1233" s="40" t="s">
        <v>2</v>
      </c>
      <c r="D1233" s="19"/>
      <c r="E1233" s="19"/>
      <c r="F1233" s="19"/>
      <c r="G1233" s="19"/>
    </row>
    <row r="1234" spans="1:9" s="183" customFormat="1" x14ac:dyDescent="0.25">
      <c r="A1234" s="46" t="s">
        <v>3</v>
      </c>
      <c r="B1234" s="51">
        <v>2017</v>
      </c>
      <c r="C1234" s="51">
        <v>2018</v>
      </c>
      <c r="D1234" s="88">
        <v>2019</v>
      </c>
      <c r="E1234" s="51">
        <v>2020</v>
      </c>
      <c r="F1234" s="51">
        <v>2021</v>
      </c>
      <c r="G1234" s="51">
        <v>2022</v>
      </c>
      <c r="H1234" s="51">
        <v>2023</v>
      </c>
      <c r="I1234" s="51">
        <v>2024</v>
      </c>
    </row>
    <row r="1235" spans="1:9" s="183" customFormat="1" x14ac:dyDescent="0.25">
      <c r="A1235" s="46" t="s">
        <v>4</v>
      </c>
      <c r="B1235" s="47">
        <v>200</v>
      </c>
      <c r="C1235" s="47">
        <v>200</v>
      </c>
      <c r="D1235" s="89">
        <v>215</v>
      </c>
      <c r="E1235" s="47">
        <v>215</v>
      </c>
      <c r="F1235" s="90">
        <v>242</v>
      </c>
      <c r="G1235" s="90">
        <v>242</v>
      </c>
      <c r="H1235" s="90">
        <v>242</v>
      </c>
      <c r="I1235" s="90">
        <v>242</v>
      </c>
    </row>
    <row r="1236" spans="1:9" s="183" customFormat="1" x14ac:dyDescent="0.25">
      <c r="A1236" s="46" t="s">
        <v>5</v>
      </c>
      <c r="B1236" s="47">
        <v>250</v>
      </c>
      <c r="C1236" s="47">
        <v>250</v>
      </c>
      <c r="D1236" s="89">
        <v>265</v>
      </c>
      <c r="E1236" s="47">
        <v>265</v>
      </c>
      <c r="F1236" s="90">
        <f>F1235+0.25*D1235</f>
        <v>295.75</v>
      </c>
      <c r="G1236" s="90">
        <f>G1235+0.25*E1235</f>
        <v>295.75</v>
      </c>
      <c r="H1236" s="90">
        <f>H1235+0.25*F1235</f>
        <v>302.5</v>
      </c>
      <c r="I1236" s="90">
        <f>I1235+0.25*G1235</f>
        <v>302.5</v>
      </c>
    </row>
    <row r="1237" spans="1:9" s="183" customFormat="1" x14ac:dyDescent="0.25">
      <c r="A1237" s="46" t="s">
        <v>6</v>
      </c>
      <c r="B1237" s="47"/>
      <c r="C1237" s="47"/>
      <c r="D1237" s="47"/>
      <c r="E1237" s="47"/>
      <c r="F1237" s="90"/>
      <c r="G1237" s="90"/>
      <c r="H1237" s="90"/>
      <c r="I1237" s="90"/>
    </row>
    <row r="1238" spans="1:9" s="183" customFormat="1" x14ac:dyDescent="0.25">
      <c r="A1238" s="46" t="s">
        <v>7</v>
      </c>
      <c r="B1238" s="47">
        <v>20</v>
      </c>
      <c r="C1238" s="47">
        <v>20</v>
      </c>
      <c r="D1238" s="47">
        <v>25</v>
      </c>
      <c r="E1238" s="47">
        <v>29</v>
      </c>
      <c r="F1238" s="90">
        <v>40</v>
      </c>
      <c r="G1238" s="90">
        <v>60</v>
      </c>
      <c r="H1238" s="90"/>
      <c r="I1238" s="90"/>
    </row>
    <row r="1239" spans="1:9" s="183" customFormat="1" x14ac:dyDescent="0.25">
      <c r="A1239" s="46" t="s">
        <v>8</v>
      </c>
      <c r="B1239" s="47">
        <v>230</v>
      </c>
      <c r="C1239" s="47">
        <v>230</v>
      </c>
      <c r="D1239" s="47">
        <v>240</v>
      </c>
      <c r="E1239" s="47">
        <v>236</v>
      </c>
      <c r="F1239" s="90">
        <f>F1236-F1238</f>
        <v>255.75</v>
      </c>
      <c r="G1239" s="90">
        <f>G1236-G1238</f>
        <v>235.75</v>
      </c>
      <c r="H1239" s="90"/>
      <c r="I1239" s="90"/>
    </row>
    <row r="1240" spans="1:9" s="183" customFormat="1" x14ac:dyDescent="0.25">
      <c r="A1240" s="49" t="s">
        <v>9</v>
      </c>
      <c r="B1240" s="57">
        <v>2019</v>
      </c>
      <c r="C1240" s="57">
        <v>2020</v>
      </c>
      <c r="D1240" s="79">
        <v>2021</v>
      </c>
      <c r="E1240" s="57">
        <v>2022</v>
      </c>
      <c r="F1240" s="80">
        <v>2023</v>
      </c>
      <c r="G1240" s="80">
        <v>2024</v>
      </c>
      <c r="H1240" s="80">
        <v>2025</v>
      </c>
      <c r="I1240" s="80">
        <v>2026</v>
      </c>
    </row>
    <row r="1241" spans="1:9" s="183" customFormat="1" x14ac:dyDescent="0.25">
      <c r="A1241" s="46" t="s">
        <v>10</v>
      </c>
      <c r="B1241" s="58"/>
      <c r="C1241" s="58"/>
      <c r="D1241" s="58"/>
      <c r="E1241" s="58"/>
      <c r="F1241" s="58"/>
      <c r="G1241" s="58"/>
      <c r="H1241" s="509"/>
      <c r="I1241" s="210"/>
    </row>
    <row r="1242" spans="1:9" s="183" customFormat="1" x14ac:dyDescent="0.25">
      <c r="A1242" s="656" t="s">
        <v>768</v>
      </c>
      <c r="B1242" s="657"/>
      <c r="C1242" s="657"/>
      <c r="D1242" s="657"/>
      <c r="E1242" s="657"/>
      <c r="F1242" s="657"/>
      <c r="G1242" s="657"/>
      <c r="I1242" s="209"/>
    </row>
    <row r="1243" spans="1:9" s="183" customFormat="1" x14ac:dyDescent="0.25">
      <c r="A1243" s="656" t="s">
        <v>769</v>
      </c>
      <c r="B1243" s="657"/>
      <c r="C1243" s="657"/>
      <c r="D1243" s="657"/>
      <c r="E1243" s="657"/>
      <c r="F1243" s="657"/>
      <c r="G1243" s="657"/>
      <c r="I1243" s="209"/>
    </row>
    <row r="1244" spans="1:9" s="183" customFormat="1" x14ac:dyDescent="0.25">
      <c r="A1244" s="656" t="s">
        <v>770</v>
      </c>
      <c r="B1244" s="657"/>
      <c r="C1244" s="657"/>
      <c r="D1244" s="657"/>
      <c r="E1244" s="657"/>
      <c r="F1244" s="657"/>
      <c r="G1244" s="657"/>
      <c r="I1244" s="209"/>
    </row>
    <row r="1245" spans="1:9" x14ac:dyDescent="0.25">
      <c r="A1245" s="656" t="s">
        <v>771</v>
      </c>
      <c r="B1245" s="657"/>
      <c r="C1245" s="657"/>
      <c r="D1245" s="657"/>
      <c r="E1245" s="657"/>
      <c r="F1245" s="657"/>
      <c r="G1245" s="657"/>
      <c r="I1245" s="21"/>
    </row>
    <row r="1246" spans="1:9" x14ac:dyDescent="0.25">
      <c r="A1246" s="507" t="s">
        <v>767</v>
      </c>
      <c r="B1246" s="506"/>
      <c r="C1246" s="506"/>
      <c r="D1246" s="506"/>
      <c r="E1246" s="506"/>
      <c r="F1246" s="506"/>
      <c r="G1246" s="506"/>
      <c r="H1246" s="33"/>
      <c r="I1246" s="34"/>
    </row>
    <row r="1247" spans="1:9" x14ac:dyDescent="0.25">
      <c r="A1247" s="363"/>
      <c r="B1247" s="363"/>
      <c r="C1247" s="222"/>
      <c r="D1247" s="222"/>
      <c r="E1247" s="222"/>
      <c r="F1247" s="222"/>
      <c r="G1247" s="222"/>
      <c r="H1247" s="222"/>
    </row>
    <row r="1248" spans="1:9" x14ac:dyDescent="0.25">
      <c r="A1248" s="262" t="s">
        <v>1</v>
      </c>
      <c r="B1248" s="276" t="s">
        <v>637</v>
      </c>
      <c r="C1248" s="264" t="s">
        <v>2</v>
      </c>
      <c r="D1248" s="222"/>
      <c r="E1248" s="222"/>
      <c r="F1248" s="222"/>
      <c r="G1248" s="222"/>
      <c r="H1248" s="222"/>
    </row>
    <row r="1249" spans="1:9" x14ac:dyDescent="0.25">
      <c r="A1249" s="265" t="s">
        <v>3</v>
      </c>
      <c r="B1249" s="213">
        <v>2017</v>
      </c>
      <c r="C1249" s="213">
        <v>2018</v>
      </c>
      <c r="D1249" s="277">
        <v>2019</v>
      </c>
      <c r="E1249" s="213">
        <v>2020</v>
      </c>
      <c r="F1249" s="213">
        <v>2021</v>
      </c>
      <c r="G1249" s="213">
        <v>2022</v>
      </c>
      <c r="H1249" s="213">
        <v>2023</v>
      </c>
      <c r="I1249" s="213">
        <v>2024</v>
      </c>
    </row>
    <row r="1250" spans="1:9" x14ac:dyDescent="0.25">
      <c r="A1250" s="265" t="s">
        <v>4</v>
      </c>
      <c r="B1250" s="232">
        <v>850</v>
      </c>
      <c r="C1250" s="232">
        <v>850</v>
      </c>
      <c r="D1250" s="279">
        <v>850</v>
      </c>
      <c r="E1250" s="232">
        <v>850</v>
      </c>
      <c r="F1250" s="214">
        <v>850</v>
      </c>
      <c r="G1250" s="214">
        <v>850</v>
      </c>
      <c r="H1250" s="214">
        <v>850</v>
      </c>
      <c r="I1250" s="214" t="s">
        <v>772</v>
      </c>
    </row>
    <row r="1251" spans="1:9" x14ac:dyDescent="0.25">
      <c r="A1251" s="265" t="s">
        <v>5</v>
      </c>
      <c r="B1251" s="232">
        <v>950</v>
      </c>
      <c r="C1251" s="232">
        <v>900</v>
      </c>
      <c r="D1251" s="279">
        <v>1000</v>
      </c>
      <c r="E1251" s="232">
        <v>995</v>
      </c>
      <c r="F1251" s="214">
        <v>1095</v>
      </c>
      <c r="G1251" s="214">
        <f>G1250+E1254+150+20+25</f>
        <v>1104.1799999999998</v>
      </c>
      <c r="H1251" s="214">
        <f>H1250+0.15*F1250+150+20+25</f>
        <v>1172.5</v>
      </c>
      <c r="I1251" s="214" t="s">
        <v>773</v>
      </c>
    </row>
    <row r="1252" spans="1:9" x14ac:dyDescent="0.25">
      <c r="A1252" s="265" t="s">
        <v>6</v>
      </c>
      <c r="B1252" s="232"/>
      <c r="C1252" s="232"/>
      <c r="D1252" s="279"/>
      <c r="E1252" s="232"/>
      <c r="F1252" s="214"/>
      <c r="G1252" s="214"/>
      <c r="H1252" s="214"/>
      <c r="I1252" s="214"/>
    </row>
    <row r="1253" spans="1:9" x14ac:dyDescent="0.25">
      <c r="A1253" s="265" t="s">
        <v>7</v>
      </c>
      <c r="B1253" s="232">
        <v>900</v>
      </c>
      <c r="C1253" s="232">
        <v>950</v>
      </c>
      <c r="D1253" s="279">
        <v>950</v>
      </c>
      <c r="E1253" s="232">
        <v>935.82</v>
      </c>
      <c r="F1253" s="214">
        <v>955.3</v>
      </c>
      <c r="G1253" s="214">
        <v>1085.3699999999999</v>
      </c>
      <c r="H1253" s="214"/>
      <c r="I1253" s="214"/>
    </row>
    <row r="1254" spans="1:9" x14ac:dyDescent="0.25">
      <c r="A1254" s="265" t="s">
        <v>8</v>
      </c>
      <c r="B1254" s="232">
        <f>B1251-B1253</f>
        <v>50</v>
      </c>
      <c r="C1254" s="232">
        <f t="shared" ref="C1254:E1254" si="48">C1251-C1253</f>
        <v>-50</v>
      </c>
      <c r="D1254" s="232">
        <f t="shared" si="48"/>
        <v>50</v>
      </c>
      <c r="E1254" s="232">
        <f t="shared" si="48"/>
        <v>59.17999999999995</v>
      </c>
      <c r="F1254" s="214">
        <f>F1251-F1253</f>
        <v>139.70000000000005</v>
      </c>
      <c r="G1254" s="214">
        <f>G1251-G1253</f>
        <v>18.809999999999945</v>
      </c>
      <c r="H1254" s="214"/>
      <c r="I1254" s="214"/>
    </row>
    <row r="1255" spans="1:9" ht="13.2" customHeight="1" x14ac:dyDescent="0.25">
      <c r="A1255" s="219" t="s">
        <v>9</v>
      </c>
      <c r="B1255" s="245">
        <v>2019</v>
      </c>
      <c r="C1255" s="245">
        <v>2020</v>
      </c>
      <c r="D1255" s="282">
        <v>2021</v>
      </c>
      <c r="E1255" s="245">
        <v>2022</v>
      </c>
      <c r="F1255" s="246">
        <v>2023</v>
      </c>
      <c r="G1255" s="246">
        <v>2024</v>
      </c>
      <c r="H1255" s="246">
        <v>2025</v>
      </c>
      <c r="I1255" s="246">
        <v>2026</v>
      </c>
    </row>
    <row r="1256" spans="1:9" ht="13.2" customHeight="1" x14ac:dyDescent="0.25">
      <c r="A1256" s="265" t="s">
        <v>10</v>
      </c>
      <c r="B1256" s="510"/>
      <c r="C1256" s="510"/>
      <c r="D1256" s="510"/>
      <c r="E1256" s="510"/>
      <c r="F1256" s="510"/>
      <c r="G1256" s="510"/>
      <c r="H1256" s="510"/>
      <c r="I1256" s="233"/>
    </row>
    <row r="1257" spans="1:9" x14ac:dyDescent="0.25">
      <c r="A1257" s="221" t="s">
        <v>775</v>
      </c>
      <c r="B1257" s="222"/>
      <c r="C1257" s="222"/>
      <c r="D1257" s="222"/>
      <c r="E1257" s="222"/>
      <c r="F1257" s="222"/>
      <c r="G1257" s="222"/>
      <c r="H1257" s="222"/>
      <c r="I1257" s="21"/>
    </row>
    <row r="1258" spans="1:9" x14ac:dyDescent="0.25">
      <c r="A1258" s="221" t="s">
        <v>776</v>
      </c>
      <c r="B1258" s="222"/>
      <c r="C1258" s="222"/>
      <c r="D1258" s="222"/>
      <c r="E1258" s="222"/>
      <c r="F1258" s="222"/>
      <c r="G1258" s="222"/>
      <c r="H1258" s="222"/>
      <c r="I1258" s="21"/>
    </row>
    <row r="1259" spans="1:9" x14ac:dyDescent="0.25">
      <c r="A1259" s="273" t="s">
        <v>777</v>
      </c>
      <c r="B1259" s="274"/>
      <c r="C1259" s="274"/>
      <c r="D1259" s="274"/>
      <c r="E1259" s="274"/>
      <c r="F1259" s="274"/>
      <c r="G1259" s="274"/>
      <c r="H1259" s="274"/>
      <c r="I1259" s="21"/>
    </row>
    <row r="1260" spans="1:9" x14ac:dyDescent="0.25">
      <c r="A1260" s="221" t="s">
        <v>778</v>
      </c>
      <c r="B1260" s="222"/>
      <c r="C1260" s="222"/>
      <c r="D1260" s="222"/>
      <c r="E1260" s="222"/>
      <c r="F1260" s="222"/>
      <c r="G1260" s="222"/>
      <c r="H1260" s="222"/>
      <c r="I1260" s="21"/>
    </row>
    <row r="1261" spans="1:9" x14ac:dyDescent="0.25">
      <c r="A1261" s="221" t="s">
        <v>779</v>
      </c>
      <c r="B1261" s="222"/>
      <c r="C1261" s="222"/>
      <c r="D1261" s="222"/>
      <c r="E1261" s="222"/>
      <c r="F1261" s="222"/>
      <c r="G1261" s="222"/>
      <c r="H1261" s="222"/>
      <c r="I1261" s="21"/>
    </row>
    <row r="1262" spans="1:9" x14ac:dyDescent="0.25">
      <c r="A1262" s="221" t="s">
        <v>780</v>
      </c>
      <c r="B1262" s="222"/>
      <c r="C1262" s="222"/>
      <c r="D1262" s="222"/>
      <c r="E1262" s="222"/>
      <c r="F1262" s="222"/>
      <c r="G1262" s="222"/>
      <c r="H1262" s="222"/>
      <c r="I1262" s="21"/>
    </row>
    <row r="1263" spans="1:9" x14ac:dyDescent="0.25">
      <c r="A1263" s="234" t="s">
        <v>774</v>
      </c>
      <c r="B1263" s="283"/>
      <c r="C1263" s="283"/>
      <c r="D1263" s="283"/>
      <c r="E1263" s="283"/>
      <c r="F1263" s="283"/>
      <c r="G1263" s="283"/>
      <c r="H1263" s="283"/>
      <c r="I1263" s="34"/>
    </row>
    <row r="1265" spans="1:9" x14ac:dyDescent="0.25">
      <c r="A1265" s="91" t="s">
        <v>1</v>
      </c>
      <c r="B1265" s="55" t="s">
        <v>661</v>
      </c>
      <c r="C1265" s="40" t="s">
        <v>2</v>
      </c>
    </row>
    <row r="1266" spans="1:9" x14ac:dyDescent="0.25">
      <c r="A1266" s="46" t="s">
        <v>3</v>
      </c>
      <c r="B1266" s="22"/>
      <c r="C1266" s="54"/>
      <c r="D1266" s="58"/>
      <c r="E1266" s="51">
        <v>2020</v>
      </c>
      <c r="F1266" s="51">
        <v>2021</v>
      </c>
      <c r="G1266" s="51">
        <v>2022</v>
      </c>
      <c r="H1266" s="51">
        <v>2023</v>
      </c>
    </row>
    <row r="1267" spans="1:9" x14ac:dyDescent="0.25">
      <c r="A1267" s="46" t="s">
        <v>4</v>
      </c>
      <c r="B1267" s="22"/>
      <c r="C1267" s="185"/>
      <c r="D1267" s="92"/>
      <c r="E1267" s="23">
        <v>3284</v>
      </c>
      <c r="F1267" s="93">
        <v>3284</v>
      </c>
      <c r="G1267" s="93">
        <v>3284</v>
      </c>
      <c r="H1267" s="93">
        <v>3284</v>
      </c>
    </row>
    <row r="1268" spans="1:9" x14ac:dyDescent="0.25">
      <c r="A1268" s="46" t="s">
        <v>5</v>
      </c>
      <c r="B1268" s="22"/>
      <c r="C1268" s="185"/>
      <c r="D1268" s="92"/>
      <c r="E1268" s="23">
        <v>3488.62</v>
      </c>
      <c r="F1268" s="93">
        <v>3318.91</v>
      </c>
      <c r="G1268" s="93">
        <f>G1267+F1271+259.62</f>
        <v>3568.2699999999995</v>
      </c>
      <c r="H1268" s="93">
        <f>H1267+G1271+259.62</f>
        <v>3546.8399999999992</v>
      </c>
    </row>
    <row r="1269" spans="1:9" x14ac:dyDescent="0.25">
      <c r="A1269" s="46" t="s">
        <v>6</v>
      </c>
      <c r="B1269" s="22"/>
      <c r="C1269" s="185"/>
      <c r="D1269" s="92"/>
      <c r="E1269" s="23"/>
      <c r="F1269" s="93"/>
      <c r="G1269" s="93"/>
      <c r="H1269" s="93"/>
    </row>
    <row r="1270" spans="1:9" x14ac:dyDescent="0.25">
      <c r="A1270" s="46" t="s">
        <v>7</v>
      </c>
      <c r="B1270" s="22"/>
      <c r="C1270" s="185"/>
      <c r="D1270" s="92"/>
      <c r="E1270" s="23">
        <v>3453.71</v>
      </c>
      <c r="F1270" s="93">
        <v>3294.26</v>
      </c>
      <c r="G1270" s="93">
        <v>3565.05</v>
      </c>
      <c r="H1270" s="93"/>
    </row>
    <row r="1271" spans="1:9" x14ac:dyDescent="0.25">
      <c r="A1271" s="46" t="s">
        <v>8</v>
      </c>
      <c r="B1271" s="22"/>
      <c r="C1271" s="185"/>
      <c r="D1271" s="92"/>
      <c r="E1271" s="23">
        <v>34.909999999999997</v>
      </c>
      <c r="F1271" s="93">
        <f>F1268-F1270</f>
        <v>24.649999999999636</v>
      </c>
      <c r="G1271" s="93">
        <f>G1268-G1270</f>
        <v>3.2199999999993452</v>
      </c>
      <c r="H1271" s="93"/>
    </row>
    <row r="1272" spans="1:9" x14ac:dyDescent="0.25">
      <c r="A1272" s="49" t="s">
        <v>9</v>
      </c>
      <c r="B1272" s="36"/>
      <c r="C1272" s="57"/>
      <c r="D1272" s="30"/>
      <c r="E1272" s="57">
        <v>2021</v>
      </c>
      <c r="F1272" s="80">
        <v>2022</v>
      </c>
      <c r="G1272" s="80">
        <v>2023</v>
      </c>
      <c r="H1272" s="80">
        <v>2024</v>
      </c>
    </row>
    <row r="1273" spans="1:9" x14ac:dyDescent="0.25">
      <c r="A1273" s="46" t="s">
        <v>10</v>
      </c>
      <c r="B1273" s="58"/>
      <c r="C1273" s="58"/>
      <c r="D1273" s="58"/>
      <c r="E1273" s="58"/>
      <c r="F1273" s="58"/>
      <c r="G1273" s="58"/>
      <c r="H1273" s="56"/>
    </row>
    <row r="1274" spans="1:9" x14ac:dyDescent="0.25">
      <c r="A1274" s="1" t="s">
        <v>782</v>
      </c>
      <c r="B1274" s="30"/>
      <c r="C1274" s="30"/>
      <c r="D1274" s="30"/>
      <c r="E1274" s="30"/>
      <c r="F1274" s="30"/>
      <c r="G1274" s="30"/>
      <c r="H1274" s="31"/>
    </row>
    <row r="1275" spans="1:9" x14ac:dyDescent="0.25">
      <c r="A1275" s="211" t="s">
        <v>783</v>
      </c>
      <c r="H1275" s="21"/>
    </row>
    <row r="1276" spans="1:9" x14ac:dyDescent="0.25">
      <c r="A1276" s="211" t="s">
        <v>784</v>
      </c>
      <c r="B1276" s="508"/>
      <c r="C1276" s="508"/>
      <c r="D1276" s="508"/>
      <c r="E1276" s="508"/>
      <c r="F1276" s="508"/>
      <c r="G1276" s="508"/>
      <c r="H1276" s="21"/>
    </row>
    <row r="1277" spans="1:9" x14ac:dyDescent="0.25">
      <c r="A1277" s="32" t="s">
        <v>781</v>
      </c>
      <c r="B1277" s="33"/>
      <c r="C1277" s="33"/>
      <c r="D1277" s="33"/>
      <c r="E1277" s="33"/>
      <c r="F1277" s="33"/>
      <c r="G1277" s="33"/>
      <c r="H1277" s="34"/>
    </row>
    <row r="1278" spans="1:9" x14ac:dyDescent="0.25">
      <c r="A1278" s="32"/>
      <c r="B1278" s="33"/>
      <c r="C1278" s="33"/>
    </row>
    <row r="1279" spans="1:9" x14ac:dyDescent="0.25">
      <c r="A1279" s="72" t="s">
        <v>1</v>
      </c>
      <c r="B1279" s="70" t="s">
        <v>74</v>
      </c>
      <c r="C1279" s="195" t="s">
        <v>2</v>
      </c>
    </row>
    <row r="1280" spans="1:9" x14ac:dyDescent="0.25">
      <c r="A1280" s="46" t="s">
        <v>3</v>
      </c>
      <c r="B1280" s="51">
        <v>2017</v>
      </c>
      <c r="C1280" s="51">
        <v>2018</v>
      </c>
      <c r="D1280" s="88">
        <v>2019</v>
      </c>
      <c r="E1280" s="51">
        <v>2020</v>
      </c>
      <c r="F1280" s="51">
        <v>2021</v>
      </c>
      <c r="G1280" s="51">
        <v>2022</v>
      </c>
      <c r="H1280" s="51">
        <v>2023</v>
      </c>
      <c r="I1280" s="51">
        <v>2024</v>
      </c>
    </row>
    <row r="1281" spans="1:9" x14ac:dyDescent="0.25">
      <c r="A1281" s="46" t="s">
        <v>4</v>
      </c>
      <c r="B1281" s="23">
        <v>10</v>
      </c>
      <c r="C1281" s="185">
        <v>10</v>
      </c>
      <c r="D1281" s="92">
        <v>10</v>
      </c>
      <c r="E1281" s="23">
        <v>10</v>
      </c>
      <c r="F1281" s="93">
        <v>10</v>
      </c>
      <c r="G1281" s="93">
        <v>10</v>
      </c>
      <c r="H1281" s="93">
        <v>10</v>
      </c>
      <c r="I1281" s="93">
        <v>10</v>
      </c>
    </row>
    <row r="1282" spans="1:9" x14ac:dyDescent="0.25">
      <c r="A1282" s="46" t="s">
        <v>5</v>
      </c>
      <c r="B1282" s="23">
        <v>10</v>
      </c>
      <c r="C1282" s="185">
        <v>-62</v>
      </c>
      <c r="D1282" s="92">
        <v>-52</v>
      </c>
      <c r="E1282" s="23">
        <v>-42</v>
      </c>
      <c r="F1282" s="93">
        <v>-32</v>
      </c>
      <c r="G1282" s="93">
        <v>-22</v>
      </c>
      <c r="H1282" s="93">
        <v>-12</v>
      </c>
      <c r="I1282" s="93">
        <v>8</v>
      </c>
    </row>
    <row r="1283" spans="1:9" x14ac:dyDescent="0.25">
      <c r="A1283" s="46" t="s">
        <v>6</v>
      </c>
      <c r="B1283" s="23"/>
      <c r="C1283" s="185"/>
      <c r="D1283" s="92"/>
      <c r="E1283" s="23"/>
      <c r="F1283" s="93"/>
      <c r="G1283" s="93"/>
      <c r="H1283" s="93"/>
      <c r="I1283" s="93"/>
    </row>
    <row r="1284" spans="1:9" x14ac:dyDescent="0.25">
      <c r="A1284" s="46" t="s">
        <v>7</v>
      </c>
      <c r="B1284" s="23">
        <v>82</v>
      </c>
      <c r="C1284" s="185">
        <v>0</v>
      </c>
      <c r="D1284" s="92">
        <v>0</v>
      </c>
      <c r="E1284" s="23">
        <v>0</v>
      </c>
      <c r="F1284" s="93">
        <v>0</v>
      </c>
      <c r="G1284" s="93">
        <v>0</v>
      </c>
      <c r="H1284" s="93"/>
      <c r="I1284" s="93"/>
    </row>
    <row r="1285" spans="1:9" x14ac:dyDescent="0.25">
      <c r="A1285" s="46" t="s">
        <v>8</v>
      </c>
      <c r="B1285" s="23">
        <v>-72</v>
      </c>
      <c r="C1285" s="185">
        <v>-62</v>
      </c>
      <c r="D1285" s="92">
        <v>-52</v>
      </c>
      <c r="E1285" s="23">
        <v>-42</v>
      </c>
      <c r="F1285" s="93">
        <v>-32</v>
      </c>
      <c r="G1285" s="93">
        <v>-22</v>
      </c>
      <c r="H1285" s="93"/>
      <c r="I1285" s="93"/>
    </row>
    <row r="1286" spans="1:9" x14ac:dyDescent="0.25">
      <c r="A1286" s="49" t="s">
        <v>9</v>
      </c>
      <c r="B1286" s="57">
        <v>2018</v>
      </c>
      <c r="C1286" s="57">
        <v>2019</v>
      </c>
      <c r="D1286" s="57">
        <v>2020</v>
      </c>
      <c r="E1286" s="57">
        <v>2021</v>
      </c>
      <c r="F1286" s="57">
        <v>2022</v>
      </c>
      <c r="G1286" s="57">
        <v>2023</v>
      </c>
      <c r="H1286" s="57">
        <v>2024</v>
      </c>
      <c r="I1286" s="57">
        <v>2025</v>
      </c>
    </row>
    <row r="1287" spans="1:9" x14ac:dyDescent="0.25">
      <c r="A1287" s="46" t="s">
        <v>10</v>
      </c>
      <c r="B1287" s="58"/>
      <c r="C1287" s="58"/>
      <c r="D1287" s="58"/>
      <c r="E1287" s="58"/>
      <c r="F1287" s="58"/>
      <c r="G1287" s="58"/>
      <c r="H1287" s="58"/>
      <c r="I1287" s="56"/>
    </row>
    <row r="1288" spans="1:9" x14ac:dyDescent="0.25">
      <c r="A1288" s="5" t="s">
        <v>786</v>
      </c>
      <c r="B1288" s="4"/>
      <c r="C1288" s="4"/>
      <c r="D1288" s="4"/>
      <c r="E1288" s="4"/>
      <c r="F1288" s="4"/>
      <c r="I1288" s="21"/>
    </row>
    <row r="1289" spans="1:9" x14ac:dyDescent="0.25">
      <c r="A1289" s="20" t="s">
        <v>787</v>
      </c>
      <c r="B1289" s="4"/>
      <c r="C1289" s="4"/>
      <c r="D1289" s="4"/>
      <c r="E1289" s="4"/>
      <c r="F1289" s="4"/>
      <c r="I1289" s="21"/>
    </row>
    <row r="1290" spans="1:9" x14ac:dyDescent="0.25">
      <c r="A1290" s="5" t="s">
        <v>788</v>
      </c>
      <c r="B1290" s="4"/>
      <c r="C1290" s="4"/>
      <c r="D1290" s="4"/>
      <c r="E1290" s="4"/>
      <c r="F1290" s="4"/>
      <c r="I1290" s="21"/>
    </row>
    <row r="1291" spans="1:9" x14ac:dyDescent="0.25">
      <c r="A1291" s="20" t="s">
        <v>789</v>
      </c>
      <c r="I1291" s="21"/>
    </row>
    <row r="1292" spans="1:9" x14ac:dyDescent="0.25">
      <c r="A1292" s="32" t="s">
        <v>785</v>
      </c>
      <c r="B1292" s="33"/>
      <c r="C1292" s="33"/>
      <c r="D1292" s="33"/>
      <c r="E1292" s="33"/>
      <c r="F1292" s="33"/>
      <c r="G1292" s="33"/>
      <c r="H1292" s="33"/>
      <c r="I1292" s="34"/>
    </row>
    <row r="1295" spans="1:9" x14ac:dyDescent="0.25">
      <c r="A1295" s="115" t="s">
        <v>24</v>
      </c>
      <c r="B1295" s="551" t="s">
        <v>25</v>
      </c>
    </row>
    <row r="1296" spans="1:9" x14ac:dyDescent="0.25">
      <c r="A1296" s="72" t="s">
        <v>14</v>
      </c>
      <c r="B1296" s="70" t="s">
        <v>638</v>
      </c>
      <c r="C1296" s="105" t="s">
        <v>26</v>
      </c>
    </row>
    <row r="1297" spans="1:12" x14ac:dyDescent="0.25">
      <c r="A1297" s="52" t="s">
        <v>27</v>
      </c>
      <c r="B1297" s="102">
        <v>2016</v>
      </c>
      <c r="C1297" s="51">
        <v>2017</v>
      </c>
      <c r="D1297" s="64">
        <v>2018</v>
      </c>
      <c r="E1297" s="51">
        <v>2019</v>
      </c>
      <c r="F1297" s="51">
        <v>2020</v>
      </c>
      <c r="G1297" s="51">
        <v>2021</v>
      </c>
      <c r="H1297" s="51">
        <v>2022</v>
      </c>
      <c r="I1297" s="51">
        <v>2023</v>
      </c>
    </row>
    <row r="1298" spans="1:12" x14ac:dyDescent="0.25">
      <c r="A1298" s="22" t="s">
        <v>28</v>
      </c>
      <c r="B1298" s="29">
        <v>200</v>
      </c>
      <c r="C1298" s="29">
        <v>200</v>
      </c>
      <c r="D1298" s="29">
        <v>200</v>
      </c>
      <c r="E1298" s="29">
        <v>215</v>
      </c>
      <c r="F1298" s="23">
        <v>215</v>
      </c>
      <c r="G1298" s="22">
        <v>242</v>
      </c>
      <c r="H1298" s="22">
        <v>242</v>
      </c>
      <c r="I1298" s="22">
        <v>242</v>
      </c>
    </row>
    <row r="1299" spans="1:12" x14ac:dyDescent="0.25">
      <c r="A1299" s="22" t="s">
        <v>29</v>
      </c>
      <c r="B1299" s="29">
        <f>200+200*0.25</f>
        <v>250</v>
      </c>
      <c r="C1299" s="29">
        <f>200+200*0.25</f>
        <v>250</v>
      </c>
      <c r="D1299" s="29">
        <f t="shared" ref="D1299:I1299" si="49">D1298+B1298*0.25</f>
        <v>250</v>
      </c>
      <c r="E1299" s="29">
        <f t="shared" si="49"/>
        <v>265</v>
      </c>
      <c r="F1299" s="29">
        <f t="shared" si="49"/>
        <v>265</v>
      </c>
      <c r="G1299" s="29">
        <f t="shared" si="49"/>
        <v>295.75</v>
      </c>
      <c r="H1299" s="29">
        <f t="shared" si="49"/>
        <v>295.75</v>
      </c>
      <c r="I1299" s="29">
        <f t="shared" si="49"/>
        <v>302.5</v>
      </c>
    </row>
    <row r="1300" spans="1:12" x14ac:dyDescent="0.25">
      <c r="A1300" s="22" t="s">
        <v>30</v>
      </c>
      <c r="B1300" s="27" t="s">
        <v>414</v>
      </c>
      <c r="C1300" s="27" t="s">
        <v>414</v>
      </c>
      <c r="D1300" s="27" t="s">
        <v>414</v>
      </c>
      <c r="E1300" s="27" t="s">
        <v>415</v>
      </c>
      <c r="F1300" s="27" t="s">
        <v>415</v>
      </c>
      <c r="G1300" s="27" t="s">
        <v>437</v>
      </c>
      <c r="H1300" s="27" t="s">
        <v>437</v>
      </c>
      <c r="I1300" s="27" t="s">
        <v>862</v>
      </c>
    </row>
    <row r="1301" spans="1:12" x14ac:dyDescent="0.25">
      <c r="A1301" s="22" t="s">
        <v>31</v>
      </c>
      <c r="B1301" s="29">
        <v>2.19</v>
      </c>
      <c r="C1301" s="29">
        <v>0.38</v>
      </c>
      <c r="D1301" s="29">
        <v>7.19</v>
      </c>
      <c r="E1301" s="29">
        <v>0.28999999999999998</v>
      </c>
      <c r="F1301" s="23">
        <v>1.45</v>
      </c>
      <c r="G1301" s="22">
        <v>0.72</v>
      </c>
      <c r="H1301" s="22">
        <v>0.64</v>
      </c>
      <c r="I1301" s="22"/>
    </row>
    <row r="1302" spans="1:12" x14ac:dyDescent="0.25">
      <c r="A1302" s="22" t="s">
        <v>32</v>
      </c>
      <c r="B1302" s="29">
        <f t="shared" ref="B1302:D1302" si="50">B1299-B1301</f>
        <v>247.81</v>
      </c>
      <c r="C1302" s="29">
        <f t="shared" si="50"/>
        <v>249.62</v>
      </c>
      <c r="D1302" s="29">
        <f t="shared" si="50"/>
        <v>242.81</v>
      </c>
      <c r="E1302" s="29">
        <f>E1299-E1301</f>
        <v>264.70999999999998</v>
      </c>
      <c r="F1302" s="29">
        <f>F1299-F1301</f>
        <v>263.55</v>
      </c>
      <c r="G1302" s="23">
        <f>G1299-G1301</f>
        <v>295.02999999999997</v>
      </c>
      <c r="H1302" s="23">
        <f>H1299-H1301</f>
        <v>295.11</v>
      </c>
      <c r="I1302" s="23"/>
    </row>
    <row r="1303" spans="1:12" x14ac:dyDescent="0.25">
      <c r="A1303" s="49" t="s">
        <v>33</v>
      </c>
      <c r="B1303" s="57">
        <v>2018</v>
      </c>
      <c r="C1303" s="57">
        <v>2019</v>
      </c>
      <c r="D1303" s="109">
        <v>2020</v>
      </c>
      <c r="E1303" s="57">
        <v>2021</v>
      </c>
      <c r="F1303" s="57">
        <v>2022</v>
      </c>
      <c r="G1303" s="36">
        <v>2023</v>
      </c>
      <c r="H1303" s="36">
        <v>2024</v>
      </c>
      <c r="I1303" s="36">
        <v>2025</v>
      </c>
    </row>
    <row r="1304" spans="1:12" ht="13.2" customHeight="1" x14ac:dyDescent="0.25">
      <c r="A1304" s="46" t="s">
        <v>135</v>
      </c>
      <c r="B1304" s="58"/>
      <c r="C1304" s="58"/>
      <c r="D1304" s="58"/>
      <c r="E1304" s="58"/>
      <c r="F1304" s="58"/>
      <c r="G1304" s="58"/>
      <c r="H1304" s="56"/>
      <c r="I1304" s="56"/>
      <c r="J1304" s="66"/>
    </row>
    <row r="1305" spans="1:12" x14ac:dyDescent="0.25">
      <c r="A1305" s="18"/>
      <c r="B1305" s="18"/>
    </row>
    <row r="1306" spans="1:12" x14ac:dyDescent="0.25">
      <c r="A1306" s="91" t="s">
        <v>14</v>
      </c>
      <c r="B1306" s="55" t="s">
        <v>637</v>
      </c>
      <c r="C1306" s="105" t="s">
        <v>26</v>
      </c>
    </row>
    <row r="1307" spans="1:12" x14ac:dyDescent="0.25">
      <c r="A1307" s="52" t="s">
        <v>27</v>
      </c>
      <c r="B1307" s="102">
        <v>2013</v>
      </c>
      <c r="C1307" s="51">
        <v>2014</v>
      </c>
      <c r="D1307" s="64">
        <v>2015</v>
      </c>
      <c r="E1307" s="51">
        <v>2016</v>
      </c>
      <c r="F1307" s="51">
        <v>2017</v>
      </c>
      <c r="G1307" s="64">
        <v>2018</v>
      </c>
      <c r="H1307" s="51">
        <v>2019</v>
      </c>
      <c r="I1307" s="51">
        <v>2020</v>
      </c>
      <c r="J1307" s="51">
        <v>2021</v>
      </c>
      <c r="K1307" s="51">
        <v>2022</v>
      </c>
      <c r="L1307" s="51">
        <v>2023</v>
      </c>
    </row>
    <row r="1308" spans="1:12" x14ac:dyDescent="0.25">
      <c r="A1308" s="22" t="s">
        <v>28</v>
      </c>
      <c r="B1308" s="23">
        <v>200</v>
      </c>
      <c r="C1308" s="23">
        <v>200</v>
      </c>
      <c r="D1308" s="29">
        <v>200</v>
      </c>
      <c r="E1308" s="29">
        <v>200</v>
      </c>
      <c r="F1308" s="29">
        <v>200</v>
      </c>
      <c r="G1308" s="29">
        <v>200</v>
      </c>
      <c r="H1308" s="29">
        <v>200</v>
      </c>
      <c r="I1308" s="23">
        <v>200</v>
      </c>
      <c r="J1308" s="23">
        <v>200</v>
      </c>
      <c r="K1308" s="23">
        <v>200</v>
      </c>
      <c r="L1308" s="23">
        <v>200</v>
      </c>
    </row>
    <row r="1309" spans="1:12" x14ac:dyDescent="0.25">
      <c r="A1309" s="22" t="s">
        <v>29</v>
      </c>
      <c r="B1309" s="47">
        <f t="shared" ref="B1309:C1309" si="51">(B1310)</f>
        <v>300</v>
      </c>
      <c r="C1309" s="47">
        <f t="shared" si="51"/>
        <v>300</v>
      </c>
      <c r="D1309" s="29">
        <v>300</v>
      </c>
      <c r="E1309" s="29">
        <v>300</v>
      </c>
      <c r="F1309" s="29">
        <v>300</v>
      </c>
      <c r="G1309" s="29">
        <v>280</v>
      </c>
      <c r="H1309" s="29">
        <v>280</v>
      </c>
      <c r="I1309" s="23">
        <v>280</v>
      </c>
      <c r="J1309" s="23">
        <v>280</v>
      </c>
      <c r="K1309" s="23">
        <v>280</v>
      </c>
      <c r="L1309" s="23">
        <v>280</v>
      </c>
    </row>
    <row r="1310" spans="1:12" x14ac:dyDescent="0.25">
      <c r="A1310" s="22" t="s">
        <v>30</v>
      </c>
      <c r="B1310" s="23">
        <f t="shared" ref="B1310:C1310" si="52">(B1308*50%)+B1308</f>
        <v>300</v>
      </c>
      <c r="C1310" s="23">
        <f t="shared" si="52"/>
        <v>300</v>
      </c>
      <c r="D1310" s="27" t="s">
        <v>247</v>
      </c>
      <c r="E1310" s="27" t="s">
        <v>247</v>
      </c>
      <c r="F1310" s="27" t="s">
        <v>247</v>
      </c>
      <c r="G1310" s="27" t="s">
        <v>248</v>
      </c>
      <c r="H1310" s="27" t="s">
        <v>248</v>
      </c>
      <c r="I1310" s="27" t="s">
        <v>248</v>
      </c>
      <c r="J1310" s="27" t="s">
        <v>248</v>
      </c>
      <c r="K1310" s="27" t="s">
        <v>248</v>
      </c>
      <c r="L1310" s="27" t="s">
        <v>248</v>
      </c>
    </row>
    <row r="1311" spans="1:12" x14ac:dyDescent="0.25">
      <c r="A1311" s="22" t="s">
        <v>31</v>
      </c>
      <c r="B1311" s="23">
        <v>32</v>
      </c>
      <c r="C1311" s="23">
        <v>32</v>
      </c>
      <c r="D1311" s="29">
        <v>31</v>
      </c>
      <c r="E1311" s="29">
        <v>36</v>
      </c>
      <c r="F1311" s="29">
        <v>64</v>
      </c>
      <c r="G1311" s="29">
        <v>45</v>
      </c>
      <c r="H1311" s="29">
        <v>30</v>
      </c>
      <c r="I1311" s="23">
        <v>21</v>
      </c>
      <c r="J1311" s="23">
        <v>25</v>
      </c>
      <c r="K1311" s="23">
        <v>22</v>
      </c>
      <c r="L1311" s="23"/>
    </row>
    <row r="1312" spans="1:12" x14ac:dyDescent="0.25">
      <c r="A1312" s="22" t="s">
        <v>32</v>
      </c>
      <c r="B1312" s="47">
        <f t="shared" ref="B1312:C1312" si="53">(B1309-B1311)</f>
        <v>268</v>
      </c>
      <c r="C1312" s="47">
        <f t="shared" si="53"/>
        <v>268</v>
      </c>
      <c r="D1312" s="29">
        <f>D1309-D1311</f>
        <v>269</v>
      </c>
      <c r="E1312" s="29">
        <f t="shared" ref="E1312:G1312" si="54">E1309-E1311</f>
        <v>264</v>
      </c>
      <c r="F1312" s="29">
        <f t="shared" si="54"/>
        <v>236</v>
      </c>
      <c r="G1312" s="29">
        <f t="shared" si="54"/>
        <v>235</v>
      </c>
      <c r="H1312" s="29">
        <f>H1309-H1311</f>
        <v>250</v>
      </c>
      <c r="I1312" s="29">
        <f>I1309-I1311</f>
        <v>259</v>
      </c>
      <c r="J1312" s="29">
        <f>J1309-J1311</f>
        <v>255</v>
      </c>
      <c r="K1312" s="29">
        <f>K1309-K1311</f>
        <v>258</v>
      </c>
      <c r="L1312" s="29"/>
    </row>
    <row r="1313" spans="1:16" ht="13.2" customHeight="1" x14ac:dyDescent="0.25">
      <c r="A1313" s="49" t="s">
        <v>33</v>
      </c>
      <c r="B1313" s="57">
        <v>2015</v>
      </c>
      <c r="C1313" s="57">
        <v>2016</v>
      </c>
      <c r="D1313" s="57">
        <v>2017</v>
      </c>
      <c r="E1313" s="57">
        <v>2018</v>
      </c>
      <c r="F1313" s="57">
        <v>2019</v>
      </c>
      <c r="G1313" s="109">
        <v>2020</v>
      </c>
      <c r="H1313" s="57">
        <v>2021</v>
      </c>
      <c r="I1313" s="57">
        <v>2022</v>
      </c>
      <c r="J1313" s="57">
        <v>2023</v>
      </c>
      <c r="K1313" s="57">
        <v>2024</v>
      </c>
      <c r="L1313" s="57">
        <v>2025</v>
      </c>
    </row>
    <row r="1314" spans="1:16" ht="13.2" customHeight="1" x14ac:dyDescent="0.25">
      <c r="A1314" s="49" t="s">
        <v>510</v>
      </c>
      <c r="B1314" s="79"/>
      <c r="C1314" s="79"/>
      <c r="D1314" s="79"/>
      <c r="E1314" s="79"/>
      <c r="F1314" s="79"/>
      <c r="G1314" s="79"/>
      <c r="H1314" s="79"/>
      <c r="I1314" s="79"/>
      <c r="J1314" s="79"/>
      <c r="K1314" s="80"/>
      <c r="L1314" s="80"/>
    </row>
    <row r="1315" spans="1:16" x14ac:dyDescent="0.25">
      <c r="A1315" s="32" t="s">
        <v>511</v>
      </c>
      <c r="B1315" s="130"/>
      <c r="C1315" s="130"/>
      <c r="D1315" s="130"/>
      <c r="E1315" s="130"/>
      <c r="F1315" s="130"/>
      <c r="G1315" s="130"/>
      <c r="H1315" s="130"/>
      <c r="I1315" s="130"/>
      <c r="J1315" s="130"/>
      <c r="K1315" s="226"/>
      <c r="L1315" s="226"/>
    </row>
    <row r="1317" spans="1:16" ht="13.8" x14ac:dyDescent="0.25">
      <c r="A1317" s="262" t="s">
        <v>14</v>
      </c>
      <c r="B1317" s="276" t="s">
        <v>664</v>
      </c>
      <c r="C1317" s="276" t="s">
        <v>26</v>
      </c>
      <c r="D1317" s="222"/>
      <c r="E1317" s="222"/>
      <c r="F1317" s="222"/>
      <c r="G1317" s="222"/>
      <c r="H1317" s="222"/>
      <c r="I1317" s="222"/>
      <c r="J1317" s="222"/>
      <c r="K1317" s="222"/>
      <c r="L1317" s="222"/>
      <c r="M1317" s="222"/>
      <c r="N1317" s="222"/>
      <c r="O1317" s="426"/>
      <c r="P1317" s="222"/>
    </row>
    <row r="1318" spans="1:16" x14ac:dyDescent="0.25">
      <c r="A1318" s="212" t="s">
        <v>27</v>
      </c>
      <c r="B1318" s="345">
        <v>2010</v>
      </c>
      <c r="C1318" s="213">
        <v>2011</v>
      </c>
      <c r="D1318" s="213">
        <v>2012</v>
      </c>
      <c r="E1318" s="213">
        <v>2013</v>
      </c>
      <c r="F1318" s="213">
        <v>2014</v>
      </c>
      <c r="G1318" s="213">
        <v>2015</v>
      </c>
      <c r="H1318" s="213">
        <v>2016</v>
      </c>
      <c r="I1318" s="427">
        <v>2017</v>
      </c>
      <c r="J1318" s="213">
        <v>2018</v>
      </c>
      <c r="K1318" s="213">
        <v>2019</v>
      </c>
      <c r="L1318" s="213">
        <v>2020</v>
      </c>
      <c r="M1318" s="213">
        <v>2021</v>
      </c>
      <c r="N1318" s="213">
        <v>2022</v>
      </c>
      <c r="O1318" s="213">
        <v>2023</v>
      </c>
      <c r="P1318" s="222"/>
    </row>
    <row r="1319" spans="1:16" x14ac:dyDescent="0.25">
      <c r="A1319" s="265" t="s">
        <v>28</v>
      </c>
      <c r="B1319" s="216">
        <v>95</v>
      </c>
      <c r="C1319" s="216">
        <v>95</v>
      </c>
      <c r="D1319" s="216">
        <v>95</v>
      </c>
      <c r="E1319" s="216">
        <v>95</v>
      </c>
      <c r="F1319" s="232">
        <v>95</v>
      </c>
      <c r="G1319" s="428">
        <v>108.98</v>
      </c>
      <c r="H1319" s="428">
        <v>108.98</v>
      </c>
      <c r="I1319" s="429">
        <v>108.98</v>
      </c>
      <c r="J1319" s="428">
        <v>128.44</v>
      </c>
      <c r="K1319" s="428">
        <v>128.44</v>
      </c>
      <c r="L1319" s="428">
        <v>128.44</v>
      </c>
      <c r="M1319" s="428">
        <v>128.44</v>
      </c>
      <c r="N1319" s="428">
        <v>149.34</v>
      </c>
      <c r="O1319" s="428">
        <v>149.34</v>
      </c>
      <c r="P1319" s="222"/>
    </row>
    <row r="1320" spans="1:16" x14ac:dyDescent="0.25">
      <c r="A1320" s="265" t="s">
        <v>29</v>
      </c>
      <c r="B1320" s="232">
        <f>(B1321)</f>
        <v>56</v>
      </c>
      <c r="C1320" s="232">
        <f t="shared" ref="C1320:J1320" si="55">(C1321)</f>
        <v>137</v>
      </c>
      <c r="D1320" s="232">
        <f t="shared" si="55"/>
        <v>103.5</v>
      </c>
      <c r="E1320" s="232">
        <f t="shared" si="55"/>
        <v>147.9</v>
      </c>
      <c r="F1320" s="232">
        <f t="shared" si="55"/>
        <v>103.5</v>
      </c>
      <c r="G1320" s="428">
        <f t="shared" si="55"/>
        <v>74.980000000000018</v>
      </c>
      <c r="H1320" s="428">
        <f t="shared" si="55"/>
        <v>78.980000000000047</v>
      </c>
      <c r="I1320" s="429">
        <f t="shared" si="55"/>
        <v>76.980000000000047</v>
      </c>
      <c r="J1320" s="428">
        <f t="shared" si="55"/>
        <v>97.44000000000004</v>
      </c>
      <c r="K1320" s="428">
        <f>K1321</f>
        <v>85.440000000000055</v>
      </c>
      <c r="L1320" s="216">
        <f>L1321</f>
        <v>95.440000000000055</v>
      </c>
      <c r="M1320" s="216">
        <f>M1321</f>
        <v>95.440000000000055</v>
      </c>
      <c r="N1320" s="216">
        <f>N1321</f>
        <v>122.78000000000006</v>
      </c>
      <c r="O1320" s="45">
        <f>O1321</f>
        <v>152.12000000000006</v>
      </c>
      <c r="P1320" s="222"/>
    </row>
    <row r="1321" spans="1:16" x14ac:dyDescent="0.25">
      <c r="A1321" s="265" t="s">
        <v>30</v>
      </c>
      <c r="B1321" s="428">
        <f>(B1319+47.5)-86.5</f>
        <v>56</v>
      </c>
      <c r="C1321" s="428">
        <f>(C1319+B1323)</f>
        <v>137</v>
      </c>
      <c r="D1321" s="428">
        <f>D1319+95-86.5</f>
        <v>103.5</v>
      </c>
      <c r="E1321" s="428">
        <f>E1319+D1323</f>
        <v>147.9</v>
      </c>
      <c r="F1321" s="428">
        <f>(F1319+95)-86.5</f>
        <v>103.5</v>
      </c>
      <c r="G1321" s="428">
        <f>(G1319+F1323)-86.5</f>
        <v>74.980000000000018</v>
      </c>
      <c r="H1321" s="428">
        <f>(H1319+G1323)-51.98</f>
        <v>78.980000000000047</v>
      </c>
      <c r="I1321" s="429">
        <f>(I1319+H1323)-55.98</f>
        <v>76.980000000000047</v>
      </c>
      <c r="J1321" s="428">
        <f>(J1319+I1323)-73.98</f>
        <v>97.44000000000004</v>
      </c>
      <c r="K1321" s="428">
        <f>K1319+J1323-60.44</f>
        <v>85.440000000000055</v>
      </c>
      <c r="L1321" s="216">
        <f>L1319+K1323-79.44</f>
        <v>95.440000000000055</v>
      </c>
      <c r="M1321" s="216">
        <f>M1319+L1323-100.44</f>
        <v>95.440000000000055</v>
      </c>
      <c r="N1321" s="216">
        <f>N1319+M1323-60</f>
        <v>122.78000000000006</v>
      </c>
      <c r="O1321" s="45">
        <f>O1319+N1323-60</f>
        <v>152.12000000000006</v>
      </c>
      <c r="P1321" s="222"/>
    </row>
    <row r="1322" spans="1:16" x14ac:dyDescent="0.25">
      <c r="A1322" s="265" t="s">
        <v>31</v>
      </c>
      <c r="B1322" s="232">
        <v>14</v>
      </c>
      <c r="C1322" s="232">
        <v>14</v>
      </c>
      <c r="D1322" s="232">
        <v>50.6</v>
      </c>
      <c r="E1322" s="232">
        <v>22</v>
      </c>
      <c r="F1322" s="232">
        <v>51</v>
      </c>
      <c r="G1322" s="232">
        <v>53</v>
      </c>
      <c r="H1322" s="232">
        <v>55</v>
      </c>
      <c r="I1322" s="430">
        <v>34</v>
      </c>
      <c r="J1322" s="232">
        <v>80</v>
      </c>
      <c r="K1322" s="232">
        <v>39</v>
      </c>
      <c r="L1322" s="216">
        <v>28</v>
      </c>
      <c r="M1322" s="216">
        <v>62</v>
      </c>
      <c r="N1322" s="216">
        <v>60</v>
      </c>
      <c r="O1322" s="216"/>
      <c r="P1322" s="222"/>
    </row>
    <row r="1323" spans="1:16" x14ac:dyDescent="0.25">
      <c r="A1323" s="265" t="s">
        <v>32</v>
      </c>
      <c r="B1323" s="232">
        <f>(B1320-B1322)</f>
        <v>42</v>
      </c>
      <c r="C1323" s="232">
        <f t="shared" ref="C1323:J1323" si="56">(C1320-C1322)</f>
        <v>123</v>
      </c>
      <c r="D1323" s="232">
        <f t="shared" si="56"/>
        <v>52.9</v>
      </c>
      <c r="E1323" s="232">
        <f t="shared" si="56"/>
        <v>125.9</v>
      </c>
      <c r="F1323" s="232">
        <f t="shared" si="56"/>
        <v>52.5</v>
      </c>
      <c r="G1323" s="232">
        <f t="shared" si="56"/>
        <v>21.980000000000018</v>
      </c>
      <c r="H1323" s="232">
        <f t="shared" si="56"/>
        <v>23.980000000000047</v>
      </c>
      <c r="I1323" s="430">
        <f t="shared" si="56"/>
        <v>42.980000000000047</v>
      </c>
      <c r="J1323" s="232">
        <f t="shared" si="56"/>
        <v>17.44000000000004</v>
      </c>
      <c r="K1323" s="232">
        <f>K1320-K1322</f>
        <v>46.440000000000055</v>
      </c>
      <c r="L1323" s="216">
        <f>L1320-L1322</f>
        <v>67.440000000000055</v>
      </c>
      <c r="M1323" s="216">
        <f>M1320-M1322</f>
        <v>33.440000000000055</v>
      </c>
      <c r="N1323" s="216">
        <f>N1320-N1322</f>
        <v>62.780000000000058</v>
      </c>
      <c r="O1323" s="216"/>
      <c r="P1323" s="222"/>
    </row>
    <row r="1324" spans="1:16" x14ac:dyDescent="0.25">
      <c r="A1324" s="219" t="s">
        <v>33</v>
      </c>
      <c r="B1324" s="245">
        <v>2011</v>
      </c>
      <c r="C1324" s="245">
        <v>2012</v>
      </c>
      <c r="D1324" s="245">
        <v>2013</v>
      </c>
      <c r="E1324" s="245">
        <v>2014</v>
      </c>
      <c r="F1324" s="245">
        <v>2015</v>
      </c>
      <c r="G1324" s="245">
        <v>2016</v>
      </c>
      <c r="H1324" s="245">
        <v>2017</v>
      </c>
      <c r="I1324" s="431">
        <v>2018</v>
      </c>
      <c r="J1324" s="245">
        <v>2019</v>
      </c>
      <c r="K1324" s="245">
        <v>2020</v>
      </c>
      <c r="L1324" s="245">
        <v>2021</v>
      </c>
      <c r="M1324" s="245">
        <v>2022</v>
      </c>
      <c r="N1324" s="245">
        <v>2023</v>
      </c>
      <c r="O1324" s="245">
        <v>2024</v>
      </c>
      <c r="P1324" s="222"/>
    </row>
    <row r="1325" spans="1:16" x14ac:dyDescent="0.25">
      <c r="A1325" s="219" t="s">
        <v>34</v>
      </c>
      <c r="B1325" s="220"/>
      <c r="C1325" s="220"/>
      <c r="D1325" s="220"/>
      <c r="E1325" s="220"/>
      <c r="F1325" s="220"/>
      <c r="G1325" s="220"/>
      <c r="H1325" s="220"/>
      <c r="I1325" s="220"/>
      <c r="J1325" s="220"/>
      <c r="K1325" s="220"/>
      <c r="L1325" s="220"/>
      <c r="M1325" s="220"/>
      <c r="N1325" s="220"/>
      <c r="O1325" s="218"/>
      <c r="P1325" s="222"/>
    </row>
    <row r="1326" spans="1:16" x14ac:dyDescent="0.25">
      <c r="A1326" s="273" t="s">
        <v>35</v>
      </c>
      <c r="B1326" s="222"/>
      <c r="C1326" s="222"/>
      <c r="D1326" s="222"/>
      <c r="E1326" s="222"/>
      <c r="F1326" s="222"/>
      <c r="G1326" s="222"/>
      <c r="H1326" s="222"/>
      <c r="I1326" s="222"/>
      <c r="J1326" s="222"/>
      <c r="K1326" s="222"/>
      <c r="L1326" s="222"/>
      <c r="M1326" s="222"/>
      <c r="N1326" s="222"/>
      <c r="O1326" s="223"/>
      <c r="P1326" s="222"/>
    </row>
    <row r="1327" spans="1:16" x14ac:dyDescent="0.25">
      <c r="A1327" s="273" t="s">
        <v>744</v>
      </c>
      <c r="B1327" s="222"/>
      <c r="C1327" s="222"/>
      <c r="D1327" s="222"/>
      <c r="E1327" s="222"/>
      <c r="F1327" s="222"/>
      <c r="G1327" s="222"/>
      <c r="H1327" s="222"/>
      <c r="I1327" s="222"/>
      <c r="J1327" s="222"/>
      <c r="K1327" s="222"/>
      <c r="L1327" s="222"/>
      <c r="M1327" s="222"/>
      <c r="N1327" s="222"/>
      <c r="O1327" s="223"/>
      <c r="P1327" s="222"/>
    </row>
    <row r="1328" spans="1:16" x14ac:dyDescent="0.25">
      <c r="A1328" s="273" t="s">
        <v>745</v>
      </c>
      <c r="B1328" s="222"/>
      <c r="C1328" s="222"/>
      <c r="D1328" s="222"/>
      <c r="E1328" s="222"/>
      <c r="F1328" s="222"/>
      <c r="G1328" s="222"/>
      <c r="H1328" s="222"/>
      <c r="I1328" s="222"/>
      <c r="J1328" s="222"/>
      <c r="K1328" s="222"/>
      <c r="L1328" s="222"/>
      <c r="M1328" s="222"/>
      <c r="N1328" s="222"/>
      <c r="O1328" s="223"/>
      <c r="P1328" s="222"/>
    </row>
    <row r="1329" spans="1:16" x14ac:dyDescent="0.25">
      <c r="A1329" s="273" t="s">
        <v>746</v>
      </c>
      <c r="B1329" s="222"/>
      <c r="C1329" s="222"/>
      <c r="D1329" s="222"/>
      <c r="E1329" s="222"/>
      <c r="F1329" s="222"/>
      <c r="G1329" s="222"/>
      <c r="H1329" s="222"/>
      <c r="I1329" s="222"/>
      <c r="J1329" s="222"/>
      <c r="K1329" s="222"/>
      <c r="L1329" s="222"/>
      <c r="M1329" s="222"/>
      <c r="N1329" s="222"/>
      <c r="O1329" s="223"/>
      <c r="P1329" s="222"/>
    </row>
    <row r="1330" spans="1:16" x14ac:dyDescent="0.25">
      <c r="A1330" s="273" t="s">
        <v>747</v>
      </c>
      <c r="B1330" s="222"/>
      <c r="C1330" s="222"/>
      <c r="D1330" s="222"/>
      <c r="E1330" s="222"/>
      <c r="F1330" s="222"/>
      <c r="G1330" s="222"/>
      <c r="H1330" s="222"/>
      <c r="I1330" s="222"/>
      <c r="J1330" s="222"/>
      <c r="K1330" s="222"/>
      <c r="L1330" s="222"/>
      <c r="M1330" s="222"/>
      <c r="N1330" s="222"/>
      <c r="O1330" s="223"/>
      <c r="P1330" s="222"/>
    </row>
    <row r="1331" spans="1:16" x14ac:dyDescent="0.25">
      <c r="A1331" s="221" t="s">
        <v>748</v>
      </c>
      <c r="B1331" s="222"/>
      <c r="C1331" s="222"/>
      <c r="D1331" s="222"/>
      <c r="E1331" s="222"/>
      <c r="F1331" s="222"/>
      <c r="G1331" s="222"/>
      <c r="H1331" s="222"/>
      <c r="I1331" s="222"/>
      <c r="J1331" s="222"/>
      <c r="K1331" s="222"/>
      <c r="L1331" s="222"/>
      <c r="M1331" s="222"/>
      <c r="N1331" s="222"/>
      <c r="O1331" s="223"/>
      <c r="P1331" s="222"/>
    </row>
    <row r="1332" spans="1:16" x14ac:dyDescent="0.25">
      <c r="A1332" s="221" t="s">
        <v>749</v>
      </c>
      <c r="B1332" s="222"/>
      <c r="C1332" s="222"/>
      <c r="D1332" s="222"/>
      <c r="E1332" s="222"/>
      <c r="F1332" s="222"/>
      <c r="G1332" s="222"/>
      <c r="H1332" s="222"/>
      <c r="I1332" s="222"/>
      <c r="J1332" s="222"/>
      <c r="K1332" s="222"/>
      <c r="L1332" s="222"/>
      <c r="M1332" s="222"/>
      <c r="N1332" s="222"/>
      <c r="O1332" s="223"/>
      <c r="P1332" s="222"/>
    </row>
    <row r="1333" spans="1:16" x14ac:dyDescent="0.25">
      <c r="A1333" s="221" t="s">
        <v>750</v>
      </c>
      <c r="B1333" s="222"/>
      <c r="C1333" s="222"/>
      <c r="D1333" s="222"/>
      <c r="E1333" s="222"/>
      <c r="F1333" s="222"/>
      <c r="G1333" s="222"/>
      <c r="H1333" s="222"/>
      <c r="I1333" s="222"/>
      <c r="J1333" s="222"/>
      <c r="K1333" s="222"/>
      <c r="L1333" s="222"/>
      <c r="M1333" s="222"/>
      <c r="N1333" s="222"/>
      <c r="O1333" s="223"/>
      <c r="P1333" s="222"/>
    </row>
    <row r="1334" spans="1:16" x14ac:dyDescent="0.25">
      <c r="A1334" s="221" t="s">
        <v>751</v>
      </c>
      <c r="B1334" s="222"/>
      <c r="C1334" s="222"/>
      <c r="D1334" s="222"/>
      <c r="E1334" s="222"/>
      <c r="F1334" s="222"/>
      <c r="G1334" s="222"/>
      <c r="H1334" s="222"/>
      <c r="I1334" s="222"/>
      <c r="J1334" s="222"/>
      <c r="K1334" s="222"/>
      <c r="L1334" s="222"/>
      <c r="M1334" s="222"/>
      <c r="N1334" s="222"/>
      <c r="O1334" s="223"/>
      <c r="P1334" s="222"/>
    </row>
    <row r="1335" spans="1:16" x14ac:dyDescent="0.25">
      <c r="A1335" s="221" t="s">
        <v>752</v>
      </c>
      <c r="B1335" s="222"/>
      <c r="C1335" s="222"/>
      <c r="D1335" s="222"/>
      <c r="E1335" s="222"/>
      <c r="F1335" s="222"/>
      <c r="G1335" s="222"/>
      <c r="H1335" s="222"/>
      <c r="I1335" s="222"/>
      <c r="J1335" s="222"/>
      <c r="K1335" s="222"/>
      <c r="L1335" s="222"/>
      <c r="M1335" s="222"/>
      <c r="N1335" s="222"/>
      <c r="O1335" s="223"/>
      <c r="P1335" s="222"/>
    </row>
    <row r="1336" spans="1:16" x14ac:dyDescent="0.25">
      <c r="A1336" s="221" t="s">
        <v>753</v>
      </c>
      <c r="B1336" s="222"/>
      <c r="C1336" s="222"/>
      <c r="D1336" s="222"/>
      <c r="E1336" s="222"/>
      <c r="F1336" s="222"/>
      <c r="G1336" s="222"/>
      <c r="H1336" s="222"/>
      <c r="I1336" s="222"/>
      <c r="J1336" s="222"/>
      <c r="K1336" s="222"/>
      <c r="L1336" s="222"/>
      <c r="M1336" s="222"/>
      <c r="N1336" s="222"/>
      <c r="O1336" s="223"/>
      <c r="P1336" s="222"/>
    </row>
    <row r="1337" spans="1:16" x14ac:dyDescent="0.25">
      <c r="A1337" s="221" t="s">
        <v>754</v>
      </c>
      <c r="B1337" s="222"/>
      <c r="C1337" s="222"/>
      <c r="D1337" s="222"/>
      <c r="E1337" s="222"/>
      <c r="F1337" s="222"/>
      <c r="G1337" s="222"/>
      <c r="H1337" s="222"/>
      <c r="I1337" s="222"/>
      <c r="J1337" s="222"/>
      <c r="K1337" s="222"/>
      <c r="L1337" s="222"/>
      <c r="M1337" s="222"/>
      <c r="N1337" s="222"/>
      <c r="O1337" s="223"/>
      <c r="P1337" s="222"/>
    </row>
    <row r="1338" spans="1:16" x14ac:dyDescent="0.25">
      <c r="A1338" s="221" t="s">
        <v>863</v>
      </c>
      <c r="B1338" s="222"/>
      <c r="C1338" s="222"/>
      <c r="D1338" s="222"/>
      <c r="E1338" s="222"/>
      <c r="F1338" s="222"/>
      <c r="G1338" s="222"/>
      <c r="H1338" s="222"/>
      <c r="I1338" s="222"/>
      <c r="J1338" s="222"/>
      <c r="K1338" s="222"/>
      <c r="L1338" s="222"/>
      <c r="M1338" s="222"/>
      <c r="N1338" s="222"/>
      <c r="O1338" s="223"/>
      <c r="P1338" s="222"/>
    </row>
    <row r="1339" spans="1:16" x14ac:dyDescent="0.25">
      <c r="A1339" s="198" t="s">
        <v>961</v>
      </c>
      <c r="B1339" s="224"/>
      <c r="C1339" s="224"/>
      <c r="D1339" s="224"/>
      <c r="E1339" s="224"/>
      <c r="F1339" s="224"/>
      <c r="G1339" s="224"/>
      <c r="H1339" s="224"/>
      <c r="I1339" s="224"/>
      <c r="J1339" s="224"/>
      <c r="K1339" s="224"/>
      <c r="L1339" s="224"/>
      <c r="M1339" s="224"/>
      <c r="N1339" s="224"/>
      <c r="O1339" s="225"/>
      <c r="P1339" s="222"/>
    </row>
    <row r="1340" spans="1:16" x14ac:dyDescent="0.25">
      <c r="A1340" s="222"/>
      <c r="B1340" s="222"/>
      <c r="C1340" s="222"/>
    </row>
    <row r="1341" spans="1:16" x14ac:dyDescent="0.25">
      <c r="A1341" s="262" t="s">
        <v>14</v>
      </c>
      <c r="B1341" s="276" t="s">
        <v>74</v>
      </c>
      <c r="C1341" s="276" t="s">
        <v>26</v>
      </c>
    </row>
    <row r="1342" spans="1:16" x14ac:dyDescent="0.25">
      <c r="A1342" s="212" t="s">
        <v>27</v>
      </c>
      <c r="B1342" s="345">
        <v>2013</v>
      </c>
      <c r="C1342" s="213">
        <v>2014</v>
      </c>
      <c r="D1342" s="51">
        <v>2015</v>
      </c>
      <c r="E1342" s="64">
        <v>2016</v>
      </c>
      <c r="F1342" s="51">
        <v>2017</v>
      </c>
      <c r="G1342" s="64">
        <v>2018</v>
      </c>
      <c r="H1342" s="51">
        <v>2019</v>
      </c>
      <c r="I1342" s="51">
        <v>2020</v>
      </c>
      <c r="J1342" s="51">
        <v>2021</v>
      </c>
      <c r="K1342" s="51">
        <v>2022</v>
      </c>
      <c r="L1342" s="51">
        <v>2023</v>
      </c>
    </row>
    <row r="1343" spans="1:16" x14ac:dyDescent="0.25">
      <c r="A1343" s="265" t="s">
        <v>28</v>
      </c>
      <c r="B1343" s="216">
        <v>70</v>
      </c>
      <c r="C1343" s="216">
        <v>70</v>
      </c>
      <c r="D1343" s="23">
        <v>70</v>
      </c>
      <c r="E1343" s="23">
        <v>70</v>
      </c>
      <c r="F1343" s="47">
        <v>70</v>
      </c>
      <c r="G1343" s="47">
        <v>70</v>
      </c>
      <c r="H1343" s="47">
        <v>70</v>
      </c>
      <c r="I1343" s="23">
        <v>58.9</v>
      </c>
      <c r="J1343" s="23">
        <v>58.9</v>
      </c>
      <c r="K1343" s="23">
        <v>58.9</v>
      </c>
      <c r="L1343" s="23">
        <v>58.9</v>
      </c>
    </row>
    <row r="1344" spans="1:16" x14ac:dyDescent="0.25">
      <c r="A1344" s="46" t="s">
        <v>29</v>
      </c>
      <c r="B1344" s="23">
        <f>(B1345)</f>
        <v>-15</v>
      </c>
      <c r="C1344" s="23">
        <f t="shared" ref="C1344:H1344" si="57">(C1345)</f>
        <v>3</v>
      </c>
      <c r="D1344" s="23">
        <v>55</v>
      </c>
      <c r="E1344" s="23">
        <f t="shared" si="57"/>
        <v>56</v>
      </c>
      <c r="F1344" s="23">
        <f t="shared" si="57"/>
        <v>61</v>
      </c>
      <c r="G1344" s="47">
        <f t="shared" si="57"/>
        <v>71</v>
      </c>
      <c r="H1344" s="47">
        <f t="shared" si="57"/>
        <v>73</v>
      </c>
      <c r="I1344" s="23">
        <v>65.900000000000006</v>
      </c>
      <c r="J1344" s="23"/>
      <c r="K1344" s="23"/>
      <c r="L1344" s="23"/>
    </row>
    <row r="1345" spans="1:12" x14ac:dyDescent="0.25">
      <c r="A1345" s="46" t="s">
        <v>30</v>
      </c>
      <c r="B1345" s="47">
        <f>(B1343-B1346)</f>
        <v>-15</v>
      </c>
      <c r="C1345" s="47">
        <f>(C1343-C1346)</f>
        <v>3</v>
      </c>
      <c r="D1345" s="47">
        <f>D1343+B1347</f>
        <v>55</v>
      </c>
      <c r="E1345" s="47">
        <f>E1343+D1347+C1347</f>
        <v>56</v>
      </c>
      <c r="F1345" s="47">
        <f>F1343+E1347</f>
        <v>61</v>
      </c>
      <c r="G1345" s="47">
        <f>G1343+F1347</f>
        <v>71</v>
      </c>
      <c r="H1345" s="47">
        <f>H1343+G1347</f>
        <v>73</v>
      </c>
      <c r="I1345" s="23">
        <f>I1343+0.1*H1343</f>
        <v>65.900000000000006</v>
      </c>
      <c r="J1345" s="23"/>
      <c r="K1345" s="23"/>
      <c r="L1345" s="23"/>
    </row>
    <row r="1346" spans="1:12" x14ac:dyDescent="0.25">
      <c r="A1346" s="46" t="s">
        <v>36</v>
      </c>
      <c r="B1346" s="47">
        <v>85</v>
      </c>
      <c r="C1346" s="47">
        <v>67</v>
      </c>
      <c r="D1346" s="47">
        <v>72</v>
      </c>
      <c r="E1346" s="47">
        <v>65</v>
      </c>
      <c r="F1346" s="47">
        <v>60</v>
      </c>
      <c r="G1346" s="47">
        <v>68</v>
      </c>
      <c r="H1346" s="47">
        <v>51</v>
      </c>
      <c r="I1346" s="23">
        <v>39</v>
      </c>
      <c r="J1346" s="23">
        <v>43</v>
      </c>
      <c r="K1346" s="23">
        <v>29</v>
      </c>
      <c r="L1346" s="23"/>
    </row>
    <row r="1347" spans="1:12" x14ac:dyDescent="0.25">
      <c r="A1347" s="46" t="s">
        <v>37</v>
      </c>
      <c r="B1347" s="23">
        <f>(B1345)</f>
        <v>-15</v>
      </c>
      <c r="C1347" s="23">
        <f>(C1345)</f>
        <v>3</v>
      </c>
      <c r="D1347" s="23">
        <f t="shared" ref="D1347:I1347" si="58">D1344-D1346</f>
        <v>-17</v>
      </c>
      <c r="E1347" s="23">
        <f t="shared" si="58"/>
        <v>-9</v>
      </c>
      <c r="F1347" s="23">
        <f t="shared" si="58"/>
        <v>1</v>
      </c>
      <c r="G1347" s="47">
        <f t="shared" si="58"/>
        <v>3</v>
      </c>
      <c r="H1347" s="47">
        <f t="shared" si="58"/>
        <v>22</v>
      </c>
      <c r="I1347" s="23">
        <f t="shared" si="58"/>
        <v>26.900000000000006</v>
      </c>
      <c r="J1347" s="23">
        <f>J1343-J1346</f>
        <v>15.899999999999999</v>
      </c>
      <c r="K1347" s="23">
        <f>K1343-K1346</f>
        <v>29.9</v>
      </c>
      <c r="L1347" s="23"/>
    </row>
    <row r="1348" spans="1:12" x14ac:dyDescent="0.25">
      <c r="A1348" s="49" t="s">
        <v>33</v>
      </c>
      <c r="B1348" s="69">
        <v>2015</v>
      </c>
      <c r="C1348" s="69">
        <v>2016</v>
      </c>
      <c r="D1348" s="69">
        <v>2016</v>
      </c>
      <c r="E1348" s="69">
        <v>2017</v>
      </c>
      <c r="F1348" s="69">
        <v>2018</v>
      </c>
      <c r="G1348" s="69">
        <v>2019</v>
      </c>
      <c r="H1348" s="69">
        <v>2020</v>
      </c>
      <c r="I1348" s="57"/>
      <c r="J1348" s="57"/>
      <c r="K1348" s="57"/>
      <c r="L1348" s="57"/>
    </row>
    <row r="1349" spans="1:12" x14ac:dyDescent="0.25">
      <c r="A1349" s="49" t="s">
        <v>34</v>
      </c>
      <c r="B1349" s="30"/>
      <c r="C1349" s="30"/>
      <c r="D1349" s="30"/>
      <c r="E1349" s="30"/>
      <c r="F1349" s="30"/>
      <c r="G1349" s="30"/>
      <c r="H1349" s="30"/>
      <c r="I1349" s="30"/>
      <c r="J1349" s="30"/>
      <c r="K1349" s="31"/>
      <c r="L1349" s="31"/>
    </row>
    <row r="1350" spans="1:12" x14ac:dyDescent="0.25">
      <c r="A1350" s="1" t="s">
        <v>312</v>
      </c>
      <c r="B1350" s="30"/>
      <c r="C1350" s="30"/>
      <c r="D1350" s="30"/>
      <c r="E1350" s="30"/>
      <c r="F1350" s="30"/>
      <c r="G1350" s="30"/>
      <c r="H1350" s="30"/>
      <c r="I1350" s="30"/>
      <c r="J1350" s="30"/>
      <c r="K1350" s="30"/>
      <c r="L1350" s="31"/>
    </row>
    <row r="1351" spans="1:12" x14ac:dyDescent="0.25">
      <c r="A1351" s="20" t="s">
        <v>313</v>
      </c>
      <c r="L1351" s="21"/>
    </row>
    <row r="1352" spans="1:12" x14ac:dyDescent="0.25">
      <c r="A1352" s="5" t="s">
        <v>314</v>
      </c>
      <c r="L1352" s="21"/>
    </row>
    <row r="1353" spans="1:12" x14ac:dyDescent="0.25">
      <c r="A1353" s="5" t="s">
        <v>315</v>
      </c>
      <c r="L1353" s="21"/>
    </row>
    <row r="1354" spans="1:12" x14ac:dyDescent="0.25">
      <c r="A1354" s="20" t="s">
        <v>306</v>
      </c>
      <c r="L1354" s="21"/>
    </row>
    <row r="1355" spans="1:12" x14ac:dyDescent="0.25">
      <c r="A1355" s="32" t="s">
        <v>411</v>
      </c>
      <c r="B1355" s="33"/>
      <c r="C1355" s="33"/>
      <c r="D1355" s="33"/>
      <c r="E1355" s="33"/>
      <c r="F1355" s="33"/>
      <c r="G1355" s="33"/>
      <c r="H1355" s="33"/>
      <c r="I1355" s="33"/>
      <c r="J1355" s="33"/>
      <c r="K1355" s="33"/>
      <c r="L1355" s="34"/>
    </row>
    <row r="1357" spans="1:12" x14ac:dyDescent="0.25">
      <c r="A1357" s="91" t="s">
        <v>14</v>
      </c>
      <c r="B1357" s="55" t="s">
        <v>79</v>
      </c>
      <c r="C1357" s="55" t="s">
        <v>26</v>
      </c>
    </row>
    <row r="1358" spans="1:12" x14ac:dyDescent="0.25">
      <c r="A1358" s="52" t="s">
        <v>27</v>
      </c>
      <c r="B1358" s="102">
        <v>2013</v>
      </c>
      <c r="C1358" s="51">
        <v>2014</v>
      </c>
      <c r="D1358" s="51">
        <v>2015</v>
      </c>
      <c r="E1358" s="51">
        <v>2016</v>
      </c>
      <c r="F1358" s="51">
        <v>2017</v>
      </c>
      <c r="G1358" s="64">
        <v>2018</v>
      </c>
      <c r="H1358" s="64">
        <v>2019</v>
      </c>
      <c r="I1358" s="51">
        <v>2020</v>
      </c>
      <c r="J1358" s="51">
        <v>2021</v>
      </c>
      <c r="K1358" s="51">
        <v>2022</v>
      </c>
      <c r="L1358" s="51">
        <v>2023</v>
      </c>
    </row>
    <row r="1359" spans="1:12" x14ac:dyDescent="0.25">
      <c r="A1359" s="22" t="s">
        <v>28</v>
      </c>
      <c r="B1359" s="23">
        <v>25</v>
      </c>
      <c r="C1359" s="23">
        <v>25</v>
      </c>
      <c r="D1359" s="23">
        <v>25</v>
      </c>
      <c r="E1359" s="23">
        <v>25</v>
      </c>
      <c r="F1359" s="47">
        <v>25</v>
      </c>
      <c r="G1359" s="186">
        <v>25</v>
      </c>
      <c r="H1359" s="186">
        <v>25</v>
      </c>
      <c r="I1359" s="23">
        <v>25</v>
      </c>
      <c r="J1359" s="23">
        <v>25</v>
      </c>
      <c r="K1359" s="23">
        <v>25</v>
      </c>
      <c r="L1359" s="23">
        <v>25</v>
      </c>
    </row>
    <row r="1360" spans="1:12" x14ac:dyDescent="0.25">
      <c r="A1360" s="22" t="s">
        <v>29</v>
      </c>
      <c r="B1360" s="23">
        <f>(B1361)</f>
        <v>-5</v>
      </c>
      <c r="C1360" s="23">
        <v>25</v>
      </c>
      <c r="D1360" s="23">
        <f t="shared" ref="D1360:E1360" si="59">(D1361)</f>
        <v>25</v>
      </c>
      <c r="E1360" s="23">
        <f t="shared" si="59"/>
        <v>24</v>
      </c>
      <c r="F1360" s="23">
        <f>F1359</f>
        <v>25</v>
      </c>
      <c r="G1360" s="186">
        <v>29</v>
      </c>
      <c r="H1360" s="186">
        <f>H1359+5</f>
        <v>30</v>
      </c>
      <c r="I1360" s="23">
        <f>I1361</f>
        <v>30</v>
      </c>
      <c r="J1360" s="23">
        <f>J1361</f>
        <v>30</v>
      </c>
      <c r="K1360" s="23"/>
      <c r="L1360" s="23"/>
    </row>
    <row r="1361" spans="1:14" x14ac:dyDescent="0.25">
      <c r="A1361" s="22" t="s">
        <v>30</v>
      </c>
      <c r="B1361" s="47">
        <f>(B1359-B1362)</f>
        <v>-5</v>
      </c>
      <c r="C1361" s="47">
        <v>25</v>
      </c>
      <c r="D1361" s="47">
        <f>D1359+B1363+C1363</f>
        <v>25</v>
      </c>
      <c r="E1361" s="47">
        <f>E1359+D1363</f>
        <v>24</v>
      </c>
      <c r="F1361" s="47">
        <v>25</v>
      </c>
      <c r="G1361" s="186">
        <v>29</v>
      </c>
      <c r="H1361" s="186">
        <f>H1359+5</f>
        <v>30</v>
      </c>
      <c r="I1361" s="23">
        <f>I1359+0.2*G1359</f>
        <v>30</v>
      </c>
      <c r="J1361" s="23">
        <f>J1359+0.2*H1359</f>
        <v>30</v>
      </c>
      <c r="K1361" s="23"/>
      <c r="L1361" s="23"/>
    </row>
    <row r="1362" spans="1:14" x14ac:dyDescent="0.25">
      <c r="A1362" s="22" t="s">
        <v>36</v>
      </c>
      <c r="B1362" s="47">
        <v>30</v>
      </c>
      <c r="C1362" s="47">
        <v>20</v>
      </c>
      <c r="D1362" s="47">
        <v>26</v>
      </c>
      <c r="E1362" s="47">
        <v>20</v>
      </c>
      <c r="F1362" s="47">
        <v>12</v>
      </c>
      <c r="G1362" s="186">
        <v>15.89</v>
      </c>
      <c r="H1362" s="186">
        <v>9</v>
      </c>
      <c r="I1362" s="23">
        <v>10</v>
      </c>
      <c r="J1362" s="23">
        <v>12</v>
      </c>
      <c r="K1362" s="23">
        <v>8</v>
      </c>
      <c r="L1362" s="23"/>
    </row>
    <row r="1363" spans="1:14" x14ac:dyDescent="0.25">
      <c r="A1363" s="22" t="s">
        <v>37</v>
      </c>
      <c r="B1363" s="23">
        <v>-5</v>
      </c>
      <c r="C1363" s="23">
        <v>5</v>
      </c>
      <c r="D1363" s="23">
        <f>D1360-D1362</f>
        <v>-1</v>
      </c>
      <c r="E1363" s="129">
        <f>E1360-E1362</f>
        <v>4</v>
      </c>
      <c r="F1363" s="23">
        <f>F1360-F1362</f>
        <v>13</v>
      </c>
      <c r="G1363" s="186">
        <v>13.11</v>
      </c>
      <c r="H1363" s="186">
        <f>H1360-H1362</f>
        <v>21</v>
      </c>
      <c r="I1363" s="186">
        <f>I1360-I1362</f>
        <v>20</v>
      </c>
      <c r="J1363" s="23">
        <f>J1360-J1362</f>
        <v>18</v>
      </c>
      <c r="K1363" s="23">
        <f>K1359-K1362</f>
        <v>17</v>
      </c>
      <c r="L1363" s="23"/>
    </row>
    <row r="1364" spans="1:14" x14ac:dyDescent="0.25">
      <c r="A1364" s="36" t="s">
        <v>33</v>
      </c>
      <c r="B1364" s="69">
        <v>2015</v>
      </c>
      <c r="C1364" s="69">
        <v>2016</v>
      </c>
      <c r="D1364" s="69">
        <v>2017</v>
      </c>
      <c r="E1364" s="69">
        <v>2018</v>
      </c>
      <c r="F1364" s="57">
        <v>2019</v>
      </c>
      <c r="G1364" s="57">
        <v>2020</v>
      </c>
      <c r="H1364" s="109">
        <v>2021</v>
      </c>
      <c r="I1364" s="57"/>
      <c r="J1364" s="57"/>
      <c r="K1364" s="57"/>
      <c r="L1364" s="57"/>
    </row>
    <row r="1365" spans="1:14" x14ac:dyDescent="0.25">
      <c r="A1365" s="49" t="s">
        <v>34</v>
      </c>
      <c r="B1365" s="30"/>
      <c r="C1365" s="30"/>
      <c r="D1365" s="30"/>
      <c r="E1365" s="30"/>
      <c r="F1365" s="30"/>
      <c r="G1365" s="30"/>
      <c r="H1365" s="30"/>
      <c r="I1365" s="30"/>
      <c r="J1365" s="30"/>
      <c r="K1365" s="31"/>
      <c r="L1365" s="31"/>
    </row>
    <row r="1366" spans="1:14" x14ac:dyDescent="0.25">
      <c r="A1366" s="1" t="s">
        <v>307</v>
      </c>
      <c r="B1366" s="30"/>
      <c r="C1366" s="30"/>
      <c r="D1366" s="30"/>
      <c r="E1366" s="30"/>
      <c r="F1366" s="30"/>
      <c r="G1366" s="30"/>
      <c r="H1366" s="30"/>
      <c r="I1366" s="30"/>
      <c r="J1366" s="30"/>
      <c r="K1366" s="30"/>
      <c r="L1366" s="31"/>
    </row>
    <row r="1367" spans="1:14" x14ac:dyDescent="0.25">
      <c r="A1367" s="20" t="s">
        <v>308</v>
      </c>
      <c r="L1367" s="21"/>
    </row>
    <row r="1368" spans="1:14" x14ac:dyDescent="0.25">
      <c r="A1368" s="5" t="s">
        <v>309</v>
      </c>
      <c r="L1368" s="21"/>
    </row>
    <row r="1369" spans="1:14" x14ac:dyDescent="0.25">
      <c r="A1369" s="5" t="s">
        <v>310</v>
      </c>
      <c r="L1369" s="21"/>
    </row>
    <row r="1370" spans="1:14" x14ac:dyDescent="0.25">
      <c r="A1370" s="20" t="s">
        <v>311</v>
      </c>
      <c r="L1370" s="21"/>
    </row>
    <row r="1371" spans="1:14" x14ac:dyDescent="0.25">
      <c r="A1371" s="20" t="s">
        <v>412</v>
      </c>
      <c r="L1371" s="21"/>
    </row>
    <row r="1372" spans="1:14" x14ac:dyDescent="0.25">
      <c r="A1372" s="32" t="s">
        <v>413</v>
      </c>
      <c r="B1372" s="33"/>
      <c r="C1372" s="33"/>
      <c r="D1372" s="33"/>
      <c r="E1372" s="33"/>
      <c r="F1372" s="33"/>
      <c r="G1372" s="33"/>
      <c r="H1372" s="33"/>
      <c r="I1372" s="33"/>
      <c r="J1372" s="33"/>
      <c r="K1372" s="33"/>
      <c r="L1372" s="34"/>
    </row>
    <row r="1373" spans="1:14" x14ac:dyDescent="0.25">
      <c r="A1373" s="222"/>
      <c r="B1373" s="222"/>
      <c r="C1373" s="222"/>
      <c r="D1373" s="222"/>
      <c r="E1373" s="222"/>
      <c r="F1373" s="222"/>
      <c r="G1373" s="222"/>
      <c r="H1373" s="222"/>
      <c r="I1373" s="222"/>
      <c r="J1373" s="222"/>
      <c r="K1373" s="222"/>
      <c r="L1373" s="222"/>
      <c r="M1373" s="222"/>
      <c r="N1373" s="222"/>
    </row>
    <row r="1374" spans="1:14" x14ac:dyDescent="0.25">
      <c r="A1374" s="222"/>
      <c r="B1374" s="222"/>
      <c r="C1374" s="222"/>
      <c r="D1374" s="222"/>
      <c r="E1374" s="222"/>
      <c r="F1374" s="222"/>
      <c r="G1374" s="222"/>
      <c r="H1374" s="222"/>
      <c r="I1374" s="222"/>
      <c r="J1374" s="222"/>
      <c r="K1374" s="222"/>
      <c r="L1374" s="222"/>
      <c r="M1374" s="222"/>
      <c r="N1374" s="222"/>
    </row>
    <row r="1375" spans="1:14" x14ac:dyDescent="0.25">
      <c r="A1375" s="395" t="s">
        <v>12</v>
      </c>
      <c r="B1375" s="554" t="s">
        <v>460</v>
      </c>
      <c r="C1375" s="254">
        <f>0.3*C1378</f>
        <v>350.4</v>
      </c>
      <c r="D1375" s="254">
        <f>D1378*0.2</f>
        <v>233.60000000000002</v>
      </c>
      <c r="E1375" s="254"/>
      <c r="F1375" s="254"/>
      <c r="G1375" s="254"/>
      <c r="H1375" s="222"/>
      <c r="I1375" s="222"/>
      <c r="J1375" s="222"/>
      <c r="K1375" s="222"/>
      <c r="L1375" s="222"/>
      <c r="M1375" s="222"/>
      <c r="N1375" s="222"/>
    </row>
    <row r="1376" spans="1:14" x14ac:dyDescent="0.25">
      <c r="A1376" s="557" t="s">
        <v>14</v>
      </c>
      <c r="B1376" s="558" t="s">
        <v>660</v>
      </c>
      <c r="C1376" s="252" t="s">
        <v>15</v>
      </c>
      <c r="D1376" s="254"/>
      <c r="E1376" s="254"/>
      <c r="F1376" s="254"/>
      <c r="G1376" s="254"/>
      <c r="H1376" s="222"/>
      <c r="I1376" s="222"/>
      <c r="J1376" s="222"/>
      <c r="K1376" s="222"/>
      <c r="L1376" s="222"/>
      <c r="M1376" s="222"/>
      <c r="N1376" s="222"/>
    </row>
    <row r="1377" spans="1:14" x14ac:dyDescent="0.25">
      <c r="A1377" s="323" t="s">
        <v>16</v>
      </c>
      <c r="B1377" s="324"/>
      <c r="C1377" s="339">
        <v>2016</v>
      </c>
      <c r="D1377" s="229">
        <v>2017</v>
      </c>
      <c r="E1377" s="229">
        <v>2018</v>
      </c>
      <c r="F1377" s="229">
        <v>2019</v>
      </c>
      <c r="G1377" s="229">
        <v>2020</v>
      </c>
      <c r="H1377" s="229">
        <v>2021</v>
      </c>
      <c r="I1377" s="229">
        <v>2022</v>
      </c>
      <c r="J1377" s="229">
        <v>2023</v>
      </c>
      <c r="K1377" s="222"/>
      <c r="L1377" s="222"/>
      <c r="M1377" s="222"/>
      <c r="N1377" s="222"/>
    </row>
    <row r="1378" spans="1:14" x14ac:dyDescent="0.25">
      <c r="A1378" s="255" t="s">
        <v>17</v>
      </c>
      <c r="B1378" s="326"/>
      <c r="C1378" s="327">
        <v>1168</v>
      </c>
      <c r="D1378" s="432">
        <v>1168</v>
      </c>
      <c r="E1378" s="432">
        <v>1168</v>
      </c>
      <c r="F1378" s="432">
        <v>1168</v>
      </c>
      <c r="G1378" s="432">
        <v>1168</v>
      </c>
      <c r="H1378" s="432">
        <v>1168</v>
      </c>
      <c r="I1378" s="432">
        <v>1168</v>
      </c>
      <c r="J1378" s="432">
        <v>1168</v>
      </c>
      <c r="K1378" s="222"/>
      <c r="L1378" s="222"/>
      <c r="M1378" s="222"/>
      <c r="N1378" s="222"/>
    </row>
    <row r="1379" spans="1:14" x14ac:dyDescent="0.25">
      <c r="A1379" s="255" t="s">
        <v>18</v>
      </c>
      <c r="B1379" s="326"/>
      <c r="C1379" s="433">
        <f>C1378+0.3*C1378+50+50+50</f>
        <v>1668.4</v>
      </c>
      <c r="D1379" s="433">
        <f t="shared" ref="D1379" si="60">D1378+0.3*D1378+50+50+50</f>
        <v>1668.4</v>
      </c>
      <c r="E1379" s="433">
        <f>E1378+0.2*E1378+50+50+50</f>
        <v>1551.6</v>
      </c>
      <c r="F1379" s="433">
        <f t="shared" ref="F1379:G1379" si="61">F1378+0.2*F1378+50+50+50</f>
        <v>1551.6</v>
      </c>
      <c r="G1379" s="433">
        <f t="shared" si="61"/>
        <v>1551.6</v>
      </c>
      <c r="H1379" s="433">
        <f>H1378+0.2*H1378+50+50</f>
        <v>1501.6</v>
      </c>
      <c r="I1379" s="433">
        <f>I1378+0.2*G1378+50</f>
        <v>1451.6</v>
      </c>
      <c r="J1379" s="433">
        <f>J1378+0.1*H1378+50</f>
        <v>1334.8</v>
      </c>
      <c r="K1379" s="222"/>
      <c r="L1379" s="222"/>
      <c r="M1379" s="222"/>
      <c r="N1379" s="222"/>
    </row>
    <row r="1380" spans="1:14" x14ac:dyDescent="0.25">
      <c r="A1380" s="255" t="s">
        <v>19</v>
      </c>
      <c r="B1380" s="434"/>
      <c r="C1380" s="433" t="s">
        <v>463</v>
      </c>
      <c r="D1380" s="433" t="s">
        <v>463</v>
      </c>
      <c r="E1380" s="433" t="s">
        <v>466</v>
      </c>
      <c r="F1380" s="433" t="s">
        <v>466</v>
      </c>
      <c r="G1380" s="433" t="s">
        <v>466</v>
      </c>
      <c r="H1380" s="433" t="s">
        <v>691</v>
      </c>
      <c r="I1380" s="433" t="s">
        <v>898</v>
      </c>
      <c r="J1380" s="433" t="s">
        <v>899</v>
      </c>
      <c r="K1380" s="222"/>
      <c r="L1380" s="222"/>
      <c r="M1380" s="222"/>
      <c r="N1380" s="222"/>
    </row>
    <row r="1381" spans="1:14" x14ac:dyDescent="0.25">
      <c r="A1381" s="255" t="s">
        <v>20</v>
      </c>
      <c r="B1381" s="326"/>
      <c r="C1381" s="327">
        <v>466</v>
      </c>
      <c r="D1381" s="432">
        <v>717</v>
      </c>
      <c r="E1381" s="432">
        <v>881</v>
      </c>
      <c r="F1381" s="432">
        <v>811.28</v>
      </c>
      <c r="G1381" s="432">
        <v>789.23699999999997</v>
      </c>
      <c r="H1381" s="432">
        <v>252.99</v>
      </c>
      <c r="I1381" s="432">
        <v>1083</v>
      </c>
      <c r="J1381" s="432"/>
      <c r="K1381" s="222"/>
      <c r="L1381" s="222"/>
      <c r="M1381" s="222"/>
      <c r="N1381" s="222"/>
    </row>
    <row r="1382" spans="1:14" x14ac:dyDescent="0.25">
      <c r="A1382" s="255" t="s">
        <v>21</v>
      </c>
      <c r="B1382" s="326"/>
      <c r="C1382" s="327">
        <f>C1379-C1381</f>
        <v>1202.4000000000001</v>
      </c>
      <c r="D1382" s="327">
        <f t="shared" ref="D1382:I1382" si="62">D1379-D1381</f>
        <v>951.40000000000009</v>
      </c>
      <c r="E1382" s="327">
        <f t="shared" si="62"/>
        <v>670.59999999999991</v>
      </c>
      <c r="F1382" s="327">
        <f t="shared" si="62"/>
        <v>740.31999999999994</v>
      </c>
      <c r="G1382" s="327">
        <f t="shared" si="62"/>
        <v>762.36299999999994</v>
      </c>
      <c r="H1382" s="327">
        <f t="shared" si="62"/>
        <v>1248.6099999999999</v>
      </c>
      <c r="I1382" s="327">
        <f t="shared" si="62"/>
        <v>368.59999999999991</v>
      </c>
      <c r="J1382" s="327"/>
      <c r="K1382" s="222"/>
      <c r="L1382" s="222"/>
      <c r="M1382" s="222"/>
      <c r="N1382" s="222"/>
    </row>
    <row r="1383" spans="1:14" x14ac:dyDescent="0.25">
      <c r="A1383" s="255" t="s">
        <v>22</v>
      </c>
      <c r="B1383" s="326"/>
      <c r="C1383" s="325">
        <v>2018</v>
      </c>
      <c r="D1383" s="325">
        <v>2019</v>
      </c>
      <c r="E1383" s="325">
        <v>2020</v>
      </c>
      <c r="F1383" s="325">
        <v>2021</v>
      </c>
      <c r="G1383" s="325">
        <v>2022</v>
      </c>
      <c r="H1383" s="325">
        <v>2023</v>
      </c>
      <c r="I1383" s="325">
        <v>2023</v>
      </c>
      <c r="J1383" s="325">
        <v>2025</v>
      </c>
      <c r="K1383" s="222"/>
      <c r="L1383" s="222"/>
      <c r="M1383" s="222"/>
      <c r="N1383" s="222"/>
    </row>
    <row r="1384" spans="1:14" x14ac:dyDescent="0.25">
      <c r="A1384" s="654" t="s">
        <v>23</v>
      </c>
      <c r="B1384" s="655"/>
      <c r="C1384" s="655"/>
      <c r="D1384" s="655"/>
      <c r="E1384" s="655"/>
      <c r="F1384" s="260"/>
      <c r="G1384" s="261"/>
      <c r="H1384" s="261"/>
      <c r="I1384" s="261"/>
      <c r="J1384" s="261"/>
      <c r="K1384" s="222"/>
      <c r="L1384" s="222"/>
      <c r="M1384" s="222"/>
      <c r="N1384" s="222"/>
    </row>
    <row r="1385" spans="1:14" x14ac:dyDescent="0.25">
      <c r="A1385" s="435" t="s">
        <v>462</v>
      </c>
      <c r="B1385" s="436"/>
      <c r="C1385" s="436"/>
      <c r="D1385" s="436"/>
      <c r="E1385" s="436"/>
      <c r="F1385" s="260"/>
      <c r="G1385" s="260"/>
      <c r="H1385" s="218"/>
      <c r="I1385" s="218"/>
      <c r="J1385" s="218"/>
      <c r="K1385" s="222"/>
      <c r="L1385" s="222"/>
      <c r="M1385" s="222"/>
      <c r="N1385" s="222"/>
    </row>
    <row r="1386" spans="1:14" x14ac:dyDescent="0.25">
      <c r="A1386" s="221" t="s">
        <v>461</v>
      </c>
      <c r="B1386" s="222"/>
      <c r="C1386" s="222"/>
      <c r="D1386" s="222"/>
      <c r="E1386" s="222"/>
      <c r="F1386" s="222"/>
      <c r="G1386" s="222"/>
      <c r="H1386" s="223"/>
      <c r="I1386" s="223"/>
      <c r="J1386" s="223"/>
      <c r="K1386" s="222"/>
      <c r="L1386" s="222"/>
      <c r="M1386" s="222"/>
      <c r="N1386" s="222"/>
    </row>
    <row r="1387" spans="1:14" x14ac:dyDescent="0.25">
      <c r="A1387" s="221" t="s">
        <v>900</v>
      </c>
      <c r="B1387" s="222"/>
      <c r="C1387" s="222"/>
      <c r="D1387" s="222"/>
      <c r="E1387" s="222"/>
      <c r="F1387" s="222"/>
      <c r="G1387" s="222"/>
      <c r="H1387" s="223"/>
      <c r="I1387" s="223"/>
      <c r="J1387" s="223"/>
      <c r="K1387" s="222"/>
      <c r="L1387" s="222"/>
      <c r="M1387" s="222"/>
      <c r="N1387" s="222"/>
    </row>
    <row r="1388" spans="1:14" x14ac:dyDescent="0.25">
      <c r="A1388" s="221" t="s">
        <v>897</v>
      </c>
      <c r="B1388" s="222"/>
      <c r="C1388" s="222"/>
      <c r="D1388" s="222"/>
      <c r="E1388" s="222"/>
      <c r="F1388" s="222"/>
      <c r="G1388" s="222"/>
      <c r="H1388" s="223"/>
      <c r="I1388" s="223"/>
      <c r="J1388" s="223"/>
      <c r="K1388" s="222"/>
      <c r="L1388" s="222"/>
      <c r="M1388" s="222"/>
      <c r="N1388" s="222"/>
    </row>
    <row r="1389" spans="1:14" x14ac:dyDescent="0.25">
      <c r="A1389" s="221" t="s">
        <v>464</v>
      </c>
      <c r="B1389" s="222"/>
      <c r="C1389" s="222"/>
      <c r="D1389" s="222"/>
      <c r="E1389" s="222"/>
      <c r="F1389" s="222"/>
      <c r="G1389" s="222"/>
      <c r="H1389" s="223"/>
      <c r="I1389" s="223"/>
      <c r="J1389" s="223"/>
      <c r="K1389" s="222"/>
      <c r="L1389" s="222"/>
      <c r="M1389" s="222"/>
      <c r="N1389" s="222"/>
    </row>
    <row r="1390" spans="1:14" x14ac:dyDescent="0.25">
      <c r="A1390" s="212" t="s">
        <v>465</v>
      </c>
      <c r="B1390" s="224"/>
      <c r="C1390" s="224"/>
      <c r="D1390" s="224"/>
      <c r="E1390" s="224"/>
      <c r="F1390" s="224"/>
      <c r="G1390" s="224"/>
      <c r="H1390" s="225"/>
      <c r="I1390" s="225"/>
      <c r="J1390" s="225"/>
      <c r="K1390" s="222"/>
      <c r="L1390" s="222"/>
      <c r="M1390" s="222"/>
      <c r="N1390" s="222"/>
    </row>
    <row r="1391" spans="1:14" x14ac:dyDescent="0.25">
      <c r="A1391" s="222"/>
      <c r="B1391" s="222"/>
      <c r="C1391" s="222"/>
      <c r="D1391" s="222"/>
      <c r="E1391" s="222"/>
      <c r="F1391" s="222"/>
      <c r="G1391" s="222"/>
      <c r="H1391" s="222"/>
      <c r="I1391" s="222"/>
      <c r="J1391" s="222"/>
      <c r="K1391" s="222"/>
      <c r="L1391" s="222"/>
      <c r="M1391" s="222"/>
      <c r="N1391" s="222"/>
    </row>
    <row r="1392" spans="1:14" x14ac:dyDescent="0.25">
      <c r="A1392" s="251" t="s">
        <v>14</v>
      </c>
      <c r="B1392" s="252" t="s">
        <v>657</v>
      </c>
      <c r="C1392" s="252" t="s">
        <v>15</v>
      </c>
      <c r="D1392" s="254"/>
      <c r="E1392" s="254"/>
      <c r="F1392" s="254"/>
      <c r="G1392" s="254"/>
      <c r="H1392" s="222"/>
      <c r="I1392" s="222"/>
      <c r="J1392" s="222"/>
      <c r="K1392" s="222"/>
      <c r="L1392" s="222"/>
      <c r="M1392" s="222"/>
      <c r="N1392" s="222"/>
    </row>
    <row r="1393" spans="1:14" x14ac:dyDescent="0.25">
      <c r="A1393" s="323" t="s">
        <v>16</v>
      </c>
      <c r="B1393" s="324"/>
      <c r="C1393" s="339">
        <v>2016</v>
      </c>
      <c r="D1393" s="229">
        <v>2017</v>
      </c>
      <c r="E1393" s="229">
        <v>2018</v>
      </c>
      <c r="F1393" s="229">
        <v>2019</v>
      </c>
      <c r="G1393" s="229">
        <v>2020</v>
      </c>
      <c r="H1393" s="229">
        <v>2021</v>
      </c>
      <c r="I1393" s="229">
        <v>2022</v>
      </c>
      <c r="J1393" s="229" t="s">
        <v>903</v>
      </c>
      <c r="K1393" s="229" t="s">
        <v>904</v>
      </c>
      <c r="L1393" s="229" t="s">
        <v>905</v>
      </c>
      <c r="M1393" s="222"/>
      <c r="N1393" s="222"/>
    </row>
    <row r="1394" spans="1:14" x14ac:dyDescent="0.25">
      <c r="A1394" s="255" t="s">
        <v>17</v>
      </c>
      <c r="B1394" s="326"/>
      <c r="C1394" s="327">
        <v>3600</v>
      </c>
      <c r="D1394" s="432">
        <v>3600</v>
      </c>
      <c r="E1394" s="432">
        <v>3600</v>
      </c>
      <c r="F1394" s="432">
        <v>3600</v>
      </c>
      <c r="G1394" s="432">
        <v>3600</v>
      </c>
      <c r="H1394" s="432">
        <v>3600</v>
      </c>
      <c r="I1394" s="432">
        <v>3600</v>
      </c>
      <c r="J1394" s="432">
        <v>4320</v>
      </c>
      <c r="K1394" s="432">
        <v>4320</v>
      </c>
      <c r="L1394" s="432">
        <v>4320</v>
      </c>
      <c r="M1394" s="222"/>
      <c r="N1394" s="222"/>
    </row>
    <row r="1395" spans="1:14" x14ac:dyDescent="0.25">
      <c r="A1395" s="255" t="s">
        <v>18</v>
      </c>
      <c r="B1395" s="326"/>
      <c r="C1395" s="433">
        <f>C1394+0.25*C1394</f>
        <v>4500</v>
      </c>
      <c r="D1395" s="433">
        <v>4477</v>
      </c>
      <c r="E1395" s="433">
        <f>E1394+0.25*E1394</f>
        <v>4500</v>
      </c>
      <c r="F1395" s="433">
        <f t="shared" ref="F1395:I1395" si="63">F1394+0.25*F1394</f>
        <v>4500</v>
      </c>
      <c r="G1395" s="433">
        <f t="shared" si="63"/>
        <v>4500</v>
      </c>
      <c r="H1395" s="433">
        <f t="shared" si="63"/>
        <v>4500</v>
      </c>
      <c r="I1395" s="433">
        <f t="shared" si="63"/>
        <v>4500</v>
      </c>
      <c r="J1395" s="433">
        <f>J1394+0.25*H1394</f>
        <v>5220</v>
      </c>
      <c r="K1395" s="433">
        <f>K1394+I1398</f>
        <v>2075</v>
      </c>
      <c r="L1395" s="433">
        <f>L1394</f>
        <v>4320</v>
      </c>
      <c r="M1395" s="222"/>
      <c r="N1395" s="222"/>
    </row>
    <row r="1396" spans="1:14" ht="39.6" x14ac:dyDescent="0.25">
      <c r="A1396" s="255" t="s">
        <v>19</v>
      </c>
      <c r="B1396" s="434"/>
      <c r="C1396" s="433" t="s">
        <v>901</v>
      </c>
      <c r="D1396" s="433" t="s">
        <v>901</v>
      </c>
      <c r="E1396" s="433" t="s">
        <v>901</v>
      </c>
      <c r="F1396" s="433" t="s">
        <v>901</v>
      </c>
      <c r="G1396" s="433" t="s">
        <v>901</v>
      </c>
      <c r="H1396" s="433" t="s">
        <v>901</v>
      </c>
      <c r="I1396" s="433" t="s">
        <v>901</v>
      </c>
      <c r="J1396" s="433" t="s">
        <v>902</v>
      </c>
      <c r="K1396" s="634" t="s">
        <v>907</v>
      </c>
      <c r="L1396" s="634" t="s">
        <v>908</v>
      </c>
      <c r="M1396" s="222"/>
      <c r="N1396" s="222"/>
    </row>
    <row r="1397" spans="1:14" x14ac:dyDescent="0.25">
      <c r="A1397" s="255" t="s">
        <v>20</v>
      </c>
      <c r="B1397" s="326"/>
      <c r="C1397" s="327">
        <v>994</v>
      </c>
      <c r="D1397" s="432">
        <v>365.62</v>
      </c>
      <c r="E1397" s="432">
        <v>888.8</v>
      </c>
      <c r="F1397" s="432">
        <v>966.50400000000002</v>
      </c>
      <c r="G1397" s="432">
        <v>2165.75</v>
      </c>
      <c r="H1397" s="432">
        <v>3412.63</v>
      </c>
      <c r="I1397" s="432">
        <v>6745</v>
      </c>
      <c r="J1397" s="432"/>
      <c r="K1397" s="432"/>
      <c r="L1397" s="432"/>
      <c r="M1397" s="222"/>
      <c r="N1397" s="222"/>
    </row>
    <row r="1398" spans="1:14" x14ac:dyDescent="0.25">
      <c r="A1398" s="255" t="s">
        <v>21</v>
      </c>
      <c r="B1398" s="326"/>
      <c r="C1398" s="327">
        <f>C1395-C1397</f>
        <v>3506</v>
      </c>
      <c r="D1398" s="327">
        <f t="shared" ref="D1398:I1398" si="64">D1395-D1397</f>
        <v>4111.38</v>
      </c>
      <c r="E1398" s="327">
        <f t="shared" si="64"/>
        <v>3611.2</v>
      </c>
      <c r="F1398" s="327">
        <f t="shared" si="64"/>
        <v>3533.4960000000001</v>
      </c>
      <c r="G1398" s="327">
        <f t="shared" si="64"/>
        <v>2334.25</v>
      </c>
      <c r="H1398" s="327">
        <f t="shared" si="64"/>
        <v>1087.3699999999999</v>
      </c>
      <c r="I1398" s="327">
        <f t="shared" si="64"/>
        <v>-2245</v>
      </c>
      <c r="J1398" s="327"/>
      <c r="K1398" s="327"/>
      <c r="L1398" s="327"/>
      <c r="M1398" s="222"/>
      <c r="N1398" s="222"/>
    </row>
    <row r="1399" spans="1:14" x14ac:dyDescent="0.25">
      <c r="A1399" s="255" t="s">
        <v>22</v>
      </c>
      <c r="B1399" s="326"/>
      <c r="C1399" s="325">
        <v>2018</v>
      </c>
      <c r="D1399" s="325">
        <v>2019</v>
      </c>
      <c r="E1399" s="325">
        <v>2020</v>
      </c>
      <c r="F1399" s="325">
        <v>2021</v>
      </c>
      <c r="G1399" s="325">
        <v>2022</v>
      </c>
      <c r="H1399" s="325">
        <v>2023</v>
      </c>
      <c r="I1399" s="325">
        <v>2024</v>
      </c>
      <c r="J1399" s="325">
        <v>2025</v>
      </c>
      <c r="K1399" s="325">
        <v>2026</v>
      </c>
      <c r="L1399" s="325">
        <v>2027</v>
      </c>
      <c r="M1399" s="222"/>
      <c r="N1399" s="222"/>
    </row>
    <row r="1400" spans="1:14" x14ac:dyDescent="0.25">
      <c r="A1400" s="654" t="s">
        <v>23</v>
      </c>
      <c r="B1400" s="655"/>
      <c r="C1400" s="655"/>
      <c r="D1400" s="655"/>
      <c r="E1400" s="655"/>
      <c r="F1400" s="260"/>
      <c r="G1400" s="261"/>
      <c r="H1400" s="261"/>
      <c r="I1400" s="261"/>
      <c r="J1400" s="261"/>
      <c r="K1400" s="261"/>
      <c r="L1400" s="261"/>
      <c r="M1400" s="222"/>
      <c r="N1400" s="222"/>
    </row>
    <row r="1401" spans="1:14" x14ac:dyDescent="0.25">
      <c r="A1401" s="516" t="s">
        <v>906</v>
      </c>
      <c r="B1401" s="517"/>
      <c r="C1401" s="517"/>
      <c r="D1401" s="517"/>
      <c r="E1401" s="517"/>
      <c r="F1401" s="586"/>
      <c r="G1401" s="586"/>
      <c r="H1401" s="233"/>
      <c r="I1401" s="233"/>
      <c r="J1401" s="233"/>
      <c r="K1401" s="233"/>
      <c r="L1401" s="233"/>
      <c r="M1401" s="222"/>
      <c r="N1401" s="222"/>
    </row>
    <row r="1402" spans="1:14" x14ac:dyDescent="0.25">
      <c r="A1402" s="222"/>
      <c r="B1402" s="222"/>
      <c r="C1402" s="222"/>
      <c r="D1402" s="222"/>
      <c r="E1402" s="222"/>
      <c r="F1402" s="222"/>
      <c r="G1402" s="222"/>
      <c r="H1402" s="222"/>
      <c r="I1402" s="222"/>
      <c r="J1402" s="222"/>
      <c r="K1402" s="222"/>
      <c r="L1402" s="222"/>
      <c r="M1402" s="222"/>
      <c r="N1402" s="222"/>
    </row>
    <row r="1403" spans="1:14" x14ac:dyDescent="0.25">
      <c r="A1403" s="222"/>
      <c r="B1403" s="222"/>
      <c r="C1403" s="222"/>
      <c r="D1403" s="222"/>
      <c r="E1403" s="222"/>
      <c r="F1403" s="222"/>
      <c r="G1403" s="222"/>
      <c r="H1403" s="222"/>
      <c r="I1403" s="222"/>
      <c r="J1403" s="222"/>
      <c r="K1403" s="222"/>
      <c r="L1403" s="222"/>
      <c r="M1403" s="222"/>
      <c r="N1403" s="222"/>
    </row>
    <row r="1404" spans="1:14" x14ac:dyDescent="0.25">
      <c r="A1404" s="395" t="s">
        <v>12</v>
      </c>
      <c r="B1404" s="554" t="s">
        <v>261</v>
      </c>
      <c r="C1404" s="254"/>
      <c r="D1404" s="254"/>
      <c r="E1404" s="254"/>
      <c r="F1404" s="254"/>
      <c r="G1404" s="254"/>
      <c r="H1404" s="222"/>
      <c r="I1404" s="222"/>
      <c r="J1404" s="222"/>
      <c r="K1404" s="222"/>
      <c r="L1404" s="222"/>
      <c r="M1404" s="222"/>
      <c r="N1404" s="222"/>
    </row>
    <row r="1405" spans="1:14" x14ac:dyDescent="0.25">
      <c r="A1405" s="557" t="s">
        <v>14</v>
      </c>
      <c r="B1405" s="558" t="s">
        <v>661</v>
      </c>
      <c r="C1405" s="252" t="s">
        <v>15</v>
      </c>
      <c r="D1405" s="254"/>
      <c r="E1405" s="254"/>
      <c r="F1405" s="254"/>
      <c r="G1405" s="254"/>
      <c r="H1405" s="222"/>
      <c r="I1405" s="222"/>
      <c r="J1405" s="222"/>
      <c r="K1405" s="222"/>
      <c r="L1405" s="222"/>
      <c r="M1405" s="222"/>
      <c r="N1405" s="222"/>
    </row>
    <row r="1406" spans="1:14" x14ac:dyDescent="0.25">
      <c r="A1406" s="323" t="s">
        <v>16</v>
      </c>
      <c r="B1406" s="324"/>
      <c r="C1406" s="326"/>
      <c r="D1406" s="229">
        <v>2019</v>
      </c>
      <c r="E1406" s="229">
        <v>2020</v>
      </c>
      <c r="F1406" s="229">
        <v>2021</v>
      </c>
      <c r="G1406" s="229">
        <v>2022</v>
      </c>
      <c r="H1406" s="229">
        <v>2023</v>
      </c>
      <c r="I1406" s="222"/>
      <c r="J1406" s="222"/>
      <c r="K1406" s="222"/>
      <c r="L1406" s="222"/>
      <c r="M1406" s="222"/>
      <c r="N1406" s="222"/>
    </row>
    <row r="1407" spans="1:14" x14ac:dyDescent="0.25">
      <c r="A1407" s="255" t="s">
        <v>17</v>
      </c>
      <c r="B1407" s="326"/>
      <c r="C1407" s="326"/>
      <c r="D1407" s="432">
        <v>239</v>
      </c>
      <c r="E1407" s="432">
        <v>300</v>
      </c>
      <c r="F1407" s="432">
        <v>300</v>
      </c>
      <c r="G1407" s="432">
        <v>300</v>
      </c>
      <c r="H1407" s="432">
        <v>368</v>
      </c>
      <c r="I1407" s="222"/>
      <c r="J1407" s="222"/>
      <c r="K1407" s="222"/>
      <c r="L1407" s="222"/>
      <c r="M1407" s="222"/>
      <c r="N1407" s="222"/>
    </row>
    <row r="1408" spans="1:14" x14ac:dyDescent="0.25">
      <c r="A1408" s="255" t="s">
        <v>18</v>
      </c>
      <c r="B1408" s="326"/>
      <c r="C1408" s="326"/>
      <c r="D1408" s="432">
        <v>239</v>
      </c>
      <c r="E1408" s="432">
        <f>E1407+0.05*D1407</f>
        <v>311.95</v>
      </c>
      <c r="F1408" s="432">
        <f>F1407+0.05*E1407</f>
        <v>315</v>
      </c>
      <c r="G1408" s="432">
        <f>G1407+0.05*F1407</f>
        <v>315</v>
      </c>
      <c r="H1408" s="432">
        <f>H1407+0.05*G1407</f>
        <v>383</v>
      </c>
      <c r="I1408" s="222"/>
      <c r="J1408" s="222"/>
      <c r="K1408" s="222"/>
      <c r="L1408" s="222"/>
      <c r="M1408" s="222"/>
      <c r="N1408" s="222"/>
    </row>
    <row r="1409" spans="1:14" x14ac:dyDescent="0.25">
      <c r="A1409" s="255" t="s">
        <v>19</v>
      </c>
      <c r="B1409" s="434"/>
      <c r="C1409" s="331"/>
      <c r="D1409" s="255" t="s">
        <v>262</v>
      </c>
      <c r="E1409" s="598"/>
      <c r="F1409" s="598"/>
      <c r="G1409" s="598"/>
      <c r="H1409" s="598"/>
      <c r="I1409" s="222"/>
      <c r="J1409" s="222"/>
      <c r="K1409" s="222"/>
      <c r="L1409" s="222"/>
      <c r="M1409" s="222"/>
      <c r="N1409" s="222"/>
    </row>
    <row r="1410" spans="1:14" x14ac:dyDescent="0.25">
      <c r="A1410" s="255" t="s">
        <v>20</v>
      </c>
      <c r="B1410" s="326"/>
      <c r="C1410" s="326"/>
      <c r="D1410" s="598">
        <v>49.3</v>
      </c>
      <c r="E1410" s="598">
        <v>194.39</v>
      </c>
      <c r="F1410" s="598">
        <v>157.68</v>
      </c>
      <c r="G1410" s="598">
        <v>123.17</v>
      </c>
      <c r="H1410" s="598"/>
      <c r="I1410" s="222"/>
      <c r="J1410" s="222"/>
      <c r="K1410" s="222"/>
      <c r="L1410" s="222"/>
      <c r="M1410" s="222"/>
      <c r="N1410" s="222"/>
    </row>
    <row r="1411" spans="1:14" x14ac:dyDescent="0.25">
      <c r="A1411" s="255" t="s">
        <v>21</v>
      </c>
      <c r="B1411" s="326"/>
      <c r="C1411" s="326"/>
      <c r="D1411" s="598">
        <f>D1408-D1410</f>
        <v>189.7</v>
      </c>
      <c r="E1411" s="598">
        <f>E1408-E1410</f>
        <v>117.56</v>
      </c>
      <c r="F1411" s="598">
        <f>F1408-F1410</f>
        <v>157.32</v>
      </c>
      <c r="G1411" s="598">
        <f>G1408-G1410</f>
        <v>191.82999999999998</v>
      </c>
      <c r="H1411" s="598"/>
      <c r="I1411" s="222"/>
      <c r="J1411" s="222"/>
      <c r="K1411" s="222"/>
      <c r="L1411" s="222"/>
      <c r="M1411" s="222"/>
      <c r="N1411" s="222"/>
    </row>
    <row r="1412" spans="1:14" x14ac:dyDescent="0.25">
      <c r="A1412" s="258" t="s">
        <v>22</v>
      </c>
      <c r="B1412" s="259"/>
      <c r="C1412" s="259"/>
      <c r="D1412" s="261">
        <v>2020</v>
      </c>
      <c r="E1412" s="261">
        <v>2021</v>
      </c>
      <c r="F1412" s="261">
        <v>2022</v>
      </c>
      <c r="G1412" s="261">
        <v>2023</v>
      </c>
      <c r="H1412" s="261">
        <v>2024</v>
      </c>
      <c r="I1412" s="222"/>
      <c r="J1412" s="222"/>
      <c r="K1412" s="222"/>
      <c r="L1412" s="222"/>
      <c r="M1412" s="222"/>
      <c r="N1412" s="222"/>
    </row>
    <row r="1413" spans="1:14" x14ac:dyDescent="0.25">
      <c r="A1413" s="516" t="s">
        <v>23</v>
      </c>
      <c r="B1413" s="516"/>
      <c r="C1413" s="517"/>
      <c r="D1413" s="517"/>
      <c r="E1413" s="517"/>
      <c r="F1413" s="517"/>
      <c r="G1413" s="517"/>
      <c r="H1413" s="635"/>
      <c r="I1413" s="222"/>
      <c r="J1413" s="222"/>
      <c r="K1413" s="222"/>
      <c r="L1413" s="222"/>
      <c r="M1413" s="222"/>
      <c r="N1413" s="222"/>
    </row>
    <row r="1414" spans="1:14" ht="39.6" customHeight="1" x14ac:dyDescent="0.25">
      <c r="A1414" s="667" t="s">
        <v>263</v>
      </c>
      <c r="B1414" s="668"/>
      <c r="C1414" s="668"/>
      <c r="D1414" s="668"/>
      <c r="E1414" s="668"/>
      <c r="F1414" s="668"/>
      <c r="G1414" s="668"/>
      <c r="H1414" s="668"/>
      <c r="I1414" s="222"/>
      <c r="J1414" s="222"/>
      <c r="K1414" s="222"/>
      <c r="L1414" s="222"/>
      <c r="M1414" s="222"/>
      <c r="N1414" s="222"/>
    </row>
    <row r="1415" spans="1:14" ht="49.2" customHeight="1" x14ac:dyDescent="0.25">
      <c r="A1415" s="667" t="s">
        <v>791</v>
      </c>
      <c r="B1415" s="667"/>
      <c r="C1415" s="667"/>
      <c r="D1415" s="667"/>
      <c r="E1415" s="667"/>
      <c r="F1415" s="667"/>
      <c r="G1415" s="667"/>
      <c r="H1415" s="667"/>
      <c r="I1415" s="222"/>
      <c r="J1415" s="222"/>
      <c r="K1415" s="222"/>
      <c r="L1415" s="222"/>
      <c r="M1415" s="222"/>
      <c r="N1415" s="222"/>
    </row>
    <row r="1416" spans="1:14" ht="49.2" customHeight="1" x14ac:dyDescent="0.25">
      <c r="A1416" s="667" t="s">
        <v>790</v>
      </c>
      <c r="B1416" s="667"/>
      <c r="C1416" s="667"/>
      <c r="D1416" s="667"/>
      <c r="E1416" s="667"/>
      <c r="F1416" s="667"/>
      <c r="G1416" s="667"/>
      <c r="H1416" s="667"/>
      <c r="I1416" s="222"/>
      <c r="J1416" s="222"/>
      <c r="K1416" s="222"/>
      <c r="L1416" s="222"/>
      <c r="M1416" s="222"/>
      <c r="N1416" s="222"/>
    </row>
    <row r="1417" spans="1:14" x14ac:dyDescent="0.25">
      <c r="A1417" s="222"/>
      <c r="B1417" s="222"/>
      <c r="C1417" s="222"/>
      <c r="D1417" s="222"/>
      <c r="E1417" s="222"/>
    </row>
    <row r="1418" spans="1:14" x14ac:dyDescent="0.25">
      <c r="A1418" s="559" t="s">
        <v>24</v>
      </c>
      <c r="B1418" s="553" t="s">
        <v>603</v>
      </c>
      <c r="C1418" s="222"/>
      <c r="D1418" s="222"/>
      <c r="E1418" s="222"/>
    </row>
    <row r="1419" spans="1:14" x14ac:dyDescent="0.25">
      <c r="A1419" s="364" t="s">
        <v>14</v>
      </c>
      <c r="B1419" s="365" t="s">
        <v>657</v>
      </c>
      <c r="C1419" s="437" t="s">
        <v>26</v>
      </c>
      <c r="D1419" s="222"/>
      <c r="E1419" s="222"/>
    </row>
    <row r="1420" spans="1:14" x14ac:dyDescent="0.25">
      <c r="A1420" s="438" t="s">
        <v>27</v>
      </c>
      <c r="B1420" s="213">
        <v>2020</v>
      </c>
      <c r="C1420" s="213">
        <v>2021</v>
      </c>
      <c r="D1420" s="213">
        <v>2022</v>
      </c>
      <c r="E1420" s="222"/>
    </row>
    <row r="1421" spans="1:14" x14ac:dyDescent="0.25">
      <c r="A1421" s="227" t="s">
        <v>28</v>
      </c>
      <c r="B1421" s="327">
        <v>25</v>
      </c>
      <c r="C1421" s="216">
        <v>25</v>
      </c>
      <c r="D1421" s="216">
        <v>25</v>
      </c>
      <c r="E1421" s="222"/>
    </row>
    <row r="1422" spans="1:14" x14ac:dyDescent="0.25">
      <c r="A1422" s="227" t="s">
        <v>29</v>
      </c>
      <c r="B1422" s="327"/>
      <c r="C1422" s="327">
        <v>18.66</v>
      </c>
      <c r="D1422" s="327"/>
      <c r="E1422" s="222"/>
    </row>
    <row r="1423" spans="1:14" x14ac:dyDescent="0.25">
      <c r="A1423" s="227" t="s">
        <v>30</v>
      </c>
      <c r="B1423" s="439"/>
      <c r="C1423" s="439" t="s">
        <v>552</v>
      </c>
      <c r="D1423" s="439"/>
      <c r="E1423" s="222"/>
    </row>
    <row r="1424" spans="1:14" x14ac:dyDescent="0.25">
      <c r="A1424" s="227" t="s">
        <v>31</v>
      </c>
      <c r="B1424" s="327">
        <v>31.341000000000001</v>
      </c>
      <c r="C1424" s="216">
        <v>17.22</v>
      </c>
      <c r="D1424" s="216">
        <v>12.476000000000001</v>
      </c>
      <c r="E1424" s="222"/>
    </row>
    <row r="1425" spans="1:8" x14ac:dyDescent="0.25">
      <c r="A1425" s="227" t="s">
        <v>32</v>
      </c>
      <c r="B1425" s="327">
        <v>-6.3410000000000011</v>
      </c>
      <c r="C1425" s="327">
        <f>C1422-C1424</f>
        <v>1.4400000000000013</v>
      </c>
      <c r="D1425" s="327">
        <f>D1421-D1424</f>
        <v>12.523999999999999</v>
      </c>
      <c r="E1425" s="222"/>
    </row>
    <row r="1426" spans="1:8" x14ac:dyDescent="0.25">
      <c r="A1426" s="219" t="s">
        <v>33</v>
      </c>
      <c r="B1426" s="245">
        <v>2021</v>
      </c>
      <c r="C1426" s="245"/>
      <c r="D1426" s="245"/>
      <c r="E1426" s="222"/>
    </row>
    <row r="1427" spans="1:8" x14ac:dyDescent="0.25">
      <c r="A1427" s="219" t="s">
        <v>604</v>
      </c>
      <c r="B1427" s="282"/>
      <c r="C1427" s="282"/>
      <c r="D1427" s="246"/>
      <c r="E1427" s="440"/>
      <c r="F1427" s="106"/>
    </row>
    <row r="1428" spans="1:8" x14ac:dyDescent="0.25">
      <c r="A1428" s="221"/>
      <c r="B1428" s="440"/>
      <c r="C1428" s="440"/>
      <c r="D1428" s="441"/>
      <c r="E1428" s="440"/>
      <c r="F1428" s="106"/>
    </row>
    <row r="1429" spans="1:8" ht="63" customHeight="1" x14ac:dyDescent="0.25">
      <c r="A1429" s="642" t="s">
        <v>743</v>
      </c>
      <c r="B1429" s="643"/>
      <c r="C1429" s="643"/>
      <c r="D1429" s="666"/>
      <c r="E1429" s="440"/>
      <c r="F1429" s="106"/>
    </row>
    <row r="1430" spans="1:8" x14ac:dyDescent="0.25">
      <c r="A1430" s="221"/>
      <c r="B1430" s="440"/>
      <c r="C1430" s="440"/>
      <c r="D1430" s="441"/>
      <c r="E1430" s="440"/>
      <c r="F1430" s="106"/>
    </row>
    <row r="1431" spans="1:8" x14ac:dyDescent="0.25">
      <c r="A1431" s="204"/>
      <c r="B1431" s="205"/>
      <c r="C1431" s="205"/>
      <c r="D1431" s="206"/>
      <c r="E1431" s="106"/>
      <c r="F1431" s="106"/>
    </row>
    <row r="1432" spans="1:8" x14ac:dyDescent="0.25">
      <c r="A1432" s="198"/>
      <c r="B1432" s="207"/>
      <c r="C1432" s="207"/>
      <c r="D1432" s="208"/>
      <c r="E1432" s="106"/>
      <c r="F1432" s="106"/>
    </row>
    <row r="1435" spans="1:8" x14ac:dyDescent="0.25">
      <c r="A1435" s="115" t="s">
        <v>12</v>
      </c>
      <c r="B1435" s="551" t="s">
        <v>378</v>
      </c>
    </row>
    <row r="1436" spans="1:8" x14ac:dyDescent="0.25">
      <c r="A1436" s="91" t="s">
        <v>14</v>
      </c>
      <c r="B1436" s="55" t="s">
        <v>66</v>
      </c>
      <c r="C1436" s="187" t="s">
        <v>15</v>
      </c>
    </row>
    <row r="1437" spans="1:8" x14ac:dyDescent="0.25">
      <c r="A1437" s="46" t="s">
        <v>16</v>
      </c>
      <c r="B1437" s="22"/>
      <c r="C1437" s="85">
        <v>2015</v>
      </c>
      <c r="D1437" s="51">
        <v>2016</v>
      </c>
      <c r="E1437" s="103">
        <v>2017</v>
      </c>
      <c r="F1437" s="103">
        <v>2018</v>
      </c>
      <c r="G1437" s="103">
        <v>2019</v>
      </c>
      <c r="H1437" s="103">
        <v>2020</v>
      </c>
    </row>
    <row r="1438" spans="1:8" x14ac:dyDescent="0.25">
      <c r="A1438" s="46" t="s">
        <v>17</v>
      </c>
      <c r="B1438" s="22"/>
      <c r="C1438" s="23">
        <v>2100</v>
      </c>
      <c r="D1438" s="188">
        <v>1575</v>
      </c>
      <c r="E1438" s="188">
        <v>1575</v>
      </c>
      <c r="F1438" s="188">
        <v>1575</v>
      </c>
      <c r="G1438" s="188">
        <v>1575</v>
      </c>
      <c r="H1438" s="188">
        <v>0</v>
      </c>
    </row>
    <row r="1439" spans="1:8" x14ac:dyDescent="0.25">
      <c r="A1439" s="46" t="s">
        <v>18</v>
      </c>
      <c r="B1439" s="22"/>
      <c r="C1439" s="89">
        <v>2100</v>
      </c>
      <c r="D1439" s="188">
        <v>1575</v>
      </c>
      <c r="E1439" s="188">
        <v>1575</v>
      </c>
      <c r="F1439" s="188">
        <v>1575</v>
      </c>
      <c r="G1439" s="188">
        <v>1575</v>
      </c>
      <c r="H1439" s="188"/>
    </row>
    <row r="1440" spans="1:8" x14ac:dyDescent="0.25">
      <c r="A1440" s="46" t="s">
        <v>19</v>
      </c>
      <c r="B1440" s="22"/>
      <c r="C1440" s="92"/>
      <c r="D1440" s="23"/>
      <c r="E1440" s="93"/>
      <c r="F1440" s="93"/>
      <c r="G1440" s="93"/>
      <c r="H1440" s="93"/>
    </row>
    <row r="1441" spans="1:10" x14ac:dyDescent="0.25">
      <c r="A1441" s="46" t="s">
        <v>20</v>
      </c>
      <c r="B1441" s="22"/>
      <c r="C1441" s="188">
        <v>0</v>
      </c>
      <c r="D1441" s="188">
        <v>0</v>
      </c>
      <c r="E1441" s="188">
        <v>0</v>
      </c>
      <c r="F1441" s="188">
        <v>0</v>
      </c>
      <c r="G1441" s="188">
        <v>0</v>
      </c>
      <c r="H1441" s="188">
        <v>0</v>
      </c>
    </row>
    <row r="1442" spans="1:10" ht="27.75" customHeight="1" x14ac:dyDescent="0.25">
      <c r="A1442" s="46" t="s">
        <v>21</v>
      </c>
      <c r="B1442" s="22"/>
      <c r="C1442" s="89">
        <v>2100</v>
      </c>
      <c r="D1442" s="188">
        <v>1575</v>
      </c>
      <c r="E1442" s="188">
        <v>1575</v>
      </c>
      <c r="F1442" s="188">
        <v>1575</v>
      </c>
      <c r="G1442" s="188">
        <v>1575</v>
      </c>
      <c r="H1442" s="188">
        <v>1575</v>
      </c>
    </row>
    <row r="1443" spans="1:10" x14ac:dyDescent="0.25">
      <c r="A1443" s="49" t="s">
        <v>22</v>
      </c>
      <c r="B1443" s="36"/>
      <c r="C1443" s="57">
        <v>2016</v>
      </c>
      <c r="D1443" s="57">
        <v>2017</v>
      </c>
      <c r="E1443" s="80">
        <v>2018</v>
      </c>
      <c r="F1443" s="80">
        <v>2019</v>
      </c>
      <c r="G1443" s="80">
        <v>2020</v>
      </c>
      <c r="H1443" s="80">
        <v>2021</v>
      </c>
    </row>
    <row r="1444" spans="1:10" x14ac:dyDescent="0.25">
      <c r="A1444" s="46" t="s">
        <v>23</v>
      </c>
      <c r="B1444" s="58"/>
      <c r="C1444" s="58"/>
      <c r="D1444" s="58"/>
      <c r="E1444" s="58"/>
      <c r="F1444" s="58"/>
      <c r="G1444" s="58"/>
      <c r="H1444" s="56"/>
    </row>
    <row r="1447" spans="1:10" ht="26.4" x14ac:dyDescent="0.25">
      <c r="A1447" s="115" t="s">
        <v>12</v>
      </c>
      <c r="B1447" s="555" t="s">
        <v>383</v>
      </c>
    </row>
    <row r="1448" spans="1:10" x14ac:dyDescent="0.25">
      <c r="A1448" s="91" t="s">
        <v>14</v>
      </c>
      <c r="B1448" s="55" t="s">
        <v>638</v>
      </c>
      <c r="C1448" s="40" t="s">
        <v>15</v>
      </c>
    </row>
    <row r="1449" spans="1:10" x14ac:dyDescent="0.25">
      <c r="A1449" s="46" t="s">
        <v>16</v>
      </c>
      <c r="B1449" s="51">
        <v>2015</v>
      </c>
      <c r="C1449" s="88">
        <v>2016</v>
      </c>
      <c r="D1449" s="51">
        <v>2017</v>
      </c>
      <c r="E1449" s="103">
        <v>2018</v>
      </c>
      <c r="F1449" s="103">
        <v>2019</v>
      </c>
      <c r="G1449" s="51">
        <v>2020</v>
      </c>
      <c r="H1449" s="51">
        <v>2021</v>
      </c>
      <c r="I1449" s="51">
        <v>2022</v>
      </c>
      <c r="J1449" s="51">
        <v>2023</v>
      </c>
    </row>
    <row r="1450" spans="1:10" x14ac:dyDescent="0.25">
      <c r="A1450" s="46" t="s">
        <v>17</v>
      </c>
      <c r="B1450" s="47">
        <v>200</v>
      </c>
      <c r="C1450" s="89">
        <v>200</v>
      </c>
      <c r="D1450" s="47">
        <v>200</v>
      </c>
      <c r="E1450" s="90">
        <v>200</v>
      </c>
      <c r="F1450" s="90">
        <v>215</v>
      </c>
      <c r="G1450" s="47">
        <v>215</v>
      </c>
      <c r="H1450" s="23">
        <v>242</v>
      </c>
      <c r="I1450" s="23">
        <v>242</v>
      </c>
      <c r="J1450" s="23">
        <v>242</v>
      </c>
    </row>
    <row r="1451" spans="1:10" x14ac:dyDescent="0.25">
      <c r="A1451" s="46" t="s">
        <v>18</v>
      </c>
      <c r="B1451" s="47">
        <v>303.49</v>
      </c>
      <c r="C1451" s="89">
        <f>C1450+B1454+100</f>
        <v>298.49</v>
      </c>
      <c r="D1451" s="47">
        <f>D1450+100</f>
        <v>300</v>
      </c>
      <c r="E1451" s="90">
        <f>E1450+C1454+100</f>
        <v>306.89</v>
      </c>
      <c r="F1451" s="90">
        <v>218.8</v>
      </c>
      <c r="G1451" s="90">
        <v>265</v>
      </c>
      <c r="H1451" s="23">
        <f>H1450+F1454</f>
        <v>280.35000000000002</v>
      </c>
      <c r="I1451" s="23">
        <f>I1450+G1454</f>
        <v>255.27</v>
      </c>
      <c r="J1451" s="23">
        <f>J1450+0.25*H1450</f>
        <v>302.5</v>
      </c>
    </row>
    <row r="1452" spans="1:10" ht="26.4" x14ac:dyDescent="0.25">
      <c r="A1452" s="46" t="s">
        <v>19</v>
      </c>
      <c r="B1452" s="123"/>
      <c r="C1452" s="123" t="s">
        <v>384</v>
      </c>
      <c r="D1452" s="123" t="s">
        <v>385</v>
      </c>
      <c r="E1452" s="123" t="s">
        <v>386</v>
      </c>
      <c r="F1452" s="123" t="s">
        <v>399</v>
      </c>
      <c r="G1452" s="123" t="s">
        <v>400</v>
      </c>
      <c r="H1452" s="67" t="s">
        <v>723</v>
      </c>
      <c r="I1452" s="67" t="s">
        <v>722</v>
      </c>
      <c r="J1452" s="67" t="s">
        <v>846</v>
      </c>
    </row>
    <row r="1453" spans="1:10" x14ac:dyDescent="0.25">
      <c r="A1453" s="46" t="s">
        <v>20</v>
      </c>
      <c r="B1453" s="47">
        <v>305</v>
      </c>
      <c r="C1453" s="89">
        <v>291.60000000000002</v>
      </c>
      <c r="D1453" s="47">
        <v>296.2</v>
      </c>
      <c r="E1453" s="47">
        <v>173.26</v>
      </c>
      <c r="F1453" s="90">
        <v>180.45</v>
      </c>
      <c r="G1453" s="47">
        <v>251.73</v>
      </c>
      <c r="H1453" s="23">
        <v>0</v>
      </c>
      <c r="I1453" s="23">
        <v>0.97</v>
      </c>
      <c r="J1453" s="23"/>
    </row>
    <row r="1454" spans="1:10" x14ac:dyDescent="0.25">
      <c r="A1454" s="46" t="s">
        <v>21</v>
      </c>
      <c r="B1454" s="47">
        <v>-1.5099999999999909</v>
      </c>
      <c r="C1454" s="47">
        <f>C1451-C1453</f>
        <v>6.8899999999999864</v>
      </c>
      <c r="D1454" s="47">
        <f t="shared" ref="D1454:E1454" si="65">D1451-D1453</f>
        <v>3.8000000000000114</v>
      </c>
      <c r="E1454" s="47">
        <f t="shared" si="65"/>
        <v>133.63</v>
      </c>
      <c r="F1454" s="47">
        <v>38.350000000000023</v>
      </c>
      <c r="G1454" s="47">
        <f>G1451-G1453</f>
        <v>13.27000000000001</v>
      </c>
      <c r="H1454" s="23">
        <f>H1451-H1453</f>
        <v>280.35000000000002</v>
      </c>
      <c r="I1454" s="23">
        <f>I1451-I1453</f>
        <v>254.3</v>
      </c>
      <c r="J1454" s="23"/>
    </row>
    <row r="1455" spans="1:10" x14ac:dyDescent="0.25">
      <c r="A1455" s="49" t="s">
        <v>22</v>
      </c>
      <c r="B1455" s="57">
        <v>2016</v>
      </c>
      <c r="C1455" s="79">
        <v>2018</v>
      </c>
      <c r="D1455" s="57">
        <v>2019</v>
      </c>
      <c r="E1455" s="80">
        <v>2020</v>
      </c>
      <c r="F1455" s="80">
        <v>2021</v>
      </c>
      <c r="G1455" s="57">
        <v>2022</v>
      </c>
      <c r="H1455" s="57">
        <v>2023</v>
      </c>
      <c r="I1455" s="57">
        <v>2024</v>
      </c>
      <c r="J1455" s="57">
        <v>2024</v>
      </c>
    </row>
    <row r="1456" spans="1:10" x14ac:dyDescent="0.25">
      <c r="A1456" s="49" t="s">
        <v>23</v>
      </c>
      <c r="B1456" s="30"/>
      <c r="C1456" s="30"/>
      <c r="D1456" s="30"/>
      <c r="E1456" s="30"/>
      <c r="F1456" s="30"/>
      <c r="G1456" s="30"/>
      <c r="H1456" s="31"/>
      <c r="I1456" s="31"/>
      <c r="J1456" s="31"/>
    </row>
    <row r="1457" spans="1:17" x14ac:dyDescent="0.25">
      <c r="A1457" s="20" t="s">
        <v>387</v>
      </c>
      <c r="H1457" s="21"/>
      <c r="I1457" s="21"/>
      <c r="J1457" s="21"/>
    </row>
    <row r="1458" spans="1:17" ht="13.2" customHeight="1" x14ac:dyDescent="0.25">
      <c r="A1458" s="664" t="s">
        <v>401</v>
      </c>
      <c r="B1458" s="665"/>
      <c r="C1458" s="665"/>
      <c r="D1458" s="665"/>
      <c r="E1458" s="665"/>
      <c r="F1458" s="665"/>
      <c r="G1458" s="665"/>
      <c r="H1458" s="34"/>
      <c r="I1458" s="34"/>
      <c r="J1458" s="34"/>
    </row>
    <row r="1459" spans="1:17" x14ac:dyDescent="0.25">
      <c r="A1459" s="108"/>
      <c r="B1459" s="108"/>
      <c r="C1459" s="108"/>
      <c r="D1459" s="108"/>
      <c r="E1459" s="108"/>
      <c r="F1459" s="108"/>
      <c r="G1459" s="108"/>
    </row>
    <row r="1461" spans="1:17" x14ac:dyDescent="0.25">
      <c r="A1461" s="115" t="s">
        <v>11</v>
      </c>
      <c r="B1461" s="551" t="s">
        <v>217</v>
      </c>
      <c r="C1461" s="7"/>
    </row>
    <row r="1462" spans="1:17" x14ac:dyDescent="0.25">
      <c r="A1462" s="262" t="s">
        <v>1</v>
      </c>
      <c r="B1462" s="276" t="s">
        <v>637</v>
      </c>
      <c r="C1462" s="453" t="s">
        <v>2</v>
      </c>
      <c r="D1462" s="222"/>
      <c r="E1462" s="222"/>
      <c r="F1462" s="222"/>
      <c r="G1462" s="222"/>
      <c r="H1462" s="222"/>
      <c r="I1462" s="222"/>
      <c r="J1462" s="222"/>
      <c r="K1462" s="222"/>
      <c r="L1462" s="222"/>
      <c r="M1462" s="222"/>
      <c r="N1462" s="222"/>
      <c r="O1462" s="222"/>
      <c r="P1462" s="222"/>
      <c r="Q1462" s="222"/>
    </row>
    <row r="1463" spans="1:17" x14ac:dyDescent="0.25">
      <c r="A1463" s="265" t="s">
        <v>3</v>
      </c>
      <c r="B1463" s="227"/>
      <c r="C1463" s="213">
        <v>2018</v>
      </c>
      <c r="D1463" s="277">
        <v>2019</v>
      </c>
      <c r="E1463" s="213">
        <v>2020</v>
      </c>
      <c r="F1463" s="213">
        <v>2021</v>
      </c>
      <c r="G1463" s="213">
        <v>2022</v>
      </c>
      <c r="H1463" s="213">
        <v>2023</v>
      </c>
      <c r="I1463" s="222"/>
      <c r="J1463" s="222"/>
      <c r="K1463" s="222"/>
      <c r="L1463" s="222"/>
      <c r="M1463" s="222"/>
      <c r="N1463" s="222"/>
      <c r="O1463" s="222"/>
      <c r="P1463" s="222"/>
      <c r="Q1463" s="222"/>
    </row>
    <row r="1464" spans="1:17" x14ac:dyDescent="0.25">
      <c r="A1464" s="265" t="s">
        <v>4</v>
      </c>
      <c r="B1464" s="227"/>
      <c r="C1464" s="216">
        <v>250</v>
      </c>
      <c r="D1464" s="285">
        <v>250</v>
      </c>
      <c r="E1464" s="216">
        <v>250</v>
      </c>
      <c r="F1464" s="286">
        <v>250</v>
      </c>
      <c r="G1464" s="286">
        <v>250</v>
      </c>
      <c r="H1464" s="286">
        <v>250</v>
      </c>
      <c r="I1464" s="222"/>
      <c r="J1464" s="222"/>
      <c r="K1464" s="222"/>
      <c r="L1464" s="222"/>
      <c r="M1464" s="222"/>
      <c r="N1464" s="222"/>
      <c r="O1464" s="222"/>
      <c r="P1464" s="222"/>
      <c r="Q1464" s="222"/>
    </row>
    <row r="1465" spans="1:17" x14ac:dyDescent="0.25">
      <c r="A1465" s="265" t="s">
        <v>5</v>
      </c>
      <c r="B1465" s="227"/>
      <c r="C1465" s="216">
        <v>200</v>
      </c>
      <c r="D1465" s="216">
        <v>225</v>
      </c>
      <c r="E1465" s="216">
        <f>E1466</f>
        <v>225</v>
      </c>
      <c r="F1465" s="286">
        <f>F1466</f>
        <v>200</v>
      </c>
      <c r="G1465" s="286">
        <f>G1466</f>
        <v>200</v>
      </c>
      <c r="H1465" s="286">
        <f>H1466</f>
        <v>225</v>
      </c>
      <c r="I1465" s="222"/>
      <c r="J1465" s="222"/>
      <c r="K1465" s="222"/>
      <c r="L1465" s="222"/>
      <c r="M1465" s="222"/>
      <c r="N1465" s="222"/>
      <c r="O1465" s="222"/>
      <c r="P1465" s="222"/>
      <c r="Q1465" s="222"/>
    </row>
    <row r="1466" spans="1:17" x14ac:dyDescent="0.25">
      <c r="A1466" s="265" t="s">
        <v>6</v>
      </c>
      <c r="B1466" s="227"/>
      <c r="C1466" s="216">
        <v>200</v>
      </c>
      <c r="D1466" s="216">
        <v>225</v>
      </c>
      <c r="E1466" s="216">
        <f>1.4*E1464-125</f>
        <v>225</v>
      </c>
      <c r="F1466" s="286">
        <f>F1464+0.4*E1464-150</f>
        <v>200</v>
      </c>
      <c r="G1466" s="286">
        <f>G1464+0.4*F1464-150</f>
        <v>200</v>
      </c>
      <c r="H1466" s="286">
        <f>H1464+0.4*G1464-125</f>
        <v>225</v>
      </c>
      <c r="I1466" s="222"/>
      <c r="J1466" s="222"/>
      <c r="K1466" s="222"/>
      <c r="L1466" s="222"/>
      <c r="M1466" s="222"/>
      <c r="N1466" s="222"/>
      <c r="O1466" s="222"/>
      <c r="P1466" s="222"/>
      <c r="Q1466" s="222"/>
    </row>
    <row r="1467" spans="1:17" x14ac:dyDescent="0.25">
      <c r="A1467" s="265" t="s">
        <v>7</v>
      </c>
      <c r="B1467" s="227"/>
      <c r="C1467" s="216">
        <v>43.54</v>
      </c>
      <c r="D1467" s="216">
        <v>13.63</v>
      </c>
      <c r="E1467" s="216">
        <v>10</v>
      </c>
      <c r="F1467" s="286">
        <v>20</v>
      </c>
      <c r="G1467" s="286">
        <v>0</v>
      </c>
      <c r="H1467" s="286"/>
      <c r="I1467" s="222"/>
      <c r="J1467" s="222"/>
      <c r="K1467" s="222"/>
      <c r="L1467" s="222"/>
      <c r="M1467" s="222"/>
      <c r="N1467" s="222"/>
      <c r="O1467" s="222"/>
      <c r="P1467" s="222"/>
      <c r="Q1467" s="222"/>
    </row>
    <row r="1468" spans="1:17" x14ac:dyDescent="0.25">
      <c r="A1468" s="265" t="s">
        <v>8</v>
      </c>
      <c r="B1468" s="227"/>
      <c r="C1468" s="216">
        <v>156.46</v>
      </c>
      <c r="D1468" s="285">
        <v>211.37</v>
      </c>
      <c r="E1468" s="216">
        <f>E1465-E1467</f>
        <v>215</v>
      </c>
      <c r="F1468" s="286">
        <f>F1465-F1467</f>
        <v>180</v>
      </c>
      <c r="G1468" s="286">
        <f>G1465-G1467</f>
        <v>200</v>
      </c>
      <c r="H1468" s="286"/>
      <c r="I1468" s="222"/>
      <c r="J1468" s="222"/>
      <c r="K1468" s="222"/>
      <c r="L1468" s="222"/>
      <c r="M1468" s="222"/>
      <c r="N1468" s="222"/>
      <c r="O1468" s="222"/>
      <c r="P1468" s="222"/>
      <c r="Q1468" s="222"/>
    </row>
    <row r="1469" spans="1:17" x14ac:dyDescent="0.25">
      <c r="A1469" s="219" t="s">
        <v>9</v>
      </c>
      <c r="B1469" s="228"/>
      <c r="C1469" s="245">
        <v>2019</v>
      </c>
      <c r="D1469" s="282">
        <v>2020</v>
      </c>
      <c r="E1469" s="245">
        <v>2021</v>
      </c>
      <c r="F1469" s="218">
        <v>2022</v>
      </c>
      <c r="G1469" s="218">
        <v>2023</v>
      </c>
      <c r="H1469" s="218">
        <v>2024</v>
      </c>
      <c r="I1469" s="222"/>
      <c r="J1469" s="222"/>
      <c r="K1469" s="222"/>
      <c r="L1469" s="222"/>
      <c r="M1469" s="222"/>
      <c r="N1469" s="222"/>
      <c r="O1469" s="222"/>
      <c r="P1469" s="222"/>
      <c r="Q1469" s="222"/>
    </row>
    <row r="1470" spans="1:17" x14ac:dyDescent="0.25">
      <c r="A1470" s="219" t="s">
        <v>164</v>
      </c>
      <c r="B1470" s="220"/>
      <c r="C1470" s="220"/>
      <c r="D1470" s="220"/>
      <c r="E1470" s="220"/>
      <c r="F1470" s="220"/>
      <c r="G1470" s="220"/>
      <c r="H1470" s="218"/>
      <c r="I1470" s="222"/>
      <c r="J1470" s="222"/>
      <c r="K1470" s="222"/>
      <c r="L1470" s="222"/>
      <c r="M1470" s="222"/>
      <c r="N1470" s="222"/>
      <c r="O1470" s="222"/>
      <c r="P1470" s="222"/>
      <c r="Q1470" s="222"/>
    </row>
    <row r="1471" spans="1:17" x14ac:dyDescent="0.25">
      <c r="A1471" s="221" t="s">
        <v>218</v>
      </c>
      <c r="B1471" s="222"/>
      <c r="C1471" s="222"/>
      <c r="D1471" s="222"/>
      <c r="E1471" s="222"/>
      <c r="F1471" s="222"/>
      <c r="G1471" s="222"/>
      <c r="H1471" s="223"/>
      <c r="I1471" s="222"/>
      <c r="J1471" s="222"/>
      <c r="K1471" s="222"/>
      <c r="L1471" s="222"/>
      <c r="M1471" s="222"/>
      <c r="N1471" s="222"/>
      <c r="O1471" s="222"/>
      <c r="P1471" s="222"/>
      <c r="Q1471" s="222"/>
    </row>
    <row r="1472" spans="1:17" x14ac:dyDescent="0.25">
      <c r="A1472" s="221" t="s">
        <v>521</v>
      </c>
      <c r="B1472" s="222"/>
      <c r="C1472" s="222"/>
      <c r="D1472" s="222"/>
      <c r="E1472" s="222"/>
      <c r="F1472" s="222"/>
      <c r="G1472" s="222"/>
      <c r="H1472" s="223"/>
      <c r="I1472" s="222"/>
      <c r="J1472" s="222"/>
      <c r="K1472" s="222"/>
      <c r="L1472" s="222"/>
      <c r="M1472" s="222"/>
      <c r="N1472" s="222"/>
      <c r="O1472" s="222"/>
      <c r="P1472" s="222"/>
      <c r="Q1472" s="222"/>
    </row>
    <row r="1473" spans="1:17" ht="13.2" customHeight="1" x14ac:dyDescent="0.25">
      <c r="A1473" s="275" t="s">
        <v>522</v>
      </c>
      <c r="B1473" s="448"/>
      <c r="C1473" s="448"/>
      <c r="D1473" s="448"/>
      <c r="E1473" s="448"/>
      <c r="F1473" s="448"/>
      <c r="G1473" s="448"/>
      <c r="H1473" s="631"/>
      <c r="I1473" s="222"/>
      <c r="J1473" s="222"/>
      <c r="K1473" s="222"/>
      <c r="L1473" s="222"/>
      <c r="M1473" s="222"/>
      <c r="N1473" s="222"/>
      <c r="O1473" s="222"/>
      <c r="P1473" s="222"/>
      <c r="Q1473" s="222"/>
    </row>
    <row r="1474" spans="1:17" x14ac:dyDescent="0.25">
      <c r="A1474" s="275" t="s">
        <v>523</v>
      </c>
      <c r="B1474" s="512"/>
      <c r="C1474" s="512"/>
      <c r="D1474" s="512"/>
      <c r="E1474" s="512"/>
      <c r="F1474" s="512"/>
      <c r="G1474" s="512"/>
      <c r="H1474" s="570"/>
      <c r="I1474" s="222"/>
      <c r="J1474" s="222"/>
      <c r="K1474" s="222"/>
      <c r="L1474" s="222"/>
      <c r="M1474" s="222"/>
      <c r="N1474" s="222"/>
      <c r="O1474" s="222"/>
      <c r="P1474" s="222"/>
      <c r="Q1474" s="222"/>
    </row>
    <row r="1475" spans="1:17" x14ac:dyDescent="0.25">
      <c r="A1475" s="221" t="s">
        <v>524</v>
      </c>
      <c r="B1475" s="512"/>
      <c r="C1475" s="512"/>
      <c r="D1475" s="512"/>
      <c r="E1475" s="512"/>
      <c r="F1475" s="512"/>
      <c r="G1475" s="512"/>
      <c r="H1475" s="570"/>
      <c r="I1475" s="222"/>
      <c r="J1475" s="222"/>
      <c r="K1475" s="222"/>
      <c r="L1475" s="222"/>
      <c r="M1475" s="222"/>
      <c r="N1475" s="222"/>
      <c r="O1475" s="222"/>
      <c r="P1475" s="222"/>
      <c r="Q1475" s="222"/>
    </row>
    <row r="1476" spans="1:17" x14ac:dyDescent="0.25">
      <c r="A1476" s="221" t="s">
        <v>910</v>
      </c>
      <c r="B1476" s="512"/>
      <c r="C1476" s="512"/>
      <c r="D1476" s="512"/>
      <c r="E1476" s="512"/>
      <c r="F1476" s="512"/>
      <c r="G1476" s="512"/>
      <c r="H1476" s="570"/>
      <c r="I1476" s="222"/>
      <c r="J1476" s="222"/>
      <c r="K1476" s="222"/>
      <c r="L1476" s="222"/>
      <c r="M1476" s="222"/>
      <c r="N1476" s="222"/>
      <c r="O1476" s="222"/>
      <c r="P1476" s="222"/>
      <c r="Q1476" s="222"/>
    </row>
    <row r="1477" spans="1:17" ht="13.2" customHeight="1" x14ac:dyDescent="0.25">
      <c r="A1477" s="212" t="s">
        <v>911</v>
      </c>
      <c r="B1477" s="224"/>
      <c r="C1477" s="224"/>
      <c r="D1477" s="224"/>
      <c r="E1477" s="224"/>
      <c r="F1477" s="224"/>
      <c r="G1477" s="224"/>
      <c r="H1477" s="225"/>
      <c r="I1477" s="222"/>
      <c r="J1477" s="222"/>
      <c r="K1477" s="222"/>
      <c r="L1477" s="222"/>
      <c r="M1477" s="222"/>
      <c r="N1477" s="222"/>
      <c r="O1477" s="222"/>
      <c r="P1477" s="222"/>
      <c r="Q1477" s="222"/>
    </row>
    <row r="1478" spans="1:17" x14ac:dyDescent="0.25">
      <c r="A1478" s="222"/>
      <c r="B1478" s="222"/>
      <c r="C1478" s="222"/>
      <c r="D1478" s="222"/>
      <c r="E1478" s="222"/>
      <c r="F1478" s="222"/>
      <c r="G1478" s="222"/>
      <c r="H1478" s="222"/>
      <c r="I1478" s="222"/>
      <c r="J1478" s="222"/>
      <c r="K1478" s="222"/>
      <c r="L1478" s="222"/>
      <c r="M1478" s="222"/>
      <c r="N1478" s="222"/>
      <c r="O1478" s="222"/>
      <c r="P1478" s="222"/>
      <c r="Q1478" s="222"/>
    </row>
    <row r="1479" spans="1:17" x14ac:dyDescent="0.25">
      <c r="A1479" s="262" t="s">
        <v>1</v>
      </c>
      <c r="B1479" s="276" t="s">
        <v>660</v>
      </c>
      <c r="C1479" s="453" t="s">
        <v>2</v>
      </c>
      <c r="D1479" s="222"/>
      <c r="E1479" s="222"/>
      <c r="F1479" s="222"/>
      <c r="G1479" s="222"/>
      <c r="H1479" s="222"/>
      <c r="I1479" s="222"/>
      <c r="J1479" s="222"/>
      <c r="K1479" s="222"/>
      <c r="L1479" s="222"/>
      <c r="M1479" s="222"/>
      <c r="N1479" s="222"/>
      <c r="O1479" s="222"/>
      <c r="P1479" s="222"/>
      <c r="Q1479" s="222"/>
    </row>
    <row r="1480" spans="1:17" x14ac:dyDescent="0.25">
      <c r="A1480" s="265" t="s">
        <v>3</v>
      </c>
      <c r="B1480" s="227"/>
      <c r="C1480" s="213">
        <v>2018</v>
      </c>
      <c r="D1480" s="277">
        <v>2019</v>
      </c>
      <c r="E1480" s="213">
        <v>2020</v>
      </c>
      <c r="F1480" s="213">
        <v>2021</v>
      </c>
      <c r="G1480" s="213">
        <v>2022</v>
      </c>
      <c r="H1480" s="213">
        <v>2023</v>
      </c>
      <c r="I1480" s="222"/>
      <c r="J1480" s="222"/>
      <c r="K1480" s="222"/>
      <c r="L1480" s="222"/>
      <c r="M1480" s="222"/>
      <c r="N1480" s="222"/>
      <c r="O1480" s="222"/>
      <c r="P1480" s="222"/>
      <c r="Q1480" s="222"/>
    </row>
    <row r="1481" spans="1:17" x14ac:dyDescent="0.25">
      <c r="A1481" s="265" t="s">
        <v>4</v>
      </c>
      <c r="B1481" s="227"/>
      <c r="C1481" s="216">
        <v>417</v>
      </c>
      <c r="D1481" s="216">
        <v>417</v>
      </c>
      <c r="E1481" s="216">
        <v>417</v>
      </c>
      <c r="F1481" s="216">
        <v>417</v>
      </c>
      <c r="G1481" s="216">
        <v>417</v>
      </c>
      <c r="H1481" s="216">
        <v>417</v>
      </c>
      <c r="I1481" s="222"/>
      <c r="J1481" s="222"/>
      <c r="K1481" s="222"/>
      <c r="L1481" s="222"/>
      <c r="M1481" s="222"/>
      <c r="N1481" s="222"/>
      <c r="O1481" s="222"/>
      <c r="P1481" s="222"/>
      <c r="Q1481" s="222"/>
    </row>
    <row r="1482" spans="1:17" x14ac:dyDescent="0.25">
      <c r="A1482" s="265" t="s">
        <v>5</v>
      </c>
      <c r="B1482" s="227"/>
      <c r="C1482" s="216">
        <v>500.4</v>
      </c>
      <c r="D1482" s="216">
        <v>500.4</v>
      </c>
      <c r="E1482" s="216">
        <f>E1483</f>
        <v>500.4</v>
      </c>
      <c r="F1482" s="216">
        <v>500.4</v>
      </c>
      <c r="G1482" s="216">
        <v>500.4</v>
      </c>
      <c r="H1482" s="216">
        <v>500.4</v>
      </c>
      <c r="I1482" s="222"/>
      <c r="J1482" s="222"/>
      <c r="K1482" s="222"/>
      <c r="L1482" s="222"/>
      <c r="M1482" s="222"/>
      <c r="N1482" s="222"/>
      <c r="O1482" s="222"/>
      <c r="P1482" s="222"/>
      <c r="Q1482" s="222"/>
    </row>
    <row r="1483" spans="1:17" x14ac:dyDescent="0.25">
      <c r="A1483" s="265" t="s">
        <v>6</v>
      </c>
      <c r="B1483" s="227"/>
      <c r="C1483" s="216">
        <v>500.4</v>
      </c>
      <c r="D1483" s="216">
        <v>500.4</v>
      </c>
      <c r="E1483" s="216">
        <f>1.2*E1481</f>
        <v>500.4</v>
      </c>
      <c r="F1483" s="216">
        <v>500.4</v>
      </c>
      <c r="G1483" s="216">
        <v>500.4</v>
      </c>
      <c r="H1483" s="216">
        <f>H1481+0.1*G1481</f>
        <v>458.7</v>
      </c>
      <c r="I1483" s="222"/>
      <c r="J1483" s="222"/>
      <c r="K1483" s="222"/>
      <c r="L1483" s="222"/>
      <c r="M1483" s="222"/>
      <c r="N1483" s="222"/>
      <c r="O1483" s="222"/>
      <c r="P1483" s="222"/>
      <c r="Q1483" s="222"/>
    </row>
    <row r="1484" spans="1:17" x14ac:dyDescent="0.25">
      <c r="A1484" s="265" t="s">
        <v>7</v>
      </c>
      <c r="B1484" s="227"/>
      <c r="C1484" s="216">
        <v>92.8</v>
      </c>
      <c r="D1484" s="216">
        <v>166.9</v>
      </c>
      <c r="E1484" s="216">
        <v>0</v>
      </c>
      <c r="F1484" s="216">
        <v>0</v>
      </c>
      <c r="G1484" s="216">
        <v>0</v>
      </c>
      <c r="H1484" s="216"/>
      <c r="I1484" s="222"/>
      <c r="J1484" s="222"/>
      <c r="K1484" s="222"/>
      <c r="L1484" s="222"/>
      <c r="M1484" s="222"/>
      <c r="N1484" s="222"/>
      <c r="O1484" s="222"/>
      <c r="P1484" s="222"/>
      <c r="Q1484" s="222"/>
    </row>
    <row r="1485" spans="1:17" x14ac:dyDescent="0.25">
      <c r="A1485" s="265" t="s">
        <v>8</v>
      </c>
      <c r="B1485" s="227"/>
      <c r="C1485" s="216">
        <v>407.59999999999997</v>
      </c>
      <c r="D1485" s="216">
        <f>D1482-D1484</f>
        <v>333.5</v>
      </c>
      <c r="E1485" s="216">
        <f t="shared" ref="E1485:G1485" si="66">E1482-E1484</f>
        <v>500.4</v>
      </c>
      <c r="F1485" s="216">
        <f t="shared" si="66"/>
        <v>500.4</v>
      </c>
      <c r="G1485" s="216">
        <f t="shared" si="66"/>
        <v>500.4</v>
      </c>
      <c r="H1485" s="216"/>
      <c r="I1485" s="222"/>
      <c r="J1485" s="222"/>
      <c r="K1485" s="222"/>
      <c r="L1485" s="222"/>
      <c r="M1485" s="222"/>
      <c r="N1485" s="222"/>
      <c r="O1485" s="222"/>
      <c r="P1485" s="222"/>
      <c r="Q1485" s="222"/>
    </row>
    <row r="1486" spans="1:17" x14ac:dyDescent="0.25">
      <c r="A1486" s="219" t="s">
        <v>9</v>
      </c>
      <c r="B1486" s="228"/>
      <c r="C1486" s="245">
        <v>2019</v>
      </c>
      <c r="D1486" s="282">
        <v>2020</v>
      </c>
      <c r="E1486" s="245">
        <v>2021</v>
      </c>
      <c r="F1486" s="246">
        <v>2022</v>
      </c>
      <c r="G1486" s="246">
        <v>2023</v>
      </c>
      <c r="H1486" s="246">
        <v>2024</v>
      </c>
      <c r="I1486" s="222"/>
      <c r="J1486" s="222"/>
      <c r="K1486" s="222"/>
      <c r="L1486" s="222"/>
      <c r="M1486" s="222"/>
      <c r="N1486" s="222"/>
      <c r="O1486" s="222"/>
      <c r="P1486" s="222"/>
      <c r="Q1486" s="222"/>
    </row>
    <row r="1487" spans="1:17" x14ac:dyDescent="0.25">
      <c r="A1487" s="219" t="s">
        <v>164</v>
      </c>
      <c r="B1487" s="220"/>
      <c r="C1487" s="220"/>
      <c r="D1487" s="220"/>
      <c r="E1487" s="220"/>
      <c r="F1487" s="220"/>
      <c r="G1487" s="220"/>
      <c r="H1487" s="218"/>
      <c r="I1487" s="222"/>
      <c r="J1487" s="222"/>
      <c r="K1487" s="222"/>
      <c r="L1487" s="222"/>
      <c r="M1487" s="222"/>
      <c r="N1487" s="222"/>
      <c r="O1487" s="222"/>
      <c r="P1487" s="222"/>
      <c r="Q1487" s="222"/>
    </row>
    <row r="1488" spans="1:17" x14ac:dyDescent="0.25">
      <c r="A1488" s="221" t="s">
        <v>218</v>
      </c>
      <c r="B1488" s="222"/>
      <c r="C1488" s="222"/>
      <c r="D1488" s="222"/>
      <c r="E1488" s="222"/>
      <c r="F1488" s="222"/>
      <c r="G1488" s="222"/>
      <c r="H1488" s="223"/>
      <c r="I1488" s="222"/>
      <c r="J1488" s="222"/>
      <c r="K1488" s="222"/>
      <c r="L1488" s="222"/>
      <c r="M1488" s="222"/>
      <c r="N1488" s="222"/>
      <c r="O1488" s="222"/>
      <c r="P1488" s="222"/>
      <c r="Q1488" s="222"/>
    </row>
    <row r="1489" spans="1:17" s="50" customFormat="1" x14ac:dyDescent="0.25">
      <c r="A1489" s="642" t="s">
        <v>219</v>
      </c>
      <c r="B1489" s="643"/>
      <c r="C1489" s="643"/>
      <c r="D1489" s="643"/>
      <c r="E1489" s="643"/>
      <c r="F1489" s="643"/>
      <c r="G1489" s="448"/>
      <c r="H1489" s="631"/>
      <c r="I1489" s="448"/>
      <c r="J1489" s="448"/>
      <c r="K1489" s="448"/>
      <c r="L1489" s="448"/>
      <c r="M1489" s="448"/>
      <c r="N1489" s="448"/>
      <c r="O1489" s="448"/>
      <c r="P1489" s="448"/>
      <c r="Q1489" s="448"/>
    </row>
    <row r="1490" spans="1:17" s="50" customFormat="1" x14ac:dyDescent="0.25">
      <c r="A1490" s="642" t="s">
        <v>316</v>
      </c>
      <c r="B1490" s="643"/>
      <c r="C1490" s="643"/>
      <c r="D1490" s="643"/>
      <c r="E1490" s="643"/>
      <c r="F1490" s="643"/>
      <c r="G1490" s="448"/>
      <c r="H1490" s="631"/>
      <c r="I1490" s="448"/>
      <c r="J1490" s="448"/>
      <c r="K1490" s="448"/>
      <c r="L1490" s="448"/>
      <c r="M1490" s="448"/>
      <c r="N1490" s="448"/>
      <c r="O1490" s="448"/>
      <c r="P1490" s="448"/>
      <c r="Q1490" s="448"/>
    </row>
    <row r="1491" spans="1:17" s="50" customFormat="1" x14ac:dyDescent="0.25">
      <c r="A1491" s="642" t="s">
        <v>725</v>
      </c>
      <c r="B1491" s="643"/>
      <c r="C1491" s="643"/>
      <c r="D1491" s="643"/>
      <c r="E1491" s="643"/>
      <c r="F1491" s="643"/>
      <c r="G1491" s="448"/>
      <c r="H1491" s="631"/>
      <c r="I1491" s="448"/>
      <c r="J1491" s="448"/>
      <c r="K1491" s="448"/>
      <c r="L1491" s="448"/>
      <c r="M1491" s="448"/>
      <c r="N1491" s="448"/>
      <c r="O1491" s="448"/>
      <c r="P1491" s="448"/>
      <c r="Q1491" s="448"/>
    </row>
    <row r="1492" spans="1:17" s="50" customFormat="1" x14ac:dyDescent="0.25">
      <c r="A1492" s="642" t="s">
        <v>724</v>
      </c>
      <c r="B1492" s="643"/>
      <c r="C1492" s="643"/>
      <c r="D1492" s="643"/>
      <c r="E1492" s="643"/>
      <c r="F1492" s="643"/>
      <c r="G1492" s="448"/>
      <c r="H1492" s="631"/>
      <c r="I1492" s="448"/>
      <c r="J1492" s="448"/>
      <c r="K1492" s="448"/>
      <c r="L1492" s="448"/>
      <c r="M1492" s="448"/>
      <c r="N1492" s="448"/>
      <c r="O1492" s="448"/>
      <c r="P1492" s="448"/>
      <c r="Q1492" s="448"/>
    </row>
    <row r="1493" spans="1:17" s="50" customFormat="1" x14ac:dyDescent="0.25">
      <c r="A1493" s="650" t="s">
        <v>912</v>
      </c>
      <c r="B1493" s="651"/>
      <c r="C1493" s="651"/>
      <c r="D1493" s="651"/>
      <c r="E1493" s="651"/>
      <c r="F1493" s="651"/>
      <c r="G1493" s="632"/>
      <c r="H1493" s="633"/>
      <c r="I1493" s="448"/>
      <c r="J1493" s="448"/>
      <c r="K1493" s="448"/>
      <c r="L1493" s="448"/>
      <c r="M1493" s="448"/>
      <c r="N1493" s="448"/>
      <c r="O1493" s="448"/>
      <c r="P1493" s="448"/>
      <c r="Q1493" s="448"/>
    </row>
    <row r="1494" spans="1:17" x14ac:dyDescent="0.25">
      <c r="A1494" s="222"/>
      <c r="B1494" s="222"/>
      <c r="C1494" s="222"/>
      <c r="D1494" s="222"/>
      <c r="E1494" s="222"/>
      <c r="F1494" s="222"/>
      <c r="G1494" s="222"/>
      <c r="H1494" s="222"/>
      <c r="I1494" s="222"/>
      <c r="J1494" s="222"/>
      <c r="K1494" s="222"/>
      <c r="L1494" s="222"/>
      <c r="M1494" s="222"/>
      <c r="N1494" s="222"/>
      <c r="O1494" s="222"/>
      <c r="P1494" s="222"/>
      <c r="Q1494" s="222"/>
    </row>
    <row r="1495" spans="1:17" x14ac:dyDescent="0.25">
      <c r="A1495" s="251" t="s">
        <v>14</v>
      </c>
      <c r="B1495" s="252" t="s">
        <v>66</v>
      </c>
      <c r="C1495" s="253" t="s">
        <v>15</v>
      </c>
      <c r="D1495" s="254"/>
      <c r="E1495" s="254"/>
      <c r="F1495" s="254"/>
      <c r="G1495" s="222"/>
      <c r="H1495" s="222"/>
      <c r="I1495" s="222"/>
      <c r="J1495" s="222"/>
      <c r="K1495" s="222"/>
      <c r="L1495" s="222"/>
      <c r="M1495" s="222"/>
      <c r="N1495" s="222"/>
      <c r="O1495" s="222"/>
      <c r="P1495" s="222"/>
      <c r="Q1495" s="222"/>
    </row>
    <row r="1496" spans="1:17" x14ac:dyDescent="0.25">
      <c r="A1496" s="255" t="s">
        <v>16</v>
      </c>
      <c r="B1496" s="326"/>
      <c r="C1496" s="213">
        <v>2020</v>
      </c>
      <c r="D1496" s="213">
        <v>2021</v>
      </c>
      <c r="E1496" s="213">
        <v>2022</v>
      </c>
      <c r="F1496" s="213">
        <v>2023</v>
      </c>
      <c r="G1496" s="213">
        <v>2024</v>
      </c>
      <c r="H1496" s="213">
        <v>2025</v>
      </c>
      <c r="I1496" s="213">
        <v>2026</v>
      </c>
      <c r="J1496" s="213">
        <v>2027</v>
      </c>
      <c r="K1496" s="213">
        <v>2028</v>
      </c>
      <c r="L1496" s="213">
        <v>2029</v>
      </c>
      <c r="M1496" s="213">
        <v>2030</v>
      </c>
      <c r="N1496" s="213">
        <v>2031</v>
      </c>
      <c r="O1496" s="213">
        <v>2032</v>
      </c>
      <c r="P1496" s="222"/>
      <c r="Q1496" s="222"/>
    </row>
    <row r="1497" spans="1:17" x14ac:dyDescent="0.25">
      <c r="A1497" s="255" t="s">
        <v>17</v>
      </c>
      <c r="B1497" s="327"/>
      <c r="C1497" s="216">
        <v>1322.73</v>
      </c>
      <c r="D1497" s="216">
        <v>1301.5663200000001</v>
      </c>
      <c r="E1497" s="216">
        <v>1312.14816</v>
      </c>
      <c r="F1497" s="216">
        <v>1312.14816</v>
      </c>
      <c r="G1497" s="216">
        <v>1312.14816</v>
      </c>
      <c r="H1497" s="216">
        <v>1312.14816</v>
      </c>
      <c r="I1497" s="216">
        <v>1312.14816</v>
      </c>
      <c r="J1497" s="216">
        <v>1312.14816</v>
      </c>
      <c r="K1497" s="216">
        <v>1312.14816</v>
      </c>
      <c r="L1497" s="216">
        <v>1312.14816</v>
      </c>
      <c r="M1497" s="216">
        <v>1312.14816</v>
      </c>
      <c r="N1497" s="216">
        <v>1312.14816</v>
      </c>
      <c r="O1497" s="216">
        <v>1312.14816</v>
      </c>
      <c r="P1497" s="222"/>
      <c r="Q1497" s="222"/>
    </row>
    <row r="1498" spans="1:17" x14ac:dyDescent="0.25">
      <c r="A1498" s="255" t="s">
        <v>18</v>
      </c>
      <c r="B1498" s="327"/>
      <c r="C1498" s="216"/>
      <c r="D1498" s="216"/>
      <c r="E1498" s="216"/>
      <c r="F1498" s="216">
        <f>F1497-137.77</f>
        <v>1174.37816</v>
      </c>
      <c r="G1498" s="216">
        <f t="shared" ref="G1498:O1498" si="67">G1497-137.77</f>
        <v>1174.37816</v>
      </c>
      <c r="H1498" s="216">
        <f t="shared" si="67"/>
        <v>1174.37816</v>
      </c>
      <c r="I1498" s="216">
        <f t="shared" si="67"/>
        <v>1174.37816</v>
      </c>
      <c r="J1498" s="216">
        <f t="shared" si="67"/>
        <v>1174.37816</v>
      </c>
      <c r="K1498" s="216">
        <f t="shared" si="67"/>
        <v>1174.37816</v>
      </c>
      <c r="L1498" s="216">
        <f t="shared" si="67"/>
        <v>1174.37816</v>
      </c>
      <c r="M1498" s="216">
        <f t="shared" si="67"/>
        <v>1174.37816</v>
      </c>
      <c r="N1498" s="216">
        <f t="shared" si="67"/>
        <v>1174.37816</v>
      </c>
      <c r="O1498" s="216">
        <f t="shared" si="67"/>
        <v>1174.37816</v>
      </c>
      <c r="P1498" s="222"/>
      <c r="Q1498" s="222"/>
    </row>
    <row r="1499" spans="1:17" x14ac:dyDescent="0.25">
      <c r="A1499" s="255" t="s">
        <v>19</v>
      </c>
      <c r="B1499" s="327"/>
      <c r="C1499" s="216"/>
      <c r="D1499" s="442"/>
      <c r="E1499" s="442" t="s">
        <v>540</v>
      </c>
      <c r="F1499" s="442" t="s">
        <v>540</v>
      </c>
      <c r="G1499" s="442" t="s">
        <v>540</v>
      </c>
      <c r="H1499" s="442" t="s">
        <v>540</v>
      </c>
      <c r="I1499" s="442" t="s">
        <v>540</v>
      </c>
      <c r="J1499" s="442" t="s">
        <v>540</v>
      </c>
      <c r="K1499" s="442" t="s">
        <v>540</v>
      </c>
      <c r="L1499" s="442" t="s">
        <v>540</v>
      </c>
      <c r="M1499" s="442" t="s">
        <v>540</v>
      </c>
      <c r="N1499" s="442" t="s">
        <v>540</v>
      </c>
      <c r="O1499" s="442" t="s">
        <v>540</v>
      </c>
      <c r="P1499" s="222"/>
      <c r="Q1499" s="222"/>
    </row>
    <row r="1500" spans="1:17" x14ac:dyDescent="0.25">
      <c r="A1500" s="255" t="s">
        <v>20</v>
      </c>
      <c r="B1500" s="327"/>
      <c r="C1500" s="216">
        <v>2700.5</v>
      </c>
      <c r="D1500" s="216">
        <v>702.1</v>
      </c>
      <c r="E1500" s="216">
        <v>764.67</v>
      </c>
      <c r="F1500" s="216"/>
      <c r="G1500" s="216"/>
      <c r="H1500" s="216"/>
      <c r="I1500" s="216"/>
      <c r="J1500" s="216"/>
      <c r="K1500" s="216"/>
      <c r="L1500" s="216"/>
      <c r="M1500" s="216"/>
      <c r="N1500" s="216"/>
      <c r="O1500" s="216"/>
      <c r="P1500" s="222"/>
      <c r="Q1500" s="222"/>
    </row>
    <row r="1501" spans="1:17" x14ac:dyDescent="0.25">
      <c r="A1501" s="255" t="s">
        <v>21</v>
      </c>
      <c r="B1501" s="443"/>
      <c r="C1501" s="216">
        <f>C1497-C1500</f>
        <v>-1377.77</v>
      </c>
      <c r="D1501" s="216">
        <f>D1497-D1500</f>
        <v>599.46632000000011</v>
      </c>
      <c r="E1501" s="216">
        <f>E1497-E1500</f>
        <v>547.47816</v>
      </c>
      <c r="F1501" s="216"/>
      <c r="G1501" s="216"/>
      <c r="H1501" s="216"/>
      <c r="I1501" s="216"/>
      <c r="J1501" s="216"/>
      <c r="K1501" s="216"/>
      <c r="L1501" s="216"/>
      <c r="M1501" s="216"/>
      <c r="N1501" s="216"/>
      <c r="O1501" s="216"/>
      <c r="P1501" s="222"/>
      <c r="Q1501" s="222"/>
    </row>
    <row r="1502" spans="1:17" x14ac:dyDescent="0.25">
      <c r="A1502" s="258" t="s">
        <v>22</v>
      </c>
      <c r="B1502" s="444"/>
      <c r="C1502" s="228">
        <v>2022</v>
      </c>
      <c r="D1502" s="228">
        <v>2023</v>
      </c>
      <c r="E1502" s="228"/>
      <c r="F1502" s="228"/>
      <c r="G1502" s="228"/>
      <c r="H1502" s="228"/>
      <c r="I1502" s="228"/>
      <c r="J1502" s="228"/>
      <c r="K1502" s="228"/>
      <c r="L1502" s="228"/>
      <c r="M1502" s="228"/>
      <c r="N1502" s="228"/>
      <c r="O1502" s="228"/>
      <c r="P1502" s="222"/>
      <c r="Q1502" s="222"/>
    </row>
    <row r="1503" spans="1:17" ht="12.75" customHeight="1" x14ac:dyDescent="0.25">
      <c r="A1503" s="445" t="s">
        <v>573</v>
      </c>
      <c r="B1503" s="446"/>
      <c r="C1503" s="446"/>
      <c r="D1503" s="446"/>
      <c r="E1503" s="446"/>
      <c r="F1503" s="446"/>
      <c r="G1503" s="446"/>
      <c r="H1503" s="446"/>
      <c r="I1503" s="446"/>
      <c r="J1503" s="446"/>
      <c r="K1503" s="446"/>
      <c r="L1503" s="446"/>
      <c r="M1503" s="446"/>
      <c r="N1503" s="446"/>
      <c r="O1503" s="447"/>
      <c r="P1503" s="222"/>
      <c r="Q1503" s="222"/>
    </row>
    <row r="1504" spans="1:17" x14ac:dyDescent="0.25">
      <c r="A1504" s="212" t="s">
        <v>913</v>
      </c>
      <c r="B1504" s="224"/>
      <c r="C1504" s="224"/>
      <c r="D1504" s="224"/>
      <c r="E1504" s="224"/>
      <c r="F1504" s="224"/>
      <c r="G1504" s="224"/>
      <c r="H1504" s="224"/>
      <c r="I1504" s="224"/>
      <c r="J1504" s="224"/>
      <c r="K1504" s="224"/>
      <c r="L1504" s="224"/>
      <c r="M1504" s="224"/>
      <c r="N1504" s="224"/>
      <c r="O1504" s="225"/>
      <c r="P1504" s="222"/>
      <c r="Q1504" s="222"/>
    </row>
    <row r="1505" spans="1:17" x14ac:dyDescent="0.25">
      <c r="A1505" s="222"/>
      <c r="B1505" s="222"/>
      <c r="C1505" s="448"/>
      <c r="D1505" s="222"/>
      <c r="E1505" s="222"/>
      <c r="F1505" s="222"/>
      <c r="G1505" s="222"/>
      <c r="H1505" s="222"/>
      <c r="I1505" s="222"/>
      <c r="J1505" s="222"/>
      <c r="K1505" s="222"/>
      <c r="L1505" s="222"/>
      <c r="M1505" s="222"/>
      <c r="N1505" s="222"/>
      <c r="O1505" s="222"/>
      <c r="P1505" s="222"/>
      <c r="Q1505" s="222"/>
    </row>
    <row r="1506" spans="1:17" x14ac:dyDescent="0.25">
      <c r="A1506" s="222"/>
      <c r="B1506" s="222"/>
      <c r="C1506" s="222"/>
      <c r="D1506" s="222"/>
      <c r="E1506" s="222"/>
      <c r="F1506" s="222"/>
      <c r="G1506" s="222"/>
      <c r="H1506" s="222"/>
      <c r="I1506" s="222"/>
      <c r="J1506" s="222"/>
      <c r="K1506" s="222"/>
      <c r="L1506" s="222"/>
      <c r="M1506" s="222"/>
      <c r="N1506" s="222"/>
      <c r="O1506" s="222"/>
      <c r="P1506" s="222"/>
      <c r="Q1506" s="222"/>
    </row>
    <row r="1507" spans="1:17" x14ac:dyDescent="0.25">
      <c r="A1507" s="559" t="s">
        <v>204</v>
      </c>
      <c r="B1507" s="553" t="s">
        <v>205</v>
      </c>
      <c r="C1507" s="222"/>
      <c r="D1507" s="222"/>
      <c r="E1507" s="222"/>
      <c r="F1507" s="222"/>
      <c r="G1507" s="222"/>
      <c r="H1507" s="222"/>
      <c r="I1507" s="222"/>
      <c r="J1507" s="222"/>
      <c r="K1507" s="222"/>
      <c r="L1507" s="222"/>
      <c r="M1507" s="222"/>
      <c r="N1507" s="222"/>
      <c r="O1507" s="222"/>
      <c r="P1507" s="222"/>
      <c r="Q1507" s="222"/>
    </row>
    <row r="1508" spans="1:17" x14ac:dyDescent="0.25">
      <c r="A1508" s="262" t="s">
        <v>203</v>
      </c>
      <c r="B1508" s="276" t="s">
        <v>657</v>
      </c>
      <c r="C1508" s="264" t="s">
        <v>15</v>
      </c>
      <c r="D1508" s="222"/>
      <c r="E1508" s="222"/>
      <c r="F1508" s="222"/>
      <c r="G1508" s="222"/>
      <c r="H1508" s="222"/>
      <c r="I1508" s="222"/>
      <c r="J1508" s="222"/>
      <c r="K1508" s="222"/>
      <c r="L1508" s="222"/>
      <c r="M1508" s="222"/>
      <c r="N1508" s="222"/>
      <c r="O1508" s="222"/>
      <c r="P1508" s="222"/>
      <c r="Q1508" s="222"/>
    </row>
    <row r="1509" spans="1:17" x14ac:dyDescent="0.25">
      <c r="A1509" s="227" t="s">
        <v>16</v>
      </c>
      <c r="B1509" s="227"/>
      <c r="C1509" s="227"/>
      <c r="D1509" s="213">
        <v>2018</v>
      </c>
      <c r="E1509" s="213">
        <v>2019</v>
      </c>
      <c r="F1509" s="213">
        <v>2020</v>
      </c>
      <c r="G1509" s="213">
        <v>2021</v>
      </c>
      <c r="H1509" s="213">
        <v>2022</v>
      </c>
      <c r="I1509" s="213">
        <v>2023</v>
      </c>
      <c r="J1509" s="352"/>
      <c r="K1509" s="222"/>
      <c r="L1509" s="222"/>
      <c r="M1509" s="222"/>
      <c r="N1509" s="222"/>
      <c r="O1509" s="222"/>
      <c r="P1509" s="222"/>
      <c r="Q1509" s="222"/>
    </row>
    <row r="1510" spans="1:17" x14ac:dyDescent="0.25">
      <c r="A1510" s="227" t="s">
        <v>17</v>
      </c>
      <c r="B1510" s="216"/>
      <c r="C1510" s="216"/>
      <c r="D1510" s="216">
        <v>4400</v>
      </c>
      <c r="E1510" s="216">
        <v>4400</v>
      </c>
      <c r="F1510" s="216">
        <v>4400</v>
      </c>
      <c r="G1510" s="216">
        <v>4400</v>
      </c>
      <c r="H1510" s="216">
        <v>4400</v>
      </c>
      <c r="I1510" s="216">
        <v>5280</v>
      </c>
      <c r="J1510" s="398"/>
      <c r="K1510" s="222"/>
      <c r="L1510" s="222"/>
      <c r="M1510" s="222"/>
      <c r="N1510" s="222"/>
      <c r="O1510" s="222"/>
      <c r="P1510" s="222"/>
      <c r="Q1510" s="222"/>
    </row>
    <row r="1511" spans="1:17" x14ac:dyDescent="0.25">
      <c r="A1511" s="227" t="s">
        <v>18</v>
      </c>
      <c r="B1511" s="216"/>
      <c r="C1511" s="216"/>
      <c r="D1511" s="216">
        <v>5500</v>
      </c>
      <c r="E1511" s="216">
        <f>E1510*1.25-900</f>
        <v>4600</v>
      </c>
      <c r="F1511" s="216">
        <f>F1510*1.25-600</f>
        <v>4900</v>
      </c>
      <c r="G1511" s="216">
        <f>G1510+E1514</f>
        <v>4597.134</v>
      </c>
      <c r="H1511" s="216">
        <f>H1510+F1514</f>
        <v>5274.0761000000002</v>
      </c>
      <c r="I1511" s="216">
        <f>I1510+G1514-100</f>
        <v>5854.6139999999996</v>
      </c>
      <c r="J1511" s="398"/>
      <c r="K1511" s="222"/>
      <c r="L1511" s="222"/>
      <c r="M1511" s="222"/>
      <c r="N1511" s="222"/>
      <c r="O1511" s="222"/>
      <c r="P1511" s="222"/>
      <c r="Q1511" s="222"/>
    </row>
    <row r="1512" spans="1:17" x14ac:dyDescent="0.25">
      <c r="A1512" s="265" t="s">
        <v>19</v>
      </c>
      <c r="B1512" s="375"/>
      <c r="C1512" s="216"/>
      <c r="D1512" s="216"/>
      <c r="E1512" s="216"/>
      <c r="F1512" s="216"/>
      <c r="G1512" s="216"/>
      <c r="H1512" s="216"/>
      <c r="I1512" s="216"/>
      <c r="J1512" s="398"/>
      <c r="K1512" s="222"/>
      <c r="L1512" s="222"/>
      <c r="M1512" s="222"/>
      <c r="N1512" s="222"/>
      <c r="O1512" s="222"/>
      <c r="P1512" s="222"/>
      <c r="Q1512" s="222"/>
    </row>
    <row r="1513" spans="1:17" x14ac:dyDescent="0.25">
      <c r="A1513" s="265" t="s">
        <v>20</v>
      </c>
      <c r="B1513" s="216"/>
      <c r="C1513" s="216"/>
      <c r="D1513" s="216">
        <v>2572.5</v>
      </c>
      <c r="E1513" s="216">
        <v>4402.866</v>
      </c>
      <c r="F1513" s="216">
        <v>4025.9238999999998</v>
      </c>
      <c r="G1513" s="216">
        <v>3922.52</v>
      </c>
      <c r="H1513" s="216">
        <v>5430.4960000000001</v>
      </c>
      <c r="I1513" s="216"/>
      <c r="J1513" s="398"/>
      <c r="K1513" s="222"/>
      <c r="L1513" s="222"/>
      <c r="M1513" s="222"/>
      <c r="N1513" s="222"/>
      <c r="O1513" s="222"/>
      <c r="P1513" s="222"/>
      <c r="Q1513" s="222"/>
    </row>
    <row r="1514" spans="1:17" x14ac:dyDescent="0.25">
      <c r="A1514" s="265" t="s">
        <v>21</v>
      </c>
      <c r="B1514" s="216"/>
      <c r="C1514" s="216"/>
      <c r="D1514" s="216">
        <f>D1511-D1513</f>
        <v>2927.5</v>
      </c>
      <c r="E1514" s="216">
        <f>E1511-E1513</f>
        <v>197.13400000000001</v>
      </c>
      <c r="F1514" s="216">
        <f>F1511-F1513</f>
        <v>874.07610000000022</v>
      </c>
      <c r="G1514" s="216">
        <f>G1511-G1513</f>
        <v>674.61400000000003</v>
      </c>
      <c r="H1514" s="216">
        <f>H1511-H1513</f>
        <v>-156.41989999999987</v>
      </c>
      <c r="I1514" s="216"/>
      <c r="J1514" s="398"/>
      <c r="K1514" s="222"/>
      <c r="L1514" s="222"/>
      <c r="M1514" s="222"/>
      <c r="N1514" s="222"/>
      <c r="O1514" s="222"/>
      <c r="P1514" s="222"/>
      <c r="Q1514" s="222"/>
    </row>
    <row r="1515" spans="1:17" x14ac:dyDescent="0.25">
      <c r="A1515" s="219" t="s">
        <v>22</v>
      </c>
      <c r="B1515" s="228"/>
      <c r="C1515" s="228"/>
      <c r="D1515" s="245">
        <v>2020</v>
      </c>
      <c r="E1515" s="245">
        <v>2021</v>
      </c>
      <c r="F1515" s="245">
        <v>2022</v>
      </c>
      <c r="G1515" s="245">
        <v>2023</v>
      </c>
      <c r="H1515" s="245">
        <v>2024</v>
      </c>
      <c r="I1515" s="245">
        <v>2025</v>
      </c>
      <c r="J1515" s="440"/>
      <c r="K1515" s="222"/>
      <c r="L1515" s="222"/>
      <c r="M1515" s="222"/>
      <c r="N1515" s="222"/>
      <c r="O1515" s="222"/>
      <c r="P1515" s="222"/>
      <c r="Q1515" s="222"/>
    </row>
    <row r="1516" spans="1:17" x14ac:dyDescent="0.25">
      <c r="A1516" s="219" t="s">
        <v>23</v>
      </c>
      <c r="B1516" s="220"/>
      <c r="C1516" s="220"/>
      <c r="D1516" s="282"/>
      <c r="E1516" s="282"/>
      <c r="F1516" s="282"/>
      <c r="G1516" s="246"/>
      <c r="H1516" s="246"/>
      <c r="I1516" s="246"/>
      <c r="J1516" s="440"/>
      <c r="K1516" s="222"/>
      <c r="L1516" s="222"/>
      <c r="M1516" s="222"/>
      <c r="N1516" s="222"/>
      <c r="O1516" s="222"/>
      <c r="P1516" s="222"/>
      <c r="Q1516" s="222"/>
    </row>
    <row r="1517" spans="1:17" x14ac:dyDescent="0.25">
      <c r="A1517" s="219" t="s">
        <v>115</v>
      </c>
      <c r="B1517" s="220"/>
      <c r="C1517" s="220"/>
      <c r="D1517" s="220"/>
      <c r="E1517" s="220"/>
      <c r="F1517" s="220"/>
      <c r="G1517" s="220"/>
      <c r="H1517" s="220"/>
      <c r="I1517" s="218"/>
      <c r="J1517" s="222"/>
      <c r="K1517" s="222"/>
      <c r="L1517" s="222"/>
      <c r="M1517" s="222"/>
      <c r="N1517" s="222"/>
      <c r="O1517" s="222"/>
      <c r="P1517" s="222"/>
      <c r="Q1517" s="222"/>
    </row>
    <row r="1518" spans="1:17" x14ac:dyDescent="0.25">
      <c r="A1518" s="221" t="s">
        <v>327</v>
      </c>
      <c r="B1518" s="222"/>
      <c r="C1518" s="222"/>
      <c r="D1518" s="222"/>
      <c r="E1518" s="222"/>
      <c r="F1518" s="222"/>
      <c r="G1518" s="222"/>
      <c r="H1518" s="222"/>
      <c r="I1518" s="223"/>
      <c r="J1518" s="222"/>
      <c r="K1518" s="222"/>
      <c r="L1518" s="222"/>
      <c r="M1518" s="222"/>
      <c r="N1518" s="222"/>
      <c r="O1518" s="222"/>
      <c r="P1518" s="222"/>
      <c r="Q1518" s="222"/>
    </row>
    <row r="1519" spans="1:17" x14ac:dyDescent="0.25">
      <c r="A1519" s="221" t="s">
        <v>328</v>
      </c>
      <c r="B1519" s="222"/>
      <c r="C1519" s="222"/>
      <c r="D1519" s="222"/>
      <c r="E1519" s="222"/>
      <c r="F1519" s="222"/>
      <c r="G1519" s="222"/>
      <c r="H1519" s="222"/>
      <c r="I1519" s="223"/>
      <c r="J1519" s="222"/>
      <c r="K1519" s="222"/>
      <c r="L1519" s="222"/>
      <c r="M1519" s="222"/>
      <c r="N1519" s="222"/>
      <c r="O1519" s="222"/>
      <c r="P1519" s="222"/>
      <c r="Q1519" s="222"/>
    </row>
    <row r="1520" spans="1:17" x14ac:dyDescent="0.25">
      <c r="A1520" s="221" t="s">
        <v>473</v>
      </c>
      <c r="B1520" s="222"/>
      <c r="C1520" s="222"/>
      <c r="D1520" s="222"/>
      <c r="E1520" s="222"/>
      <c r="F1520" s="222"/>
      <c r="G1520" s="222"/>
      <c r="H1520" s="222"/>
      <c r="I1520" s="223"/>
      <c r="J1520" s="222"/>
      <c r="K1520" s="222"/>
      <c r="L1520" s="222"/>
      <c r="M1520" s="222"/>
      <c r="N1520" s="222"/>
      <c r="O1520" s="222"/>
      <c r="P1520" s="222"/>
      <c r="Q1520" s="222"/>
    </row>
    <row r="1521" spans="1:12" x14ac:dyDescent="0.25">
      <c r="A1521" s="221" t="s">
        <v>877</v>
      </c>
      <c r="B1521" s="222"/>
      <c r="C1521" s="222"/>
      <c r="D1521" s="222"/>
      <c r="E1521" s="222"/>
      <c r="F1521" s="222"/>
      <c r="G1521" s="222"/>
      <c r="H1521" s="222"/>
      <c r="I1521" s="223"/>
      <c r="J1521" s="222"/>
      <c r="K1521" s="222"/>
      <c r="L1521" s="222"/>
    </row>
    <row r="1522" spans="1:12" x14ac:dyDescent="0.25">
      <c r="A1522" s="212" t="s">
        <v>878</v>
      </c>
      <c r="B1522" s="224"/>
      <c r="C1522" s="224"/>
      <c r="D1522" s="224"/>
      <c r="E1522" s="224"/>
      <c r="F1522" s="224"/>
      <c r="G1522" s="224"/>
      <c r="H1522" s="224"/>
      <c r="I1522" s="225"/>
      <c r="J1522" s="222"/>
      <c r="K1522" s="222"/>
      <c r="L1522" s="222"/>
    </row>
    <row r="1523" spans="1:12" x14ac:dyDescent="0.25">
      <c r="A1523" s="222"/>
      <c r="B1523" s="222"/>
      <c r="C1523" s="222"/>
      <c r="D1523" s="222"/>
      <c r="E1523" s="222"/>
      <c r="F1523" s="222"/>
      <c r="G1523" s="222"/>
      <c r="H1523" s="222"/>
      <c r="I1523" s="222"/>
      <c r="J1523" s="222"/>
      <c r="K1523" s="222"/>
      <c r="L1523" s="222"/>
    </row>
    <row r="1524" spans="1:12" x14ac:dyDescent="0.25">
      <c r="A1524" s="262" t="s">
        <v>203</v>
      </c>
      <c r="B1524" s="276" t="s">
        <v>660</v>
      </c>
      <c r="C1524" s="264" t="s">
        <v>15</v>
      </c>
      <c r="D1524" s="222"/>
      <c r="E1524" s="222"/>
      <c r="F1524" s="222"/>
      <c r="G1524" s="222"/>
      <c r="H1524" s="222"/>
      <c r="I1524" s="222"/>
      <c r="J1524" s="222"/>
      <c r="K1524" s="222"/>
      <c r="L1524" s="222"/>
    </row>
    <row r="1525" spans="1:12" x14ac:dyDescent="0.25">
      <c r="A1525" s="227" t="s">
        <v>16</v>
      </c>
      <c r="B1525" s="227"/>
      <c r="C1525" s="213">
        <v>2016</v>
      </c>
      <c r="D1525" s="213">
        <v>2017</v>
      </c>
      <c r="E1525" s="213">
        <v>2018</v>
      </c>
      <c r="F1525" s="213">
        <v>2019</v>
      </c>
      <c r="G1525" s="213">
        <v>2020</v>
      </c>
      <c r="H1525" s="213">
        <v>2021</v>
      </c>
      <c r="I1525" s="213">
        <v>2022</v>
      </c>
      <c r="J1525" s="213">
        <v>2023</v>
      </c>
      <c r="K1525" s="222"/>
      <c r="L1525" s="222"/>
    </row>
    <row r="1526" spans="1:12" x14ac:dyDescent="0.25">
      <c r="A1526" s="227" t="s">
        <v>17</v>
      </c>
      <c r="B1526" s="216"/>
      <c r="C1526" s="216">
        <v>1001</v>
      </c>
      <c r="D1526" s="216">
        <v>1001</v>
      </c>
      <c r="E1526" s="216">
        <v>1001</v>
      </c>
      <c r="F1526" s="216">
        <v>1001</v>
      </c>
      <c r="G1526" s="216">
        <v>1001</v>
      </c>
      <c r="H1526" s="216">
        <v>1001</v>
      </c>
      <c r="I1526" s="216">
        <v>1001</v>
      </c>
      <c r="J1526" s="216">
        <v>1001</v>
      </c>
      <c r="K1526" s="222"/>
      <c r="L1526" s="222"/>
    </row>
    <row r="1527" spans="1:12" x14ac:dyDescent="0.25">
      <c r="A1527" s="227" t="s">
        <v>18</v>
      </c>
      <c r="B1527" s="216"/>
      <c r="C1527" s="216">
        <f>C1526*1.3-50</f>
        <v>1251.3</v>
      </c>
      <c r="D1527" s="216">
        <f>D1526*1.3-50</f>
        <v>1251.3</v>
      </c>
      <c r="E1527" s="216">
        <f>E1526*1.2-50</f>
        <v>1151.2</v>
      </c>
      <c r="F1527" s="216">
        <f t="shared" ref="F1527:G1527" si="68">F1526*1.2-50</f>
        <v>1151.2</v>
      </c>
      <c r="G1527" s="216">
        <f t="shared" si="68"/>
        <v>1151.2</v>
      </c>
      <c r="H1527" s="216">
        <f>H1526*1.2</f>
        <v>1201.2</v>
      </c>
      <c r="I1527" s="216">
        <f>I1526*1.2</f>
        <v>1201.2</v>
      </c>
      <c r="J1527" s="216">
        <f>J1526*1.2</f>
        <v>1201.2</v>
      </c>
      <c r="K1527" s="222"/>
      <c r="L1527" s="222"/>
    </row>
    <row r="1528" spans="1:12" x14ac:dyDescent="0.25">
      <c r="A1528" s="265" t="s">
        <v>19</v>
      </c>
      <c r="B1528" s="375"/>
      <c r="C1528" s="433" t="s">
        <v>474</v>
      </c>
      <c r="D1528" s="433" t="s">
        <v>474</v>
      </c>
      <c r="E1528" s="433" t="s">
        <v>475</v>
      </c>
      <c r="F1528" s="433" t="s">
        <v>475</v>
      </c>
      <c r="G1528" s="433" t="s">
        <v>475</v>
      </c>
      <c r="H1528" s="433" t="s">
        <v>683</v>
      </c>
      <c r="I1528" s="433" t="s">
        <v>683</v>
      </c>
      <c r="J1528" s="433" t="s">
        <v>683</v>
      </c>
      <c r="K1528" s="222"/>
      <c r="L1528" s="222"/>
    </row>
    <row r="1529" spans="1:12" x14ac:dyDescent="0.25">
      <c r="A1529" s="265" t="s">
        <v>20</v>
      </c>
      <c r="B1529" s="216"/>
      <c r="C1529" s="216">
        <v>124.4</v>
      </c>
      <c r="D1529" s="216">
        <v>159</v>
      </c>
      <c r="E1529" s="216">
        <v>188.7</v>
      </c>
      <c r="F1529" s="216">
        <v>288.56359999999995</v>
      </c>
      <c r="G1529" s="216">
        <v>149.46553</v>
      </c>
      <c r="H1529" s="227">
        <v>228.99</v>
      </c>
      <c r="I1529" s="227">
        <v>160.58000000000001</v>
      </c>
      <c r="J1529" s="227"/>
      <c r="K1529" s="222"/>
      <c r="L1529" s="222"/>
    </row>
    <row r="1530" spans="1:12" x14ac:dyDescent="0.25">
      <c r="A1530" s="265" t="s">
        <v>21</v>
      </c>
      <c r="B1530" s="216"/>
      <c r="C1530" s="216">
        <f>C1527-C1529</f>
        <v>1126.8999999999999</v>
      </c>
      <c r="D1530" s="216">
        <f t="shared" ref="D1530:G1530" si="69">D1527-D1529</f>
        <v>1092.3</v>
      </c>
      <c r="E1530" s="216">
        <f t="shared" si="69"/>
        <v>962.5</v>
      </c>
      <c r="F1530" s="216">
        <f t="shared" si="69"/>
        <v>862.63640000000009</v>
      </c>
      <c r="G1530" s="216">
        <f t="shared" si="69"/>
        <v>1001.7344700000001</v>
      </c>
      <c r="H1530" s="216">
        <f>H1527-H1529</f>
        <v>972.21</v>
      </c>
      <c r="I1530" s="216">
        <f>I1527-I1529</f>
        <v>1040.6200000000001</v>
      </c>
      <c r="J1530" s="216"/>
      <c r="K1530" s="222"/>
      <c r="L1530" s="222"/>
    </row>
    <row r="1531" spans="1:12" x14ac:dyDescent="0.25">
      <c r="A1531" s="219" t="s">
        <v>22</v>
      </c>
      <c r="B1531" s="228"/>
      <c r="C1531" s="245">
        <v>2018</v>
      </c>
      <c r="D1531" s="245">
        <v>2019</v>
      </c>
      <c r="E1531" s="245">
        <v>2020</v>
      </c>
      <c r="F1531" s="245">
        <v>2021</v>
      </c>
      <c r="G1531" s="245">
        <v>2022</v>
      </c>
      <c r="H1531" s="245">
        <v>2023</v>
      </c>
      <c r="I1531" s="245">
        <v>2024</v>
      </c>
      <c r="J1531" s="245">
        <v>2025</v>
      </c>
      <c r="K1531" s="222"/>
      <c r="L1531" s="222"/>
    </row>
    <row r="1532" spans="1:12" x14ac:dyDescent="0.25">
      <c r="A1532" s="228" t="s">
        <v>23</v>
      </c>
      <c r="B1532" s="219"/>
      <c r="C1532" s="220"/>
      <c r="D1532" s="220"/>
      <c r="E1532" s="220"/>
      <c r="F1532" s="220"/>
      <c r="G1532" s="220"/>
      <c r="H1532" s="218"/>
      <c r="I1532" s="218"/>
      <c r="J1532" s="218"/>
      <c r="K1532" s="222"/>
      <c r="L1532" s="222"/>
    </row>
    <row r="1533" spans="1:12" x14ac:dyDescent="0.25">
      <c r="A1533" s="435" t="s">
        <v>462</v>
      </c>
      <c r="B1533" s="436"/>
      <c r="C1533" s="436"/>
      <c r="D1533" s="436"/>
      <c r="E1533" s="436"/>
      <c r="F1533" s="260"/>
      <c r="G1533" s="260"/>
      <c r="H1533" s="220"/>
      <c r="I1533" s="220"/>
      <c r="J1533" s="218"/>
      <c r="K1533" s="222"/>
      <c r="L1533" s="222"/>
    </row>
    <row r="1534" spans="1:12" x14ac:dyDescent="0.25">
      <c r="A1534" s="221" t="s">
        <v>461</v>
      </c>
      <c r="B1534" s="222"/>
      <c r="C1534" s="222"/>
      <c r="D1534" s="222"/>
      <c r="E1534" s="222"/>
      <c r="F1534" s="222"/>
      <c r="G1534" s="222"/>
      <c r="H1534" s="222"/>
      <c r="I1534" s="222"/>
      <c r="J1534" s="21"/>
    </row>
    <row r="1535" spans="1:12" x14ac:dyDescent="0.25">
      <c r="A1535" s="212" t="s">
        <v>476</v>
      </c>
      <c r="B1535" s="224"/>
      <c r="C1535" s="224"/>
      <c r="D1535" s="224"/>
      <c r="E1535" s="224"/>
      <c r="F1535" s="224"/>
      <c r="G1535" s="224"/>
      <c r="H1535" s="224"/>
      <c r="I1535" s="224"/>
      <c r="J1535" s="34"/>
    </row>
    <row r="1536" spans="1:12" x14ac:dyDescent="0.25">
      <c r="A1536" s="222"/>
      <c r="B1536" s="222"/>
      <c r="C1536" s="222"/>
      <c r="D1536" s="222"/>
      <c r="E1536" s="222"/>
      <c r="F1536" s="222"/>
      <c r="G1536" s="222"/>
      <c r="H1536" s="222"/>
      <c r="I1536" s="222"/>
    </row>
    <row r="1538" spans="1:9" x14ac:dyDescent="0.25">
      <c r="A1538" s="115" t="s">
        <v>12</v>
      </c>
      <c r="B1538" s="551" t="s">
        <v>13</v>
      </c>
    </row>
    <row r="1539" spans="1:9" x14ac:dyDescent="0.25">
      <c r="A1539" s="91" t="s">
        <v>14</v>
      </c>
      <c r="B1539" s="55" t="s">
        <v>661</v>
      </c>
      <c r="C1539" s="40" t="s">
        <v>15</v>
      </c>
    </row>
    <row r="1540" spans="1:9" x14ac:dyDescent="0.25">
      <c r="A1540" s="46" t="s">
        <v>16</v>
      </c>
      <c r="B1540" s="22"/>
      <c r="C1540" s="189">
        <v>2016</v>
      </c>
      <c r="D1540" s="190">
        <v>2017</v>
      </c>
      <c r="E1540" s="189">
        <v>2018</v>
      </c>
      <c r="F1540" s="191">
        <v>2019</v>
      </c>
      <c r="G1540" s="191">
        <v>2020</v>
      </c>
      <c r="H1540" s="191">
        <v>2021</v>
      </c>
      <c r="I1540" s="191">
        <v>2022</v>
      </c>
    </row>
    <row r="1541" spans="1:9" x14ac:dyDescent="0.25">
      <c r="A1541" s="46" t="s">
        <v>17</v>
      </c>
      <c r="B1541" s="22"/>
      <c r="C1541" s="23">
        <v>47.4</v>
      </c>
      <c r="D1541" s="92">
        <v>56.91</v>
      </c>
      <c r="E1541" s="23">
        <v>66</v>
      </c>
      <c r="F1541" s="93">
        <v>73</v>
      </c>
      <c r="G1541" s="93">
        <v>80</v>
      </c>
      <c r="H1541" s="93">
        <v>80</v>
      </c>
      <c r="I1541" s="93">
        <v>80</v>
      </c>
    </row>
    <row r="1542" spans="1:9" x14ac:dyDescent="0.25">
      <c r="A1542" s="46" t="s">
        <v>18</v>
      </c>
      <c r="B1542" s="22"/>
      <c r="C1542" s="23">
        <v>47.4</v>
      </c>
      <c r="D1542" s="92">
        <v>56.91</v>
      </c>
      <c r="E1542" s="23">
        <v>66</v>
      </c>
      <c r="F1542" s="93">
        <v>73</v>
      </c>
      <c r="G1542" s="93">
        <v>80</v>
      </c>
      <c r="H1542" s="93">
        <v>0.8</v>
      </c>
      <c r="I1542" s="93">
        <v>80</v>
      </c>
    </row>
    <row r="1543" spans="1:9" x14ac:dyDescent="0.25">
      <c r="A1543" s="46" t="s">
        <v>19</v>
      </c>
      <c r="B1543" s="22"/>
      <c r="C1543" s="23"/>
      <c r="D1543" s="92"/>
      <c r="E1543" s="23"/>
      <c r="F1543" s="93"/>
      <c r="G1543" s="93"/>
      <c r="H1543" s="192" t="s">
        <v>540</v>
      </c>
      <c r="I1543" s="192" t="s">
        <v>540</v>
      </c>
    </row>
    <row r="1544" spans="1:9" x14ac:dyDescent="0.25">
      <c r="A1544" s="46" t="s">
        <v>20</v>
      </c>
      <c r="B1544" s="22"/>
      <c r="C1544" s="23">
        <v>47.393000000000001</v>
      </c>
      <c r="D1544" s="92">
        <v>56.905999999999999</v>
      </c>
      <c r="E1544" s="23">
        <v>66</v>
      </c>
      <c r="F1544" s="93">
        <v>71.97</v>
      </c>
      <c r="G1544" s="93">
        <v>79.2</v>
      </c>
      <c r="H1544" s="93"/>
      <c r="I1544" s="93">
        <v>79.2</v>
      </c>
    </row>
    <row r="1545" spans="1:9" x14ac:dyDescent="0.25">
      <c r="A1545" s="46" t="s">
        <v>21</v>
      </c>
      <c r="B1545" s="22"/>
      <c r="C1545" s="23">
        <f>C1542-C1544</f>
        <v>6.9999999999978968E-3</v>
      </c>
      <c r="D1545" s="23">
        <f t="shared" ref="D1545:F1545" si="70">D1542-D1544</f>
        <v>3.9999999999977831E-3</v>
      </c>
      <c r="E1545" s="23">
        <f t="shared" si="70"/>
        <v>0</v>
      </c>
      <c r="F1545" s="23">
        <f t="shared" si="70"/>
        <v>1.0300000000000011</v>
      </c>
      <c r="G1545" s="93">
        <f>G1542-G1544</f>
        <v>0.79999999999999716</v>
      </c>
      <c r="H1545" s="93"/>
      <c r="I1545" s="93">
        <v>0.79999999999999716</v>
      </c>
    </row>
    <row r="1546" spans="1:9" x14ac:dyDescent="0.25">
      <c r="A1546" s="49" t="s">
        <v>22</v>
      </c>
      <c r="B1546" s="36"/>
      <c r="C1546" s="36"/>
      <c r="D1546" s="30"/>
      <c r="E1546" s="36"/>
      <c r="F1546" s="31"/>
      <c r="G1546" s="36"/>
      <c r="H1546" s="36"/>
      <c r="I1546" s="36"/>
    </row>
    <row r="1547" spans="1:9" x14ac:dyDescent="0.25">
      <c r="A1547" s="49" t="s">
        <v>23</v>
      </c>
      <c r="B1547" s="30"/>
      <c r="C1547" s="30"/>
      <c r="D1547" s="30"/>
      <c r="E1547" s="30"/>
      <c r="F1547" s="30"/>
      <c r="G1547" s="30"/>
      <c r="H1547" s="30"/>
      <c r="I1547" s="31"/>
    </row>
    <row r="1548" spans="1:9" x14ac:dyDescent="0.25">
      <c r="A1548" s="46" t="s">
        <v>539</v>
      </c>
      <c r="B1548" s="58"/>
      <c r="C1548" s="58"/>
      <c r="D1548" s="58"/>
      <c r="E1548" s="58"/>
      <c r="F1548" s="58"/>
      <c r="G1548" s="58"/>
      <c r="H1548" s="58"/>
      <c r="I1548" s="56"/>
    </row>
    <row r="1551" spans="1:9" x14ac:dyDescent="0.25">
      <c r="A1551" s="115" t="s">
        <v>12</v>
      </c>
      <c r="B1551" s="551" t="s">
        <v>172</v>
      </c>
    </row>
    <row r="1552" spans="1:9" x14ac:dyDescent="0.25">
      <c r="A1552" s="91" t="s">
        <v>14</v>
      </c>
      <c r="B1552" s="193" t="s">
        <v>637</v>
      </c>
      <c r="C1552" s="194" t="s">
        <v>15</v>
      </c>
    </row>
    <row r="1553" spans="1:11" x14ac:dyDescent="0.25">
      <c r="A1553" s="46" t="s">
        <v>16</v>
      </c>
      <c r="B1553" s="22"/>
      <c r="C1553" s="22"/>
      <c r="D1553" s="22"/>
      <c r="E1553" s="22"/>
      <c r="F1553" s="51">
        <v>2018</v>
      </c>
      <c r="G1553" s="51">
        <v>2019</v>
      </c>
      <c r="H1553" s="51">
        <v>2020</v>
      </c>
      <c r="I1553" s="51">
        <v>2021</v>
      </c>
      <c r="J1553" s="51">
        <v>2022</v>
      </c>
      <c r="K1553" s="51">
        <v>2023</v>
      </c>
    </row>
    <row r="1554" spans="1:11" x14ac:dyDescent="0.25">
      <c r="A1554" s="46" t="s">
        <v>17</v>
      </c>
      <c r="B1554" s="22"/>
      <c r="C1554" s="23"/>
      <c r="D1554" s="23"/>
      <c r="E1554" s="23"/>
      <c r="F1554" s="23">
        <v>125</v>
      </c>
      <c r="G1554" s="23">
        <v>125</v>
      </c>
      <c r="H1554" s="23">
        <v>125</v>
      </c>
      <c r="I1554" s="23">
        <v>125</v>
      </c>
      <c r="J1554" s="23">
        <v>125</v>
      </c>
      <c r="K1554" s="23">
        <v>125</v>
      </c>
    </row>
    <row r="1555" spans="1:11" x14ac:dyDescent="0.25">
      <c r="A1555" s="46" t="s">
        <v>18</v>
      </c>
      <c r="B1555" s="22"/>
      <c r="C1555" s="23"/>
      <c r="D1555" s="23"/>
      <c r="E1555" s="23"/>
      <c r="F1555" s="23">
        <v>100</v>
      </c>
      <c r="G1555" s="23">
        <v>100</v>
      </c>
      <c r="H1555" s="23">
        <f>H1554*1.4-100</f>
        <v>75</v>
      </c>
      <c r="I1555" s="23">
        <v>75</v>
      </c>
      <c r="J1555" s="23">
        <v>75</v>
      </c>
      <c r="K1555" s="23">
        <v>75</v>
      </c>
    </row>
    <row r="1556" spans="1:11" x14ac:dyDescent="0.25">
      <c r="A1556" s="46" t="s">
        <v>19</v>
      </c>
      <c r="B1556" s="22"/>
      <c r="C1556" s="23"/>
      <c r="D1556" s="23"/>
      <c r="E1556" s="23"/>
      <c r="F1556" s="23">
        <f>F1554*1.4-(75)</f>
        <v>100</v>
      </c>
      <c r="G1556" s="23">
        <f>G1554*1.4-(75)</f>
        <v>100</v>
      </c>
      <c r="H1556" s="23">
        <v>75</v>
      </c>
      <c r="I1556" s="23">
        <v>75</v>
      </c>
      <c r="J1556" s="23">
        <v>75</v>
      </c>
      <c r="K1556" s="23">
        <v>75</v>
      </c>
    </row>
    <row r="1557" spans="1:11" x14ac:dyDescent="0.25">
      <c r="A1557" s="46" t="s">
        <v>20</v>
      </c>
      <c r="B1557" s="22"/>
      <c r="C1557" s="23"/>
      <c r="D1557" s="23"/>
      <c r="E1557" s="23"/>
      <c r="F1557" s="23">
        <v>3</v>
      </c>
      <c r="G1557" s="23">
        <v>5.91</v>
      </c>
      <c r="H1557" s="23">
        <v>7.76</v>
      </c>
      <c r="I1557" s="23">
        <v>6.2</v>
      </c>
      <c r="J1557" s="23">
        <v>6.06</v>
      </c>
      <c r="K1557" s="23"/>
    </row>
    <row r="1558" spans="1:11" x14ac:dyDescent="0.25">
      <c r="A1558" s="46" t="s">
        <v>21</v>
      </c>
      <c r="B1558" s="22"/>
      <c r="C1558" s="23"/>
      <c r="D1558" s="23"/>
      <c r="E1558" s="23"/>
      <c r="F1558" s="23">
        <f>F1555-F1557</f>
        <v>97</v>
      </c>
      <c r="G1558" s="23">
        <f>G1555-G1557</f>
        <v>94.09</v>
      </c>
      <c r="H1558" s="23">
        <v>67.239999999999995</v>
      </c>
      <c r="I1558" s="23">
        <f>I1555-I1557</f>
        <v>68.8</v>
      </c>
      <c r="J1558" s="23">
        <f>J1555-J1557</f>
        <v>68.94</v>
      </c>
      <c r="K1558" s="23"/>
    </row>
    <row r="1559" spans="1:11" x14ac:dyDescent="0.25">
      <c r="A1559" s="49" t="s">
        <v>22</v>
      </c>
      <c r="B1559" s="36"/>
      <c r="C1559" s="36"/>
      <c r="D1559" s="36"/>
      <c r="E1559" s="36"/>
      <c r="F1559" s="57">
        <v>2019</v>
      </c>
      <c r="G1559" s="57">
        <v>2020</v>
      </c>
      <c r="H1559" s="57">
        <v>2021</v>
      </c>
      <c r="I1559" s="57">
        <v>2022</v>
      </c>
      <c r="J1559" s="57">
        <v>2023</v>
      </c>
      <c r="K1559" s="57">
        <v>2024</v>
      </c>
    </row>
    <row r="1560" spans="1:11" ht="25.95" customHeight="1" x14ac:dyDescent="0.25">
      <c r="A1560" s="75" t="s">
        <v>685</v>
      </c>
      <c r="B1560" s="110"/>
      <c r="C1560" s="110"/>
      <c r="D1560" s="110"/>
      <c r="E1560" s="110"/>
      <c r="F1560" s="110"/>
      <c r="G1560" s="110"/>
      <c r="H1560" s="110"/>
      <c r="I1560" s="110"/>
      <c r="J1560" s="30"/>
      <c r="K1560" s="31"/>
    </row>
    <row r="1561" spans="1:11" ht="34.200000000000003" customHeight="1" x14ac:dyDescent="0.25">
      <c r="A1561" s="76" t="s">
        <v>260</v>
      </c>
      <c r="B1561" s="66"/>
      <c r="C1561" s="66"/>
      <c r="D1561" s="66"/>
      <c r="E1561" s="66"/>
      <c r="F1561" s="66"/>
      <c r="G1561" s="66"/>
      <c r="H1561" s="66"/>
      <c r="I1561" s="66"/>
      <c r="K1561" s="21"/>
    </row>
    <row r="1562" spans="1:11" ht="27.6" customHeight="1" x14ac:dyDescent="0.25">
      <c r="A1562" s="76" t="s">
        <v>529</v>
      </c>
      <c r="B1562" s="66"/>
      <c r="C1562" s="66"/>
      <c r="D1562" s="66"/>
      <c r="E1562" s="66"/>
      <c r="F1562" s="66"/>
      <c r="G1562" s="66"/>
      <c r="H1562" s="66"/>
      <c r="I1562" s="66"/>
      <c r="K1562" s="21"/>
    </row>
    <row r="1563" spans="1:11" ht="27.6" customHeight="1" x14ac:dyDescent="0.25">
      <c r="A1563" s="76" t="s">
        <v>530</v>
      </c>
      <c r="B1563" s="66"/>
      <c r="C1563" s="66"/>
      <c r="D1563" s="66"/>
      <c r="E1563" s="66"/>
      <c r="F1563" s="66"/>
      <c r="G1563" s="66"/>
      <c r="H1563" s="66"/>
      <c r="I1563" s="66"/>
      <c r="K1563" s="21"/>
    </row>
    <row r="1564" spans="1:11" ht="27.6" customHeight="1" x14ac:dyDescent="0.25">
      <c r="A1564" s="76" t="s">
        <v>684</v>
      </c>
      <c r="K1564" s="21"/>
    </row>
    <row r="1565" spans="1:11" ht="30" customHeight="1" x14ac:dyDescent="0.25">
      <c r="A1565" s="59" t="s">
        <v>914</v>
      </c>
      <c r="B1565" s="33"/>
      <c r="C1565" s="33"/>
      <c r="D1565" s="33"/>
      <c r="E1565" s="33"/>
      <c r="F1565" s="33"/>
      <c r="G1565" s="33"/>
      <c r="H1565" s="33"/>
      <c r="I1565" s="33"/>
      <c r="J1565" s="33"/>
      <c r="K1565" s="34"/>
    </row>
    <row r="1567" spans="1:11" x14ac:dyDescent="0.25">
      <c r="A1567" s="262" t="s">
        <v>14</v>
      </c>
      <c r="B1567" s="437" t="s">
        <v>74</v>
      </c>
      <c r="C1567" s="276" t="s">
        <v>15</v>
      </c>
      <c r="D1567" s="222"/>
      <c r="E1567" s="222"/>
      <c r="F1567" s="222"/>
      <c r="G1567" s="222"/>
      <c r="H1567" s="222"/>
      <c r="I1567" s="222"/>
      <c r="J1567" s="222"/>
      <c r="K1567" s="222"/>
    </row>
    <row r="1568" spans="1:11" x14ac:dyDescent="0.25">
      <c r="A1568" s="212" t="s">
        <v>16</v>
      </c>
      <c r="B1568" s="449"/>
      <c r="C1568" s="213">
        <v>2015</v>
      </c>
      <c r="D1568" s="213">
        <v>2016</v>
      </c>
      <c r="E1568" s="213">
        <v>2017</v>
      </c>
      <c r="F1568" s="213">
        <v>2018</v>
      </c>
      <c r="G1568" s="213">
        <v>2019</v>
      </c>
      <c r="H1568" s="213">
        <v>2020</v>
      </c>
      <c r="I1568" s="213">
        <v>2021</v>
      </c>
      <c r="J1568" s="213">
        <v>2022</v>
      </c>
      <c r="K1568" s="213">
        <v>2023</v>
      </c>
    </row>
    <row r="1569" spans="1:11" x14ac:dyDescent="0.25">
      <c r="A1569" s="265" t="s">
        <v>17</v>
      </c>
      <c r="B1569" s="346"/>
      <c r="C1569" s="346">
        <v>20</v>
      </c>
      <c r="D1569" s="346">
        <v>20</v>
      </c>
      <c r="E1569" s="346">
        <v>20</v>
      </c>
      <c r="F1569" s="346">
        <v>20</v>
      </c>
      <c r="G1569" s="346">
        <v>20</v>
      </c>
      <c r="H1569" s="354">
        <v>16.8</v>
      </c>
      <c r="I1569" s="227">
        <v>16.8</v>
      </c>
      <c r="J1569" s="227">
        <v>16.8</v>
      </c>
      <c r="K1569" s="227">
        <v>16.8</v>
      </c>
    </row>
    <row r="1570" spans="1:11" x14ac:dyDescent="0.25">
      <c r="A1570" s="265" t="s">
        <v>18</v>
      </c>
      <c r="B1570" s="346"/>
      <c r="C1570" s="346"/>
      <c r="D1570" s="346">
        <v>-64.900000000000006</v>
      </c>
      <c r="E1570" s="346">
        <v>-63.600000000000009</v>
      </c>
      <c r="F1570" s="346">
        <v>-43.600000000000009</v>
      </c>
      <c r="G1570" s="346">
        <v>-23.600000000000009</v>
      </c>
      <c r="H1570" s="346">
        <f>G1573+H1569+2</f>
        <v>-4.8000000000000078</v>
      </c>
      <c r="I1570" s="216">
        <f>I1569+H1573+2</f>
        <v>13.999999999999993</v>
      </c>
      <c r="J1570" s="216">
        <f>J1569+2</f>
        <v>18.8</v>
      </c>
      <c r="K1570" s="216">
        <f>K1569+2</f>
        <v>18.8</v>
      </c>
    </row>
    <row r="1571" spans="1:11" x14ac:dyDescent="0.25">
      <c r="A1571" s="265" t="s">
        <v>19</v>
      </c>
      <c r="B1571" s="348"/>
      <c r="C1571" s="348"/>
      <c r="D1571" s="349">
        <v>1</v>
      </c>
      <c r="E1571" s="349">
        <v>2</v>
      </c>
      <c r="F1571" s="349">
        <v>3</v>
      </c>
      <c r="G1571" s="349">
        <v>4</v>
      </c>
      <c r="H1571" s="349">
        <v>5</v>
      </c>
      <c r="I1571" s="289">
        <v>6</v>
      </c>
      <c r="J1571" s="289">
        <v>7</v>
      </c>
      <c r="K1571" s="289">
        <v>8</v>
      </c>
    </row>
    <row r="1572" spans="1:11" x14ac:dyDescent="0.25">
      <c r="A1572" s="265" t="s">
        <v>20</v>
      </c>
      <c r="B1572" s="216"/>
      <c r="C1572" s="216">
        <v>34.9</v>
      </c>
      <c r="D1572" s="216">
        <v>18.7</v>
      </c>
      <c r="E1572" s="216">
        <v>0</v>
      </c>
      <c r="F1572" s="216">
        <v>0</v>
      </c>
      <c r="G1572" s="216">
        <v>0</v>
      </c>
      <c r="H1572" s="216">
        <v>0</v>
      </c>
      <c r="I1572" s="227">
        <v>0.6</v>
      </c>
      <c r="J1572" s="227">
        <v>0</v>
      </c>
      <c r="K1572" s="227"/>
    </row>
    <row r="1573" spans="1:11" x14ac:dyDescent="0.25">
      <c r="A1573" s="265" t="s">
        <v>21</v>
      </c>
      <c r="B1573" s="216"/>
      <c r="C1573" s="216">
        <v>-84.9</v>
      </c>
      <c r="D1573" s="216">
        <v>-83.600000000000009</v>
      </c>
      <c r="E1573" s="216">
        <v>-63.600000000000009</v>
      </c>
      <c r="F1573" s="216">
        <v>-43.600000000000009</v>
      </c>
      <c r="G1573" s="216">
        <f>G1570-G1572</f>
        <v>-23.600000000000009</v>
      </c>
      <c r="H1573" s="216">
        <f>H1570-H1572</f>
        <v>-4.8000000000000078</v>
      </c>
      <c r="I1573" s="216">
        <f>I1570-I1572</f>
        <v>13.399999999999993</v>
      </c>
      <c r="J1573" s="216">
        <f>J1570-J1572</f>
        <v>18.8</v>
      </c>
      <c r="K1573" s="227"/>
    </row>
    <row r="1574" spans="1:11" x14ac:dyDescent="0.25">
      <c r="A1574" s="219" t="s">
        <v>22</v>
      </c>
      <c r="B1574" s="450"/>
      <c r="C1574" s="245">
        <v>2016</v>
      </c>
      <c r="D1574" s="245">
        <v>2017</v>
      </c>
      <c r="E1574" s="245">
        <v>2018</v>
      </c>
      <c r="F1574" s="245">
        <v>2019</v>
      </c>
      <c r="G1574" s="245">
        <v>2020</v>
      </c>
      <c r="H1574" s="245">
        <v>2021</v>
      </c>
      <c r="I1574" s="245"/>
      <c r="J1574" s="245"/>
      <c r="K1574" s="245"/>
    </row>
    <row r="1575" spans="1:11" x14ac:dyDescent="0.25">
      <c r="A1575" s="219" t="s">
        <v>531</v>
      </c>
      <c r="B1575" s="451"/>
      <c r="C1575" s="451"/>
      <c r="D1575" s="451"/>
      <c r="E1575" s="451"/>
      <c r="F1575" s="452"/>
      <c r="G1575" s="452"/>
      <c r="H1575" s="452"/>
      <c r="I1575" s="220"/>
      <c r="J1575" s="220"/>
      <c r="K1575" s="218"/>
    </row>
    <row r="1576" spans="1:11" x14ac:dyDescent="0.25">
      <c r="A1576" s="221" t="s">
        <v>532</v>
      </c>
      <c r="B1576" s="363"/>
      <c r="C1576" s="363"/>
      <c r="D1576" s="363"/>
      <c r="E1576" s="363"/>
      <c r="F1576" s="535"/>
      <c r="G1576" s="535"/>
      <c r="H1576" s="535"/>
      <c r="I1576" s="222"/>
      <c r="J1576" s="222"/>
      <c r="K1576" s="223"/>
    </row>
    <row r="1577" spans="1:11" x14ac:dyDescent="0.25">
      <c r="A1577" s="221" t="s">
        <v>533</v>
      </c>
      <c r="B1577" s="363"/>
      <c r="C1577" s="363"/>
      <c r="D1577" s="363"/>
      <c r="E1577" s="363"/>
      <c r="F1577" s="535"/>
      <c r="G1577" s="535"/>
      <c r="H1577" s="535"/>
      <c r="I1577" s="222"/>
      <c r="J1577" s="222"/>
      <c r="K1577" s="223"/>
    </row>
    <row r="1578" spans="1:11" x14ac:dyDescent="0.25">
      <c r="A1578" s="221" t="s">
        <v>534</v>
      </c>
      <c r="B1578" s="363"/>
      <c r="C1578" s="363"/>
      <c r="D1578" s="363"/>
      <c r="E1578" s="363"/>
      <c r="F1578" s="535"/>
      <c r="G1578" s="535"/>
      <c r="H1578" s="535"/>
      <c r="I1578" s="222"/>
      <c r="J1578" s="222"/>
      <c r="K1578" s="223"/>
    </row>
    <row r="1579" spans="1:11" x14ac:dyDescent="0.25">
      <c r="A1579" s="221" t="s">
        <v>535</v>
      </c>
      <c r="B1579" s="363"/>
      <c r="C1579" s="363"/>
      <c r="D1579" s="363"/>
      <c r="E1579" s="363"/>
      <c r="F1579" s="535"/>
      <c r="G1579" s="535"/>
      <c r="H1579" s="535"/>
      <c r="I1579" s="222"/>
      <c r="J1579" s="222"/>
      <c r="K1579" s="223"/>
    </row>
    <row r="1580" spans="1:11" x14ac:dyDescent="0.25">
      <c r="A1580" s="221" t="s">
        <v>687</v>
      </c>
      <c r="B1580" s="363"/>
      <c r="C1580" s="363"/>
      <c r="D1580" s="363"/>
      <c r="E1580" s="363"/>
      <c r="F1580" s="535"/>
      <c r="G1580" s="535"/>
      <c r="H1580" s="535"/>
      <c r="I1580" s="222"/>
      <c r="J1580" s="222"/>
      <c r="K1580" s="223"/>
    </row>
    <row r="1581" spans="1:11" x14ac:dyDescent="0.25">
      <c r="A1581" s="221" t="s">
        <v>686</v>
      </c>
      <c r="B1581" s="363"/>
      <c r="C1581" s="363"/>
      <c r="D1581" s="363"/>
      <c r="E1581" s="363"/>
      <c r="F1581" s="535"/>
      <c r="G1581" s="535"/>
      <c r="H1581" s="535"/>
      <c r="I1581" s="222"/>
      <c r="J1581" s="222"/>
      <c r="K1581" s="223"/>
    </row>
    <row r="1582" spans="1:11" x14ac:dyDescent="0.25">
      <c r="A1582" s="212" t="s">
        <v>915</v>
      </c>
      <c r="B1582" s="453"/>
      <c r="C1582" s="453"/>
      <c r="D1582" s="453"/>
      <c r="E1582" s="453"/>
      <c r="F1582" s="454"/>
      <c r="G1582" s="454"/>
      <c r="H1582" s="454"/>
      <c r="I1582" s="224"/>
      <c r="J1582" s="224"/>
      <c r="K1582" s="225"/>
    </row>
    <row r="1583" spans="1:11" x14ac:dyDescent="0.25">
      <c r="A1583" s="222"/>
      <c r="B1583" s="222"/>
      <c r="C1583" s="222"/>
      <c r="D1583" s="222"/>
      <c r="E1583" s="222"/>
      <c r="F1583" s="222"/>
      <c r="G1583" s="222"/>
      <c r="H1583" s="222"/>
      <c r="I1583" s="222"/>
      <c r="J1583" s="222"/>
      <c r="K1583" s="222"/>
    </row>
    <row r="1584" spans="1:11" x14ac:dyDescent="0.25">
      <c r="A1584" s="262" t="s">
        <v>14</v>
      </c>
      <c r="B1584" s="437" t="s">
        <v>79</v>
      </c>
      <c r="C1584" s="276" t="s">
        <v>15</v>
      </c>
      <c r="D1584" s="222"/>
      <c r="E1584" s="222"/>
      <c r="F1584" s="222"/>
      <c r="G1584" s="222"/>
      <c r="H1584" s="222"/>
      <c r="I1584" s="222"/>
      <c r="J1584" s="222"/>
      <c r="K1584" s="222"/>
    </row>
    <row r="1585" spans="1:11" x14ac:dyDescent="0.25">
      <c r="A1585" s="212" t="s">
        <v>16</v>
      </c>
      <c r="B1585" s="449"/>
      <c r="C1585" s="264">
        <v>2015</v>
      </c>
      <c r="D1585" s="264">
        <v>2016</v>
      </c>
      <c r="E1585" s="264">
        <v>2017</v>
      </c>
      <c r="F1585" s="264">
        <v>2018</v>
      </c>
      <c r="G1585" s="264">
        <v>2019</v>
      </c>
      <c r="H1585" s="264">
        <v>2020</v>
      </c>
      <c r="I1585" s="213">
        <v>2021</v>
      </c>
      <c r="J1585" s="213">
        <v>2022</v>
      </c>
      <c r="K1585" s="222"/>
    </row>
    <row r="1586" spans="1:11" x14ac:dyDescent="0.25">
      <c r="A1586" s="265" t="s">
        <v>17</v>
      </c>
      <c r="B1586" s="346"/>
      <c r="C1586" s="346">
        <v>15</v>
      </c>
      <c r="D1586" s="346">
        <v>15</v>
      </c>
      <c r="E1586" s="346">
        <v>15</v>
      </c>
      <c r="F1586" s="346">
        <v>15</v>
      </c>
      <c r="G1586" s="346">
        <v>15</v>
      </c>
      <c r="H1586" s="354">
        <v>15</v>
      </c>
      <c r="I1586" s="216">
        <v>15</v>
      </c>
      <c r="J1586" s="216">
        <v>15</v>
      </c>
      <c r="K1586" s="222"/>
    </row>
    <row r="1587" spans="1:11" x14ac:dyDescent="0.25">
      <c r="A1587" s="265" t="s">
        <v>18</v>
      </c>
      <c r="B1587" s="346"/>
      <c r="C1587" s="346"/>
      <c r="D1587" s="346">
        <v>-59.3</v>
      </c>
      <c r="E1587" s="346">
        <v>-64.199999999999989</v>
      </c>
      <c r="F1587" s="346">
        <v>-49.199999999999989</v>
      </c>
      <c r="G1587" s="346">
        <v>-34.199999999999989</v>
      </c>
      <c r="H1587" s="346">
        <f>G1590+H1586</f>
        <v>-19.199999999999989</v>
      </c>
      <c r="I1587" s="216">
        <f>I1586+H1590</f>
        <v>-4.1999999999999886</v>
      </c>
      <c r="J1587" s="216">
        <f>J1586+I1590</f>
        <v>10.440000000000012</v>
      </c>
      <c r="K1587" s="222"/>
    </row>
    <row r="1588" spans="1:11" x14ac:dyDescent="0.25">
      <c r="A1588" s="265" t="s">
        <v>19</v>
      </c>
      <c r="B1588" s="348"/>
      <c r="C1588" s="348"/>
      <c r="D1588" s="349">
        <v>1</v>
      </c>
      <c r="E1588" s="349">
        <v>2</v>
      </c>
      <c r="F1588" s="349">
        <v>3</v>
      </c>
      <c r="G1588" s="349">
        <v>4</v>
      </c>
      <c r="H1588" s="349">
        <v>5</v>
      </c>
      <c r="I1588" s="289">
        <v>6</v>
      </c>
      <c r="J1588" s="289">
        <v>7</v>
      </c>
      <c r="K1588" s="222"/>
    </row>
    <row r="1589" spans="1:11" x14ac:dyDescent="0.25">
      <c r="A1589" s="265" t="s">
        <v>20</v>
      </c>
      <c r="B1589" s="216"/>
      <c r="C1589" s="216">
        <v>31.9</v>
      </c>
      <c r="D1589" s="216">
        <v>19.899999999999999</v>
      </c>
      <c r="E1589" s="216">
        <v>0</v>
      </c>
      <c r="F1589" s="216">
        <v>0</v>
      </c>
      <c r="G1589" s="216">
        <v>0</v>
      </c>
      <c r="H1589" s="216">
        <v>0</v>
      </c>
      <c r="I1589" s="216">
        <v>0.36</v>
      </c>
      <c r="J1589" s="216">
        <v>0</v>
      </c>
      <c r="K1589" s="222"/>
    </row>
    <row r="1590" spans="1:11" x14ac:dyDescent="0.25">
      <c r="A1590" s="265" t="s">
        <v>21</v>
      </c>
      <c r="B1590" s="216"/>
      <c r="C1590" s="216">
        <v>-74.3</v>
      </c>
      <c r="D1590" s="216">
        <v>-79.199999999999989</v>
      </c>
      <c r="E1590" s="216">
        <v>-64.199999999999989</v>
      </c>
      <c r="F1590" s="216">
        <v>-49.199999999999989</v>
      </c>
      <c r="G1590" s="216">
        <f>G1587-G1589</f>
        <v>-34.199999999999989</v>
      </c>
      <c r="H1590" s="216">
        <f>H1587-H1589</f>
        <v>-19.199999999999989</v>
      </c>
      <c r="I1590" s="216">
        <f>I1587-I1589</f>
        <v>-4.559999999999989</v>
      </c>
      <c r="J1590" s="216">
        <v>10.44</v>
      </c>
      <c r="K1590" s="222"/>
    </row>
    <row r="1591" spans="1:11" x14ac:dyDescent="0.25">
      <c r="A1591" s="219" t="s">
        <v>22</v>
      </c>
      <c r="B1591" s="450"/>
      <c r="C1591" s="245">
        <v>2016</v>
      </c>
      <c r="D1591" s="245">
        <v>2017</v>
      </c>
      <c r="E1591" s="245">
        <v>2018</v>
      </c>
      <c r="F1591" s="245">
        <v>2019</v>
      </c>
      <c r="G1591" s="245">
        <v>2020</v>
      </c>
      <c r="H1591" s="245">
        <v>2021</v>
      </c>
      <c r="I1591" s="245">
        <v>2022</v>
      </c>
      <c r="J1591" s="245"/>
      <c r="K1591" s="222"/>
    </row>
    <row r="1592" spans="1:11" x14ac:dyDescent="0.25">
      <c r="A1592" s="219" t="s">
        <v>531</v>
      </c>
      <c r="B1592" s="451"/>
      <c r="C1592" s="451"/>
      <c r="D1592" s="282"/>
      <c r="E1592" s="282"/>
      <c r="F1592" s="282"/>
      <c r="G1592" s="282"/>
      <c r="H1592" s="282"/>
      <c r="I1592" s="282"/>
      <c r="J1592" s="246"/>
      <c r="K1592" s="222"/>
    </row>
    <row r="1593" spans="1:11" x14ac:dyDescent="0.25">
      <c r="A1593" s="221" t="s">
        <v>532</v>
      </c>
      <c r="B1593" s="363"/>
      <c r="C1593" s="363"/>
      <c r="D1593" s="440"/>
      <c r="E1593" s="440"/>
      <c r="F1593" s="440"/>
      <c r="G1593" s="440"/>
      <c r="H1593" s="440"/>
      <c r="I1593" s="440"/>
      <c r="J1593" s="441"/>
      <c r="K1593" s="222"/>
    </row>
    <row r="1594" spans="1:11" x14ac:dyDescent="0.25">
      <c r="A1594" s="221" t="s">
        <v>533</v>
      </c>
      <c r="B1594" s="363"/>
      <c r="C1594" s="363"/>
      <c r="D1594" s="440"/>
      <c r="E1594" s="440"/>
      <c r="F1594" s="440"/>
      <c r="G1594" s="440"/>
      <c r="H1594" s="440"/>
      <c r="I1594" s="440"/>
      <c r="J1594" s="441"/>
      <c r="K1594" s="222"/>
    </row>
    <row r="1595" spans="1:11" x14ac:dyDescent="0.25">
      <c r="A1595" s="221" t="s">
        <v>534</v>
      </c>
      <c r="B1595" s="363"/>
      <c r="C1595" s="363"/>
      <c r="D1595" s="440"/>
      <c r="E1595" s="440"/>
      <c r="F1595" s="440"/>
      <c r="G1595" s="440"/>
      <c r="H1595" s="440"/>
      <c r="I1595" s="440"/>
      <c r="J1595" s="441"/>
      <c r="K1595" s="222"/>
    </row>
    <row r="1596" spans="1:11" x14ac:dyDescent="0.25">
      <c r="A1596" s="221" t="s">
        <v>536</v>
      </c>
      <c r="B1596" s="363"/>
      <c r="C1596" s="363"/>
      <c r="D1596" s="440"/>
      <c r="E1596" s="440"/>
      <c r="F1596" s="440"/>
      <c r="G1596" s="440"/>
      <c r="H1596" s="440"/>
      <c r="I1596" s="440"/>
      <c r="J1596" s="441"/>
      <c r="K1596" s="222"/>
    </row>
    <row r="1597" spans="1:11" x14ac:dyDescent="0.25">
      <c r="A1597" s="20" t="s">
        <v>537</v>
      </c>
      <c r="B1597" s="18"/>
      <c r="C1597" s="18"/>
      <c r="D1597" s="106"/>
      <c r="E1597" s="106"/>
      <c r="F1597" s="106"/>
      <c r="G1597" s="106"/>
      <c r="H1597" s="106"/>
      <c r="I1597" s="106"/>
      <c r="J1597" s="196"/>
    </row>
    <row r="1598" spans="1:11" x14ac:dyDescent="0.25">
      <c r="A1598" s="32" t="s">
        <v>688</v>
      </c>
      <c r="B1598" s="187"/>
      <c r="C1598" s="187"/>
      <c r="D1598" s="107"/>
      <c r="E1598" s="107"/>
      <c r="F1598" s="107"/>
      <c r="G1598" s="107"/>
      <c r="H1598" s="107"/>
      <c r="I1598" s="107"/>
      <c r="J1598" s="197"/>
    </row>
    <row r="1601" spans="1:10" x14ac:dyDescent="0.25">
      <c r="A1601" s="115" t="s">
        <v>11</v>
      </c>
      <c r="B1601" s="551" t="s">
        <v>38</v>
      </c>
    </row>
    <row r="1602" spans="1:10" x14ac:dyDescent="0.25">
      <c r="A1602" s="262" t="s">
        <v>1</v>
      </c>
      <c r="B1602" s="437" t="s">
        <v>661</v>
      </c>
      <c r="C1602" s="264" t="s">
        <v>2</v>
      </c>
      <c r="D1602" s="222"/>
      <c r="E1602" s="222"/>
      <c r="F1602" s="222"/>
      <c r="G1602" s="222"/>
      <c r="H1602" s="222"/>
      <c r="I1602" s="222"/>
      <c r="J1602" s="222"/>
    </row>
    <row r="1603" spans="1:10" x14ac:dyDescent="0.25">
      <c r="A1603" s="227" t="s">
        <v>3</v>
      </c>
      <c r="B1603" s="455">
        <v>2016</v>
      </c>
      <c r="C1603" s="456">
        <v>2017</v>
      </c>
      <c r="D1603" s="456">
        <v>2018</v>
      </c>
      <c r="E1603" s="456">
        <v>2019</v>
      </c>
      <c r="F1603" s="213">
        <v>2020</v>
      </c>
      <c r="G1603" s="213">
        <v>2021</v>
      </c>
      <c r="H1603" s="213">
        <v>2022</v>
      </c>
      <c r="I1603" s="213">
        <v>2023</v>
      </c>
      <c r="J1603" s="222"/>
    </row>
    <row r="1604" spans="1:10" x14ac:dyDescent="0.25">
      <c r="A1604" s="265" t="s">
        <v>4</v>
      </c>
      <c r="B1604" s="457">
        <v>1491.71</v>
      </c>
      <c r="C1604" s="457">
        <v>1791</v>
      </c>
      <c r="D1604" s="286">
        <v>2115</v>
      </c>
      <c r="E1604" s="286">
        <v>2400</v>
      </c>
      <c r="F1604" s="286">
        <v>2655</v>
      </c>
      <c r="G1604" s="286">
        <v>2655</v>
      </c>
      <c r="H1604" s="286">
        <v>2655</v>
      </c>
      <c r="I1604" s="286">
        <v>3000</v>
      </c>
      <c r="J1604" s="222"/>
    </row>
    <row r="1605" spans="1:10" x14ac:dyDescent="0.25">
      <c r="A1605" s="265" t="s">
        <v>5</v>
      </c>
      <c r="B1605" s="457">
        <v>1491.71</v>
      </c>
      <c r="C1605" s="457">
        <v>1791</v>
      </c>
      <c r="D1605" s="286">
        <v>2115</v>
      </c>
      <c r="E1605" s="286">
        <v>2400</v>
      </c>
      <c r="F1605" s="286">
        <v>2675.4</v>
      </c>
      <c r="G1605" s="286">
        <f>G1604+79.2+21.55</f>
        <v>2755.75</v>
      </c>
      <c r="H1605" s="286">
        <v>2679.72</v>
      </c>
      <c r="I1605" s="286">
        <v>3020</v>
      </c>
      <c r="J1605" s="222"/>
    </row>
    <row r="1606" spans="1:10" x14ac:dyDescent="0.25">
      <c r="A1606" s="265" t="s">
        <v>6</v>
      </c>
      <c r="B1606" s="216"/>
      <c r="C1606" s="285"/>
      <c r="D1606" s="216"/>
      <c r="E1606" s="286"/>
      <c r="F1606" s="286"/>
      <c r="G1606" s="286"/>
      <c r="H1606" s="286"/>
      <c r="I1606" s="286"/>
      <c r="J1606" s="222"/>
    </row>
    <row r="1607" spans="1:10" x14ac:dyDescent="0.25">
      <c r="A1607" s="265" t="s">
        <v>7</v>
      </c>
      <c r="B1607" s="286">
        <v>1490.58</v>
      </c>
      <c r="C1607" s="286">
        <v>1789.538</v>
      </c>
      <c r="D1607" s="286">
        <v>2102.0929999999998</v>
      </c>
      <c r="E1607" s="286">
        <v>2379.1309999999999</v>
      </c>
      <c r="F1607" s="286">
        <v>2653.377</v>
      </c>
      <c r="G1607" s="286">
        <v>2729.7379999999998</v>
      </c>
      <c r="H1607" s="286">
        <v>2652.7869999999998</v>
      </c>
      <c r="I1607" s="286"/>
      <c r="J1607" s="222"/>
    </row>
    <row r="1608" spans="1:10" x14ac:dyDescent="0.25">
      <c r="A1608" s="265" t="s">
        <v>8</v>
      </c>
      <c r="B1608" s="216">
        <v>1.1300000000001091</v>
      </c>
      <c r="C1608" s="216">
        <v>1.4619999999999891</v>
      </c>
      <c r="D1608" s="216">
        <v>12.907000000000153</v>
      </c>
      <c r="E1608" s="216">
        <f>E1605-E1607</f>
        <v>20.869000000000142</v>
      </c>
      <c r="F1608" s="286">
        <f>F1605-F1607</f>
        <v>22.023000000000138</v>
      </c>
      <c r="G1608" s="286">
        <f>G1605-G1607</f>
        <v>26.012000000000171</v>
      </c>
      <c r="H1608" s="286">
        <f>H1605-H1607</f>
        <v>26.932999999999993</v>
      </c>
      <c r="I1608" s="286"/>
      <c r="J1608" s="222"/>
    </row>
    <row r="1609" spans="1:10" x14ac:dyDescent="0.25">
      <c r="A1609" s="265" t="s">
        <v>9</v>
      </c>
      <c r="B1609" s="227">
        <v>2017</v>
      </c>
      <c r="C1609" s="227">
        <v>2018</v>
      </c>
      <c r="D1609" s="227">
        <v>2019</v>
      </c>
      <c r="E1609" s="227">
        <v>2020</v>
      </c>
      <c r="F1609" s="227">
        <v>2021</v>
      </c>
      <c r="G1609" s="227">
        <v>2022</v>
      </c>
      <c r="H1609" s="233">
        <v>2023</v>
      </c>
      <c r="I1609" s="233">
        <v>2024</v>
      </c>
      <c r="J1609" s="222"/>
    </row>
    <row r="1610" spans="1:10" x14ac:dyDescent="0.25">
      <c r="A1610" s="219" t="s">
        <v>10</v>
      </c>
      <c r="B1610" s="220"/>
      <c r="C1610" s="220"/>
      <c r="D1610" s="220"/>
      <c r="E1610" s="220"/>
      <c r="F1610" s="218"/>
      <c r="G1610" s="218"/>
      <c r="H1610" s="218"/>
      <c r="I1610" s="218"/>
      <c r="J1610" s="222"/>
    </row>
    <row r="1611" spans="1:10" x14ac:dyDescent="0.25">
      <c r="A1611" s="219" t="s">
        <v>538</v>
      </c>
      <c r="B1611" s="220"/>
      <c r="C1611" s="220"/>
      <c r="D1611" s="220"/>
      <c r="E1611" s="220"/>
      <c r="F1611" s="220"/>
      <c r="G1611" s="220"/>
      <c r="H1611" s="220"/>
      <c r="I1611" s="218"/>
      <c r="J1611" s="222"/>
    </row>
    <row r="1612" spans="1:10" x14ac:dyDescent="0.25">
      <c r="A1612" s="221" t="s">
        <v>251</v>
      </c>
      <c r="B1612" s="222"/>
      <c r="C1612" s="222"/>
      <c r="D1612" s="222"/>
      <c r="E1612" s="222"/>
      <c r="F1612" s="222"/>
      <c r="G1612" s="222"/>
      <c r="H1612" s="222"/>
      <c r="I1612" s="223"/>
      <c r="J1612" s="222"/>
    </row>
    <row r="1613" spans="1:10" x14ac:dyDescent="0.25">
      <c r="A1613" s="642" t="s">
        <v>606</v>
      </c>
      <c r="B1613" s="643"/>
      <c r="C1613" s="643"/>
      <c r="D1613" s="643"/>
      <c r="E1613" s="643"/>
      <c r="F1613" s="643"/>
      <c r="G1613" s="643"/>
      <c r="H1613" s="222"/>
      <c r="I1613" s="223"/>
      <c r="J1613" s="222"/>
    </row>
    <row r="1614" spans="1:10" x14ac:dyDescent="0.25">
      <c r="A1614" s="275" t="s">
        <v>607</v>
      </c>
      <c r="B1614" s="512"/>
      <c r="C1614" s="512"/>
      <c r="D1614" s="512"/>
      <c r="E1614" s="512"/>
      <c r="F1614" s="512"/>
      <c r="G1614" s="512"/>
      <c r="H1614" s="222"/>
      <c r="I1614" s="223"/>
      <c r="J1614" s="222"/>
    </row>
    <row r="1615" spans="1:10" x14ac:dyDescent="0.25">
      <c r="A1615" s="234" t="s">
        <v>916</v>
      </c>
      <c r="B1615" s="283"/>
      <c r="C1615" s="283"/>
      <c r="D1615" s="283"/>
      <c r="E1615" s="283"/>
      <c r="F1615" s="283"/>
      <c r="G1615" s="283"/>
      <c r="H1615" s="224"/>
      <c r="I1615" s="225"/>
      <c r="J1615" s="222"/>
    </row>
    <row r="1616" spans="1:10" x14ac:dyDescent="0.25">
      <c r="A1616" s="222"/>
      <c r="B1616" s="222"/>
      <c r="C1616" s="222"/>
      <c r="D1616" s="222"/>
      <c r="E1616" s="222"/>
      <c r="F1616" s="222"/>
      <c r="G1616" s="222"/>
      <c r="H1616" s="222"/>
      <c r="I1616" s="222"/>
      <c r="J1616" s="222"/>
    </row>
    <row r="1617" spans="1:10" x14ac:dyDescent="0.25">
      <c r="A1617" s="222"/>
      <c r="B1617" s="222"/>
      <c r="C1617" s="222"/>
      <c r="D1617" s="222"/>
      <c r="E1617" s="222"/>
      <c r="F1617" s="222"/>
      <c r="G1617" s="222"/>
      <c r="H1617" s="222"/>
      <c r="I1617" s="222"/>
      <c r="J1617" s="222"/>
    </row>
    <row r="1618" spans="1:10" x14ac:dyDescent="0.25">
      <c r="A1618" s="458" t="s">
        <v>12</v>
      </c>
      <c r="B1618" s="556" t="s">
        <v>934</v>
      </c>
      <c r="C1618" s="222"/>
      <c r="D1618" s="459"/>
      <c r="E1618" s="459"/>
      <c r="F1618" s="459"/>
      <c r="G1618" s="459"/>
      <c r="H1618" s="459"/>
      <c r="I1618" s="222"/>
      <c r="J1618" s="222"/>
    </row>
    <row r="1619" spans="1:10" x14ac:dyDescent="0.25">
      <c r="A1619" s="460" t="s">
        <v>14</v>
      </c>
      <c r="B1619" s="461" t="s">
        <v>661</v>
      </c>
      <c r="C1619" s="462" t="s">
        <v>15</v>
      </c>
      <c r="D1619" s="459"/>
      <c r="E1619" s="459"/>
      <c r="F1619" s="459"/>
      <c r="G1619" s="459"/>
      <c r="H1619" s="459"/>
      <c r="I1619" s="222"/>
      <c r="J1619" s="222"/>
    </row>
    <row r="1620" spans="1:10" x14ac:dyDescent="0.25">
      <c r="A1620" s="463" t="s">
        <v>16</v>
      </c>
      <c r="B1620" s="464"/>
      <c r="C1620" s="465">
        <v>2022</v>
      </c>
      <c r="D1620" s="466">
        <v>2023</v>
      </c>
      <c r="E1620" s="222"/>
      <c r="F1620" s="398"/>
      <c r="G1620" s="222"/>
      <c r="H1620" s="222"/>
    </row>
    <row r="1621" spans="1:10" x14ac:dyDescent="0.25">
      <c r="A1621" s="463" t="s">
        <v>17</v>
      </c>
      <c r="B1621" s="464"/>
      <c r="C1621" s="468">
        <v>2305</v>
      </c>
      <c r="D1621" s="468">
        <v>2600</v>
      </c>
      <c r="E1621" s="222"/>
      <c r="F1621" s="222"/>
      <c r="G1621" s="222"/>
      <c r="H1621" s="222"/>
    </row>
    <row r="1622" spans="1:10" x14ac:dyDescent="0.25">
      <c r="A1622" s="463" t="s">
        <v>18</v>
      </c>
      <c r="B1622" s="464"/>
      <c r="C1622" s="624"/>
      <c r="D1622" s="541">
        <f>D1621+C1625+440.79+67.08+128</f>
        <v>3246.0209999999997</v>
      </c>
      <c r="E1622" s="222"/>
      <c r="F1622" s="222"/>
      <c r="G1622" s="222"/>
      <c r="H1622" s="222"/>
    </row>
    <row r="1623" spans="1:10" x14ac:dyDescent="0.25">
      <c r="A1623" s="463" t="s">
        <v>19</v>
      </c>
      <c r="B1623" s="464"/>
      <c r="C1623" s="469"/>
      <c r="D1623" s="625" t="str">
        <f>"(1)"</f>
        <v>(1)</v>
      </c>
      <c r="E1623" s="222"/>
      <c r="F1623" s="222"/>
      <c r="G1623" s="222"/>
      <c r="H1623" s="222"/>
    </row>
    <row r="1624" spans="1:10" x14ac:dyDescent="0.25">
      <c r="A1624" s="463" t="s">
        <v>20</v>
      </c>
      <c r="B1624" s="464"/>
      <c r="C1624" s="541">
        <v>2294.8490000000002</v>
      </c>
      <c r="D1624" s="470"/>
      <c r="E1624" s="222"/>
      <c r="F1624" s="222"/>
      <c r="G1624" s="222"/>
      <c r="H1624" s="222"/>
    </row>
    <row r="1625" spans="1:10" x14ac:dyDescent="0.25">
      <c r="A1625" s="463" t="s">
        <v>21</v>
      </c>
      <c r="B1625" s="464"/>
      <c r="C1625" s="541">
        <f>C1621-C1624</f>
        <v>10.15099999999984</v>
      </c>
      <c r="D1625" s="468"/>
      <c r="E1625" s="222"/>
      <c r="F1625" s="222"/>
      <c r="G1625" s="222"/>
      <c r="H1625" s="222"/>
    </row>
    <row r="1626" spans="1:10" x14ac:dyDescent="0.25">
      <c r="A1626" s="471" t="s">
        <v>22</v>
      </c>
      <c r="B1626" s="472"/>
      <c r="C1626" s="473">
        <v>2023</v>
      </c>
      <c r="D1626" s="474">
        <v>2023</v>
      </c>
      <c r="E1626" s="222"/>
      <c r="F1626" s="222"/>
      <c r="G1626" s="222"/>
      <c r="H1626" s="222"/>
    </row>
    <row r="1627" spans="1:10" x14ac:dyDescent="0.25">
      <c r="A1627" s="542" t="s">
        <v>964</v>
      </c>
      <c r="B1627" s="627"/>
      <c r="C1627" s="628"/>
      <c r="D1627" s="629"/>
      <c r="E1627" s="222"/>
      <c r="F1627" s="222"/>
      <c r="G1627" s="222"/>
      <c r="H1627" s="222"/>
    </row>
    <row r="1628" spans="1:10" x14ac:dyDescent="0.25">
      <c r="A1628" s="459"/>
      <c r="B1628" s="459"/>
      <c r="C1628" s="459"/>
      <c r="D1628" s="459"/>
      <c r="E1628" s="459"/>
      <c r="F1628" s="222"/>
      <c r="G1628" s="222"/>
      <c r="H1628" s="222"/>
      <c r="I1628" s="222"/>
      <c r="J1628" s="222"/>
    </row>
    <row r="1629" spans="1:10" x14ac:dyDescent="0.25">
      <c r="A1629" s="460" t="s">
        <v>14</v>
      </c>
      <c r="B1629" s="461" t="s">
        <v>935</v>
      </c>
      <c r="C1629" s="462" t="s">
        <v>15</v>
      </c>
      <c r="D1629" s="459"/>
      <c r="E1629" s="459"/>
      <c r="F1629" s="459"/>
      <c r="G1629" s="459"/>
      <c r="H1629" s="459"/>
      <c r="I1629" s="222"/>
      <c r="J1629" s="222"/>
    </row>
    <row r="1630" spans="1:10" x14ac:dyDescent="0.25">
      <c r="A1630" s="463" t="s">
        <v>16</v>
      </c>
      <c r="B1630" s="464"/>
      <c r="C1630" s="465">
        <v>2023</v>
      </c>
      <c r="D1630" s="466">
        <v>2024</v>
      </c>
      <c r="E1630" s="222"/>
      <c r="F1630" s="222"/>
      <c r="G1630" s="222"/>
      <c r="H1630" s="222"/>
    </row>
    <row r="1631" spans="1:10" x14ac:dyDescent="0.25">
      <c r="A1631" s="463" t="s">
        <v>17</v>
      </c>
      <c r="B1631" s="464"/>
      <c r="C1631" s="468">
        <v>225</v>
      </c>
      <c r="D1631" s="468">
        <v>225</v>
      </c>
      <c r="E1631" s="222"/>
      <c r="F1631" s="222"/>
      <c r="G1631" s="222"/>
      <c r="H1631" s="222"/>
    </row>
    <row r="1632" spans="1:10" x14ac:dyDescent="0.25">
      <c r="A1632" s="463" t="s">
        <v>18</v>
      </c>
      <c r="B1632" s="464"/>
      <c r="C1632" s="468">
        <v>150</v>
      </c>
      <c r="D1632" s="468">
        <v>150</v>
      </c>
      <c r="E1632" s="222"/>
      <c r="F1632" s="222"/>
      <c r="G1632" s="222"/>
      <c r="H1632" s="222"/>
    </row>
    <row r="1633" spans="1:12" x14ac:dyDescent="0.25">
      <c r="A1633" s="463" t="s">
        <v>19</v>
      </c>
      <c r="B1633" s="464"/>
      <c r="C1633" s="630" t="s">
        <v>936</v>
      </c>
      <c r="D1633" s="630" t="s">
        <v>936</v>
      </c>
      <c r="E1633" s="222"/>
      <c r="F1633" s="222"/>
      <c r="G1633" s="222"/>
      <c r="H1633" s="222"/>
    </row>
    <row r="1634" spans="1:12" x14ac:dyDescent="0.25">
      <c r="A1634" s="463" t="s">
        <v>20</v>
      </c>
      <c r="B1634" s="464"/>
      <c r="C1634" s="468"/>
      <c r="D1634" s="470"/>
      <c r="E1634" s="222"/>
      <c r="F1634" s="222"/>
      <c r="G1634" s="222"/>
      <c r="H1634" s="222"/>
    </row>
    <row r="1635" spans="1:12" x14ac:dyDescent="0.25">
      <c r="A1635" s="463" t="s">
        <v>21</v>
      </c>
      <c r="B1635" s="464"/>
      <c r="C1635" s="468"/>
      <c r="D1635" s="468"/>
      <c r="E1635" s="222"/>
      <c r="F1635" s="222"/>
      <c r="G1635" s="222"/>
      <c r="H1635" s="222"/>
    </row>
    <row r="1636" spans="1:12" x14ac:dyDescent="0.25">
      <c r="A1636" s="471" t="s">
        <v>22</v>
      </c>
      <c r="B1636" s="472"/>
      <c r="C1636" s="473"/>
      <c r="D1636" s="474"/>
      <c r="E1636" s="222"/>
      <c r="F1636" s="222"/>
      <c r="G1636" s="222"/>
      <c r="H1636" s="222"/>
    </row>
    <row r="1637" spans="1:12" x14ac:dyDescent="0.25">
      <c r="A1637" s="626" t="s">
        <v>937</v>
      </c>
      <c r="B1637" s="627"/>
      <c r="C1637" s="628"/>
      <c r="D1637" s="629"/>
      <c r="E1637" s="222"/>
      <c r="F1637" s="222"/>
      <c r="G1637" s="222"/>
      <c r="H1637" s="222"/>
    </row>
    <row r="1638" spans="1:12" x14ac:dyDescent="0.25">
      <c r="A1638" s="459"/>
      <c r="B1638" s="459"/>
      <c r="C1638" s="459"/>
      <c r="D1638" s="459"/>
      <c r="E1638" s="459"/>
      <c r="F1638" s="222"/>
      <c r="G1638" s="222"/>
      <c r="H1638" s="222"/>
      <c r="I1638" s="222"/>
      <c r="J1638" s="222"/>
    </row>
    <row r="1639" spans="1:12" x14ac:dyDescent="0.25">
      <c r="A1639" s="459"/>
      <c r="B1639" s="459"/>
      <c r="C1639" s="459"/>
      <c r="D1639" s="459"/>
      <c r="E1639" s="459"/>
      <c r="F1639" s="222"/>
      <c r="G1639" s="222"/>
      <c r="H1639" s="222"/>
      <c r="I1639" s="222"/>
      <c r="J1639" s="222"/>
    </row>
    <row r="1640" spans="1:12" x14ac:dyDescent="0.25">
      <c r="A1640" s="458" t="s">
        <v>12</v>
      </c>
      <c r="B1640" s="556" t="s">
        <v>594</v>
      </c>
      <c r="C1640" s="222"/>
      <c r="D1640" s="459"/>
      <c r="E1640" s="459"/>
      <c r="F1640" s="459"/>
      <c r="G1640" s="459"/>
      <c r="H1640" s="459"/>
      <c r="I1640" s="222"/>
      <c r="J1640" s="222"/>
      <c r="K1640" s="222"/>
      <c r="L1640" s="222"/>
    </row>
    <row r="1641" spans="1:12" x14ac:dyDescent="0.25">
      <c r="A1641" s="460" t="s">
        <v>14</v>
      </c>
      <c r="B1641" s="461" t="s">
        <v>638</v>
      </c>
      <c r="C1641" s="462" t="s">
        <v>15</v>
      </c>
      <c r="D1641" s="459"/>
      <c r="E1641" s="459"/>
      <c r="F1641" s="459"/>
      <c r="G1641" s="459"/>
      <c r="H1641" s="459"/>
      <c r="I1641" s="222"/>
      <c r="J1641" s="222"/>
      <c r="K1641" s="222"/>
      <c r="L1641" s="222"/>
    </row>
    <row r="1642" spans="1:12" x14ac:dyDescent="0.25">
      <c r="A1642" s="463" t="s">
        <v>16</v>
      </c>
      <c r="B1642" s="464"/>
      <c r="C1642" s="465">
        <v>2021</v>
      </c>
      <c r="D1642" s="466">
        <v>2022</v>
      </c>
      <c r="E1642" s="467">
        <v>2023</v>
      </c>
      <c r="F1642" s="467">
        <v>2024</v>
      </c>
      <c r="G1642" s="222"/>
      <c r="H1642" s="222"/>
      <c r="I1642" s="222"/>
      <c r="J1642" s="222"/>
      <c r="K1642" s="222"/>
      <c r="L1642" s="222"/>
    </row>
    <row r="1643" spans="1:12" x14ac:dyDescent="0.25">
      <c r="A1643" s="463" t="s">
        <v>17</v>
      </c>
      <c r="B1643" s="464"/>
      <c r="C1643" s="468">
        <f>434.04</f>
        <v>434.04</v>
      </c>
      <c r="D1643" s="468">
        <v>442.25</v>
      </c>
      <c r="E1643" s="468">
        <v>442.25</v>
      </c>
      <c r="F1643" s="468">
        <v>442.25</v>
      </c>
      <c r="G1643" s="222"/>
      <c r="H1643" s="222"/>
      <c r="I1643" s="222"/>
      <c r="J1643" s="222"/>
      <c r="K1643" s="222"/>
      <c r="L1643" s="222"/>
    </row>
    <row r="1644" spans="1:12" x14ac:dyDescent="0.25">
      <c r="A1644" s="463" t="s">
        <v>18</v>
      </c>
      <c r="B1644" s="464"/>
      <c r="C1644" s="468">
        <f>C1643+53.75</f>
        <v>487.79</v>
      </c>
      <c r="D1644" s="468">
        <f>D1643+53.75</f>
        <v>496</v>
      </c>
      <c r="E1644" s="469">
        <f>E1643+0.25*C1643</f>
        <v>550.76</v>
      </c>
      <c r="F1644" s="469">
        <f>F1643+0.25*D1643</f>
        <v>552.8125</v>
      </c>
      <c r="G1644" s="398"/>
      <c r="H1644" s="222"/>
      <c r="I1644" s="222"/>
      <c r="J1644" s="222"/>
      <c r="K1644" s="222"/>
      <c r="L1644" s="222"/>
    </row>
    <row r="1645" spans="1:12" x14ac:dyDescent="0.25">
      <c r="A1645" s="463" t="s">
        <v>19</v>
      </c>
      <c r="B1645" s="464"/>
      <c r="C1645" s="469" t="s">
        <v>710</v>
      </c>
      <c r="D1645" s="469" t="s">
        <v>712</v>
      </c>
      <c r="E1645" s="469" t="s">
        <v>711</v>
      </c>
      <c r="F1645" s="469" t="s">
        <v>919</v>
      </c>
      <c r="G1645" s="222"/>
      <c r="H1645" s="222"/>
      <c r="I1645" s="222"/>
      <c r="J1645" s="222"/>
      <c r="K1645" s="222"/>
      <c r="L1645" s="222"/>
    </row>
    <row r="1646" spans="1:12" x14ac:dyDescent="0.25">
      <c r="A1646" s="463" t="s">
        <v>20</v>
      </c>
      <c r="B1646" s="464"/>
      <c r="C1646" s="468">
        <v>169.39099999999999</v>
      </c>
      <c r="D1646" s="638">
        <v>125.35080000000001</v>
      </c>
      <c r="E1646" s="469"/>
      <c r="F1646" s="469"/>
      <c r="G1646" s="222"/>
      <c r="H1646" s="222"/>
      <c r="I1646" s="222"/>
      <c r="J1646" s="222"/>
      <c r="K1646" s="222"/>
      <c r="L1646" s="222"/>
    </row>
    <row r="1647" spans="1:12" x14ac:dyDescent="0.25">
      <c r="A1647" s="463" t="s">
        <v>21</v>
      </c>
      <c r="B1647" s="464"/>
      <c r="C1647" s="468">
        <f>C1644-C1646</f>
        <v>318.399</v>
      </c>
      <c r="D1647" s="541">
        <f>D1644-D1646</f>
        <v>370.64920000000001</v>
      </c>
      <c r="E1647" s="469"/>
      <c r="F1647" s="469"/>
      <c r="G1647" s="222"/>
      <c r="H1647" s="222"/>
      <c r="I1647" s="222"/>
      <c r="J1647" s="222"/>
      <c r="K1647" s="222"/>
      <c r="L1647" s="222"/>
    </row>
    <row r="1648" spans="1:12" x14ac:dyDescent="0.25">
      <c r="A1648" s="471" t="s">
        <v>22</v>
      </c>
      <c r="B1648" s="472"/>
      <c r="C1648" s="473">
        <v>2023</v>
      </c>
      <c r="D1648" s="474">
        <v>2024</v>
      </c>
      <c r="E1648" s="473">
        <v>2025</v>
      </c>
      <c r="F1648" s="473">
        <v>2026</v>
      </c>
      <c r="G1648" s="222"/>
      <c r="H1648" s="222"/>
      <c r="I1648" s="222"/>
      <c r="J1648" s="222"/>
      <c r="K1648" s="222"/>
      <c r="L1648" s="222"/>
    </row>
    <row r="1649" spans="1:12" x14ac:dyDescent="0.25">
      <c r="A1649" s="484" t="s">
        <v>717</v>
      </c>
      <c r="B1649" s="536"/>
      <c r="C1649" s="536"/>
      <c r="D1649" s="536"/>
      <c r="E1649" s="536"/>
      <c r="F1649" s="218"/>
      <c r="G1649" s="222"/>
      <c r="H1649" s="222"/>
      <c r="I1649" s="222"/>
      <c r="J1649" s="222"/>
      <c r="K1649" s="222"/>
      <c r="L1649" s="222"/>
    </row>
    <row r="1650" spans="1:12" ht="12.75" customHeight="1" x14ac:dyDescent="0.25">
      <c r="A1650" s="487" t="s">
        <v>726</v>
      </c>
      <c r="B1650" s="539"/>
      <c r="C1650" s="539"/>
      <c r="D1650" s="539"/>
      <c r="E1650" s="539"/>
      <c r="F1650" s="223"/>
      <c r="G1650" s="222"/>
      <c r="H1650" s="222"/>
      <c r="I1650" s="222"/>
      <c r="J1650" s="222"/>
      <c r="K1650" s="222"/>
      <c r="L1650" s="222"/>
    </row>
    <row r="1651" spans="1:12" x14ac:dyDescent="0.25">
      <c r="A1651" s="538" t="s">
        <v>727</v>
      </c>
      <c r="B1651" s="475"/>
      <c r="C1651" s="475"/>
      <c r="D1651" s="475"/>
      <c r="E1651" s="475"/>
      <c r="F1651" s="223"/>
      <c r="G1651" s="222"/>
      <c r="H1651" s="222"/>
      <c r="I1651" s="222"/>
      <c r="J1651" s="222"/>
      <c r="K1651" s="222"/>
      <c r="L1651" s="222"/>
    </row>
    <row r="1652" spans="1:12" x14ac:dyDescent="0.25">
      <c r="A1652" s="639" t="s">
        <v>968</v>
      </c>
      <c r="B1652" s="537"/>
      <c r="C1652" s="537"/>
      <c r="D1652" s="537"/>
      <c r="E1652" s="537"/>
      <c r="F1652" s="225"/>
      <c r="G1652" s="222"/>
      <c r="H1652" s="222"/>
      <c r="I1652" s="222"/>
      <c r="J1652" s="222"/>
      <c r="K1652" s="222"/>
      <c r="L1652" s="222"/>
    </row>
    <row r="1653" spans="1:12" x14ac:dyDescent="0.25">
      <c r="A1653" s="475"/>
      <c r="B1653" s="475"/>
      <c r="C1653" s="476"/>
      <c r="D1653" s="475"/>
      <c r="E1653" s="475"/>
      <c r="F1653" s="222"/>
      <c r="G1653" s="222"/>
      <c r="H1653" s="222"/>
      <c r="I1653" s="222"/>
      <c r="J1653" s="222"/>
      <c r="K1653" s="222"/>
      <c r="L1653" s="222"/>
    </row>
    <row r="1654" spans="1:12" x14ac:dyDescent="0.25">
      <c r="A1654" s="460" t="s">
        <v>14</v>
      </c>
      <c r="B1654" s="461" t="s">
        <v>657</v>
      </c>
      <c r="C1654" s="462" t="s">
        <v>15</v>
      </c>
      <c r="D1654" s="459"/>
      <c r="E1654" s="459"/>
      <c r="F1654" s="459"/>
      <c r="G1654" s="459"/>
      <c r="H1654" s="459"/>
      <c r="I1654" s="222"/>
      <c r="J1654" s="222"/>
      <c r="K1654" s="222"/>
      <c r="L1654" s="222"/>
    </row>
    <row r="1655" spans="1:12" x14ac:dyDescent="0.25">
      <c r="A1655" s="463" t="s">
        <v>16</v>
      </c>
      <c r="B1655" s="464"/>
      <c r="C1655" s="465">
        <v>2021</v>
      </c>
      <c r="D1655" s="466">
        <v>2022</v>
      </c>
      <c r="E1655" s="467">
        <v>2023</v>
      </c>
      <c r="F1655" s="467">
        <v>2024</v>
      </c>
      <c r="G1655" s="222"/>
      <c r="H1655" s="222"/>
      <c r="I1655" s="222"/>
      <c r="J1655" s="222"/>
      <c r="K1655" s="222"/>
      <c r="L1655" s="222"/>
    </row>
    <row r="1656" spans="1:12" x14ac:dyDescent="0.25">
      <c r="A1656" s="463" t="s">
        <v>17</v>
      </c>
      <c r="B1656" s="464"/>
      <c r="C1656" s="468">
        <v>100</v>
      </c>
      <c r="D1656" s="468">
        <v>100</v>
      </c>
      <c r="E1656" s="469">
        <v>120</v>
      </c>
      <c r="F1656" s="469">
        <v>120</v>
      </c>
      <c r="G1656" s="222"/>
      <c r="H1656" s="222"/>
      <c r="I1656" s="222"/>
      <c r="J1656" s="222"/>
      <c r="K1656" s="222"/>
      <c r="L1656" s="222"/>
    </row>
    <row r="1657" spans="1:12" x14ac:dyDescent="0.25">
      <c r="A1657" s="463" t="s">
        <v>18</v>
      </c>
      <c r="B1657" s="464"/>
      <c r="C1657" s="468"/>
      <c r="D1657" s="468">
        <v>125</v>
      </c>
      <c r="E1657" s="477">
        <f>E1656+0.25*C1656</f>
        <v>145</v>
      </c>
      <c r="F1657" s="477">
        <f>F1656+0.25*D1656</f>
        <v>145</v>
      </c>
      <c r="G1657" s="222"/>
      <c r="H1657" s="222"/>
      <c r="I1657" s="222"/>
      <c r="J1657" s="222"/>
      <c r="K1657" s="222"/>
      <c r="L1657" s="222"/>
    </row>
    <row r="1658" spans="1:12" x14ac:dyDescent="0.25">
      <c r="A1658" s="463" t="s">
        <v>19</v>
      </c>
      <c r="B1658" s="464"/>
      <c r="C1658" s="477"/>
      <c r="D1658" s="477" t="s">
        <v>706</v>
      </c>
      <c r="E1658" s="477" t="s">
        <v>705</v>
      </c>
      <c r="F1658" s="477" t="s">
        <v>921</v>
      </c>
      <c r="G1658" s="222"/>
      <c r="H1658" s="222"/>
      <c r="I1658" s="222"/>
      <c r="J1658" s="222"/>
      <c r="K1658" s="222"/>
      <c r="L1658" s="222"/>
    </row>
    <row r="1659" spans="1:12" x14ac:dyDescent="0.25">
      <c r="A1659" s="463" t="s">
        <v>20</v>
      </c>
      <c r="B1659" s="464"/>
      <c r="C1659" s="468">
        <v>0</v>
      </c>
      <c r="D1659" s="470">
        <v>0</v>
      </c>
      <c r="E1659" s="469"/>
      <c r="F1659" s="469"/>
      <c r="G1659" s="222"/>
      <c r="H1659" s="222"/>
      <c r="I1659" s="222"/>
      <c r="J1659" s="222"/>
      <c r="K1659" s="222"/>
      <c r="L1659" s="222"/>
    </row>
    <row r="1660" spans="1:12" x14ac:dyDescent="0.25">
      <c r="A1660" s="463" t="s">
        <v>21</v>
      </c>
      <c r="B1660" s="464"/>
      <c r="C1660" s="468">
        <f>C1656-C1659</f>
        <v>100</v>
      </c>
      <c r="D1660" s="468">
        <f>D1657-D1659</f>
        <v>125</v>
      </c>
      <c r="E1660" s="469"/>
      <c r="F1660" s="469"/>
      <c r="G1660" s="222"/>
      <c r="H1660" s="222"/>
      <c r="I1660" s="222"/>
      <c r="J1660" s="222"/>
      <c r="K1660" s="222"/>
      <c r="L1660" s="222"/>
    </row>
    <row r="1661" spans="1:12" x14ac:dyDescent="0.25">
      <c r="A1661" s="471" t="s">
        <v>22</v>
      </c>
      <c r="B1661" s="472"/>
      <c r="C1661" s="473">
        <v>2023</v>
      </c>
      <c r="D1661" s="474">
        <v>2024</v>
      </c>
      <c r="E1661" s="473">
        <v>2025</v>
      </c>
      <c r="F1661" s="473">
        <v>2026</v>
      </c>
      <c r="G1661" s="222"/>
      <c r="H1661" s="222"/>
      <c r="I1661" s="222"/>
      <c r="J1661" s="222"/>
      <c r="K1661" s="222"/>
      <c r="L1661" s="222"/>
    </row>
    <row r="1662" spans="1:12" x14ac:dyDescent="0.25">
      <c r="A1662" s="484" t="s">
        <v>764</v>
      </c>
      <c r="B1662" s="485"/>
      <c r="C1662" s="503"/>
      <c r="D1662" s="503"/>
      <c r="E1662" s="503"/>
      <c r="F1662" s="540"/>
      <c r="G1662" s="222"/>
      <c r="H1662" s="222"/>
      <c r="I1662" s="222"/>
      <c r="J1662" s="222"/>
      <c r="K1662" s="222"/>
      <c r="L1662" s="222"/>
    </row>
    <row r="1663" spans="1:12" x14ac:dyDescent="0.25">
      <c r="A1663" s="489" t="s">
        <v>920</v>
      </c>
      <c r="B1663" s="490"/>
      <c r="C1663" s="490"/>
      <c r="D1663" s="490"/>
      <c r="E1663" s="490"/>
      <c r="F1663" s="225"/>
      <c r="G1663" s="222"/>
      <c r="H1663" s="222"/>
      <c r="I1663" s="222"/>
      <c r="J1663" s="222"/>
      <c r="K1663" s="222"/>
      <c r="L1663" s="222"/>
    </row>
    <row r="1664" spans="1:12" x14ac:dyDescent="0.25">
      <c r="A1664" s="459"/>
      <c r="B1664" s="459"/>
      <c r="C1664" s="459"/>
      <c r="D1664" s="459"/>
      <c r="E1664" s="459"/>
      <c r="F1664" s="222"/>
      <c r="G1664" s="222"/>
      <c r="H1664" s="222"/>
      <c r="I1664" s="222"/>
      <c r="J1664" s="222"/>
      <c r="K1664" s="222"/>
      <c r="L1664" s="222"/>
    </row>
    <row r="1665" spans="1:12" x14ac:dyDescent="0.25">
      <c r="A1665" s="460" t="s">
        <v>14</v>
      </c>
      <c r="B1665" s="461" t="s">
        <v>637</v>
      </c>
      <c r="C1665" s="462" t="s">
        <v>15</v>
      </c>
      <c r="D1665" s="459"/>
      <c r="E1665" s="459"/>
      <c r="F1665" s="459"/>
      <c r="G1665" s="459"/>
      <c r="H1665" s="459"/>
      <c r="I1665" s="222"/>
      <c r="J1665" s="222"/>
      <c r="K1665" s="222"/>
      <c r="L1665" s="222"/>
    </row>
    <row r="1666" spans="1:12" x14ac:dyDescent="0.25">
      <c r="A1666" s="463" t="s">
        <v>16</v>
      </c>
      <c r="B1666" s="464"/>
      <c r="C1666" s="465">
        <v>2021</v>
      </c>
      <c r="D1666" s="466">
        <v>2022</v>
      </c>
      <c r="E1666" s="467">
        <v>2023</v>
      </c>
      <c r="F1666" s="467">
        <v>2024</v>
      </c>
      <c r="G1666" s="222"/>
      <c r="H1666" s="222"/>
      <c r="I1666" s="222"/>
      <c r="J1666" s="222"/>
      <c r="K1666" s="222"/>
      <c r="L1666" s="222"/>
    </row>
    <row r="1667" spans="1:12" x14ac:dyDescent="0.25">
      <c r="A1667" s="463" t="s">
        <v>17</v>
      </c>
      <c r="B1667" s="464"/>
      <c r="C1667" s="468">
        <v>35.67</v>
      </c>
      <c r="D1667" s="468">
        <v>35.67</v>
      </c>
      <c r="E1667" s="468">
        <v>35.67</v>
      </c>
      <c r="F1667" s="468">
        <v>35.67</v>
      </c>
      <c r="G1667" s="222"/>
      <c r="H1667" s="222"/>
      <c r="I1667" s="222"/>
      <c r="J1667" s="222"/>
      <c r="K1667" s="222"/>
      <c r="L1667" s="222"/>
    </row>
    <row r="1668" spans="1:12" x14ac:dyDescent="0.25">
      <c r="A1668" s="463" t="s">
        <v>18</v>
      </c>
      <c r="B1668" s="464"/>
      <c r="C1668" s="468">
        <v>49.67</v>
      </c>
      <c r="D1668" s="468">
        <v>49.67</v>
      </c>
      <c r="E1668" s="469">
        <f>E1667+0.4*C1667</f>
        <v>49.938000000000002</v>
      </c>
      <c r="F1668" s="469">
        <f>F1667+0.4*D1667</f>
        <v>49.938000000000002</v>
      </c>
      <c r="G1668" s="222"/>
      <c r="H1668" s="222"/>
      <c r="I1668" s="222"/>
      <c r="J1668" s="222"/>
      <c r="K1668" s="222"/>
      <c r="L1668" s="222"/>
    </row>
    <row r="1669" spans="1:12" ht="30.75" customHeight="1" x14ac:dyDescent="0.25">
      <c r="A1669" s="463" t="s">
        <v>19</v>
      </c>
      <c r="B1669" s="464"/>
      <c r="C1669" s="478" t="s">
        <v>729</v>
      </c>
      <c r="D1669" s="478" t="s">
        <v>730</v>
      </c>
      <c r="E1669" s="478" t="s">
        <v>713</v>
      </c>
      <c r="F1669" s="478" t="s">
        <v>923</v>
      </c>
      <c r="G1669" s="222"/>
      <c r="H1669" s="222"/>
      <c r="I1669" s="222"/>
      <c r="J1669" s="222"/>
      <c r="K1669" s="222"/>
      <c r="L1669" s="222"/>
    </row>
    <row r="1670" spans="1:12" x14ac:dyDescent="0.25">
      <c r="A1670" s="463" t="s">
        <v>20</v>
      </c>
      <c r="B1670" s="464"/>
      <c r="C1670" s="468">
        <v>5.9</v>
      </c>
      <c r="D1670" s="470">
        <v>3.351</v>
      </c>
      <c r="E1670" s="469"/>
      <c r="F1670" s="469"/>
      <c r="G1670" s="222"/>
      <c r="H1670" s="222"/>
      <c r="I1670" s="222"/>
      <c r="J1670" s="222"/>
      <c r="K1670" s="222"/>
      <c r="L1670" s="222"/>
    </row>
    <row r="1671" spans="1:12" x14ac:dyDescent="0.25">
      <c r="A1671" s="463" t="s">
        <v>21</v>
      </c>
      <c r="B1671" s="464"/>
      <c r="C1671" s="468">
        <f>C1668-C1670</f>
        <v>43.77</v>
      </c>
      <c r="D1671" s="468">
        <f>D1668-D1670</f>
        <v>46.319000000000003</v>
      </c>
      <c r="E1671" s="469"/>
      <c r="F1671" s="469"/>
      <c r="G1671" s="222"/>
      <c r="H1671" s="222"/>
      <c r="I1671" s="222"/>
      <c r="J1671" s="222"/>
      <c r="K1671" s="222"/>
      <c r="L1671" s="222"/>
    </row>
    <row r="1672" spans="1:12" x14ac:dyDescent="0.25">
      <c r="A1672" s="471" t="s">
        <v>22</v>
      </c>
      <c r="B1672" s="472"/>
      <c r="C1672" s="473">
        <v>2023</v>
      </c>
      <c r="D1672" s="473">
        <v>2024</v>
      </c>
      <c r="E1672" s="473">
        <v>2025</v>
      </c>
      <c r="F1672" s="473">
        <v>2026</v>
      </c>
      <c r="G1672" s="222"/>
      <c r="H1672" s="222"/>
      <c r="I1672" s="222"/>
      <c r="J1672" s="222"/>
      <c r="K1672" s="222"/>
      <c r="L1672" s="222"/>
    </row>
    <row r="1673" spans="1:12" x14ac:dyDescent="0.25">
      <c r="A1673" s="484" t="s">
        <v>728</v>
      </c>
      <c r="B1673" s="485"/>
      <c r="C1673" s="485"/>
      <c r="D1673" s="485"/>
      <c r="E1673" s="485"/>
      <c r="F1673" s="218"/>
      <c r="G1673" s="222"/>
      <c r="H1673" s="222"/>
      <c r="I1673" s="222"/>
      <c r="J1673" s="222"/>
      <c r="K1673" s="222"/>
      <c r="L1673" s="222"/>
    </row>
    <row r="1674" spans="1:12" x14ac:dyDescent="0.25">
      <c r="A1674" s="487" t="s">
        <v>732</v>
      </c>
      <c r="B1674" s="459"/>
      <c r="C1674" s="459"/>
      <c r="D1674" s="459"/>
      <c r="E1674" s="459"/>
      <c r="F1674" s="223"/>
      <c r="G1674" s="222"/>
      <c r="H1674" s="222"/>
      <c r="I1674" s="222"/>
      <c r="J1674" s="222"/>
      <c r="K1674" s="222"/>
      <c r="L1674" s="222"/>
    </row>
    <row r="1675" spans="1:12" x14ac:dyDescent="0.25">
      <c r="A1675" s="487" t="s">
        <v>731</v>
      </c>
      <c r="B1675" s="459"/>
      <c r="C1675" s="459"/>
      <c r="D1675" s="459"/>
      <c r="E1675" s="459"/>
      <c r="F1675" s="223"/>
      <c r="G1675" s="222"/>
      <c r="H1675" s="222"/>
      <c r="I1675" s="222"/>
      <c r="J1675" s="222"/>
      <c r="K1675" s="222"/>
      <c r="L1675" s="222"/>
    </row>
    <row r="1676" spans="1:12" x14ac:dyDescent="0.25">
      <c r="A1676" s="489" t="s">
        <v>922</v>
      </c>
      <c r="B1676" s="490"/>
      <c r="C1676" s="490"/>
      <c r="D1676" s="490"/>
      <c r="E1676" s="490"/>
      <c r="F1676" s="225"/>
      <c r="G1676" s="222"/>
      <c r="H1676" s="222"/>
      <c r="I1676" s="222"/>
      <c r="J1676" s="222"/>
      <c r="K1676" s="222"/>
      <c r="L1676" s="222"/>
    </row>
    <row r="1677" spans="1:12" x14ac:dyDescent="0.25">
      <c r="A1677" s="475"/>
      <c r="B1677" s="475"/>
      <c r="C1677" s="476"/>
      <c r="D1677" s="475"/>
      <c r="E1677" s="475"/>
      <c r="F1677" s="222"/>
      <c r="G1677" s="222"/>
      <c r="H1677" s="222"/>
      <c r="I1677" s="222"/>
      <c r="J1677" s="222"/>
      <c r="K1677" s="222"/>
      <c r="L1677" s="222"/>
    </row>
    <row r="1678" spans="1:12" x14ac:dyDescent="0.25">
      <c r="A1678" s="460" t="s">
        <v>14</v>
      </c>
      <c r="B1678" s="461" t="s">
        <v>660</v>
      </c>
      <c r="C1678" s="462" t="s">
        <v>15</v>
      </c>
      <c r="D1678" s="459"/>
      <c r="E1678" s="459"/>
      <c r="F1678" s="459"/>
      <c r="G1678" s="459"/>
      <c r="H1678" s="459"/>
      <c r="I1678" s="222"/>
      <c r="J1678" s="222"/>
      <c r="K1678" s="222"/>
      <c r="L1678" s="222"/>
    </row>
    <row r="1679" spans="1:12" x14ac:dyDescent="0.25">
      <c r="A1679" s="463" t="s">
        <v>16</v>
      </c>
      <c r="B1679" s="464"/>
      <c r="C1679" s="465">
        <v>2021</v>
      </c>
      <c r="D1679" s="466">
        <v>2022</v>
      </c>
      <c r="E1679" s="467">
        <v>2023</v>
      </c>
      <c r="F1679" s="467">
        <v>2024</v>
      </c>
      <c r="G1679" s="222"/>
      <c r="H1679" s="222"/>
      <c r="I1679" s="222"/>
      <c r="J1679" s="222"/>
      <c r="K1679" s="222"/>
      <c r="L1679" s="222"/>
    </row>
    <row r="1680" spans="1:12" x14ac:dyDescent="0.25">
      <c r="A1680" s="463" t="s">
        <v>17</v>
      </c>
      <c r="B1680" s="464"/>
      <c r="C1680" s="468">
        <v>25</v>
      </c>
      <c r="D1680" s="468">
        <v>25</v>
      </c>
      <c r="E1680" s="468">
        <v>25</v>
      </c>
      <c r="F1680" s="468">
        <v>25</v>
      </c>
      <c r="G1680" s="222"/>
      <c r="H1680" s="222"/>
      <c r="I1680" s="222"/>
      <c r="J1680" s="222"/>
      <c r="K1680" s="222"/>
      <c r="L1680" s="222"/>
    </row>
    <row r="1681" spans="1:12" x14ac:dyDescent="0.25">
      <c r="A1681" s="463" t="s">
        <v>18</v>
      </c>
      <c r="B1681" s="464"/>
      <c r="C1681" s="468">
        <v>30</v>
      </c>
      <c r="D1681" s="468">
        <v>30</v>
      </c>
      <c r="E1681" s="477">
        <v>30</v>
      </c>
      <c r="F1681" s="477">
        <v>30</v>
      </c>
      <c r="G1681" s="222"/>
      <c r="H1681" s="222"/>
      <c r="I1681" s="222"/>
      <c r="J1681" s="222"/>
      <c r="K1681" s="222"/>
      <c r="L1681" s="222"/>
    </row>
    <row r="1682" spans="1:12" x14ac:dyDescent="0.25">
      <c r="A1682" s="463" t="s">
        <v>19</v>
      </c>
      <c r="B1682" s="464"/>
      <c r="C1682" s="477" t="s">
        <v>707</v>
      </c>
      <c r="D1682" s="477" t="s">
        <v>708</v>
      </c>
      <c r="E1682" s="477" t="s">
        <v>709</v>
      </c>
      <c r="F1682" s="477" t="s">
        <v>924</v>
      </c>
      <c r="G1682" s="222"/>
      <c r="H1682" s="222"/>
      <c r="I1682" s="222"/>
      <c r="J1682" s="222"/>
      <c r="K1682" s="222"/>
      <c r="L1682" s="222"/>
    </row>
    <row r="1683" spans="1:12" x14ac:dyDescent="0.25">
      <c r="A1683" s="463" t="s">
        <v>20</v>
      </c>
      <c r="B1683" s="464"/>
      <c r="C1683" s="468">
        <v>0</v>
      </c>
      <c r="D1683" s="470">
        <v>0</v>
      </c>
      <c r="E1683" s="469"/>
      <c r="F1683" s="469"/>
      <c r="G1683" s="222"/>
      <c r="H1683" s="222"/>
      <c r="I1683" s="222"/>
      <c r="J1683" s="222"/>
    </row>
    <row r="1684" spans="1:12" x14ac:dyDescent="0.25">
      <c r="A1684" s="463" t="s">
        <v>21</v>
      </c>
      <c r="B1684" s="464"/>
      <c r="C1684" s="468">
        <v>30</v>
      </c>
      <c r="D1684" s="470">
        <f>D1681-D1683</f>
        <v>30</v>
      </c>
      <c r="E1684" s="469"/>
      <c r="F1684" s="469"/>
      <c r="G1684" s="222"/>
      <c r="H1684" s="222"/>
      <c r="I1684" s="222"/>
      <c r="J1684" s="222"/>
    </row>
    <row r="1685" spans="1:12" x14ac:dyDescent="0.25">
      <c r="A1685" s="471" t="s">
        <v>22</v>
      </c>
      <c r="B1685" s="472"/>
      <c r="C1685" s="473">
        <v>2023</v>
      </c>
      <c r="D1685" s="474">
        <v>2024</v>
      </c>
      <c r="E1685" s="473">
        <v>2025</v>
      </c>
      <c r="F1685" s="473">
        <v>2026</v>
      </c>
      <c r="G1685" s="222"/>
      <c r="H1685" s="222"/>
      <c r="I1685" s="222"/>
      <c r="J1685" s="222"/>
    </row>
    <row r="1686" spans="1:12" x14ac:dyDescent="0.25">
      <c r="A1686" s="484" t="s">
        <v>714</v>
      </c>
      <c r="B1686" s="485"/>
      <c r="C1686" s="503"/>
      <c r="D1686" s="503"/>
      <c r="E1686" s="503"/>
      <c r="F1686" s="540"/>
      <c r="G1686" s="222"/>
      <c r="H1686" s="222"/>
      <c r="I1686" s="222"/>
      <c r="J1686" s="222"/>
    </row>
    <row r="1687" spans="1:12" ht="48.75" customHeight="1" x14ac:dyDescent="0.25">
      <c r="A1687" s="489" t="s">
        <v>925</v>
      </c>
      <c r="B1687" s="490"/>
      <c r="C1687" s="490"/>
      <c r="D1687" s="490"/>
      <c r="E1687" s="490"/>
      <c r="F1687" s="225"/>
      <c r="G1687" s="222"/>
      <c r="H1687" s="222"/>
      <c r="I1687" s="222"/>
      <c r="J1687" s="222"/>
    </row>
    <row r="1688" spans="1:12" x14ac:dyDescent="0.25">
      <c r="A1688" s="459"/>
      <c r="B1688" s="459"/>
      <c r="C1688" s="459"/>
      <c r="D1688" s="459"/>
      <c r="E1688" s="459"/>
      <c r="F1688" s="222"/>
      <c r="G1688" s="222"/>
      <c r="H1688" s="222"/>
      <c r="I1688" s="222"/>
      <c r="J1688" s="222"/>
    </row>
    <row r="1689" spans="1:12" x14ac:dyDescent="0.25">
      <c r="A1689" s="460" t="s">
        <v>14</v>
      </c>
      <c r="B1689" s="461" t="s">
        <v>661</v>
      </c>
      <c r="C1689" s="462" t="s">
        <v>15</v>
      </c>
      <c r="D1689" s="459"/>
      <c r="E1689" s="459"/>
      <c r="F1689" s="459"/>
      <c r="G1689" s="459"/>
      <c r="H1689" s="459"/>
      <c r="I1689" s="222"/>
      <c r="J1689" s="222"/>
    </row>
    <row r="1690" spans="1:12" x14ac:dyDescent="0.25">
      <c r="A1690" s="463" t="s">
        <v>16</v>
      </c>
      <c r="B1690" s="464"/>
      <c r="C1690" s="465">
        <v>2021</v>
      </c>
      <c r="D1690" s="466">
        <v>2022</v>
      </c>
      <c r="E1690" s="467">
        <v>2023</v>
      </c>
      <c r="F1690" s="467">
        <v>2024</v>
      </c>
      <c r="G1690" s="222"/>
      <c r="H1690" s="222"/>
      <c r="I1690" s="222"/>
      <c r="J1690" s="222"/>
    </row>
    <row r="1691" spans="1:12" x14ac:dyDescent="0.25">
      <c r="A1691" s="463" t="s">
        <v>17</v>
      </c>
      <c r="B1691" s="464"/>
      <c r="C1691" s="468">
        <v>48.4</v>
      </c>
      <c r="D1691" s="468">
        <v>48.4</v>
      </c>
      <c r="E1691" s="468">
        <v>63</v>
      </c>
      <c r="F1691" s="468">
        <v>63</v>
      </c>
      <c r="G1691" s="222"/>
      <c r="H1691" s="222"/>
      <c r="I1691" s="222"/>
      <c r="J1691" s="222"/>
    </row>
    <row r="1692" spans="1:12" x14ac:dyDescent="0.25">
      <c r="A1692" s="463" t="s">
        <v>18</v>
      </c>
      <c r="B1692" s="464"/>
      <c r="C1692" s="468"/>
      <c r="D1692" s="468">
        <f>D1691+0.05*C1691</f>
        <v>50.82</v>
      </c>
      <c r="E1692" s="469">
        <f>E1691+0.05*D1691</f>
        <v>65.42</v>
      </c>
      <c r="F1692" s="469"/>
      <c r="G1692" s="222"/>
      <c r="H1692" s="222"/>
      <c r="I1692" s="222"/>
      <c r="J1692" s="222"/>
    </row>
    <row r="1693" spans="1:12" x14ac:dyDescent="0.25">
      <c r="A1693" s="463" t="s">
        <v>19</v>
      </c>
      <c r="B1693" s="464"/>
      <c r="C1693" s="469"/>
      <c r="D1693" s="470" t="s">
        <v>926</v>
      </c>
      <c r="E1693" s="469" t="s">
        <v>927</v>
      </c>
      <c r="F1693" s="469" t="s">
        <v>928</v>
      </c>
      <c r="G1693" s="222"/>
      <c r="H1693" s="222"/>
      <c r="I1693" s="222"/>
      <c r="J1693" s="222"/>
    </row>
    <row r="1694" spans="1:12" x14ac:dyDescent="0.25">
      <c r="A1694" s="463" t="s">
        <v>20</v>
      </c>
      <c r="B1694" s="464"/>
      <c r="C1694" s="468">
        <v>2.92</v>
      </c>
      <c r="D1694" s="470">
        <v>4.609</v>
      </c>
      <c r="E1694" s="469"/>
      <c r="F1694" s="469"/>
      <c r="G1694" s="222"/>
      <c r="H1694" s="222"/>
      <c r="I1694" s="222"/>
      <c r="J1694" s="222"/>
    </row>
    <row r="1695" spans="1:12" x14ac:dyDescent="0.25">
      <c r="A1695" s="463" t="s">
        <v>21</v>
      </c>
      <c r="B1695" s="464"/>
      <c r="C1695" s="468">
        <f>C1691-C1694</f>
        <v>45.48</v>
      </c>
      <c r="D1695" s="468">
        <f>D1692-D1694</f>
        <v>46.210999999999999</v>
      </c>
      <c r="E1695" s="469"/>
      <c r="F1695" s="469"/>
      <c r="G1695" s="222"/>
      <c r="H1695" s="222"/>
      <c r="I1695" s="222"/>
      <c r="J1695" s="222"/>
    </row>
    <row r="1696" spans="1:12" x14ac:dyDescent="0.25">
      <c r="A1696" s="471" t="s">
        <v>22</v>
      </c>
      <c r="B1696" s="472"/>
      <c r="C1696" s="473">
        <v>2022</v>
      </c>
      <c r="D1696" s="474">
        <v>2023</v>
      </c>
      <c r="E1696" s="473"/>
      <c r="F1696" s="473"/>
      <c r="G1696" s="222"/>
      <c r="H1696" s="222"/>
      <c r="I1696" s="222"/>
      <c r="J1696" s="222"/>
    </row>
    <row r="1697" spans="1:53" x14ac:dyDescent="0.25">
      <c r="A1697" s="484" t="s">
        <v>715</v>
      </c>
      <c r="B1697" s="485"/>
      <c r="C1697" s="503"/>
      <c r="D1697" s="503"/>
      <c r="E1697" s="503"/>
      <c r="F1697" s="540"/>
      <c r="G1697" s="222"/>
      <c r="H1697" s="222"/>
      <c r="I1697" s="222"/>
      <c r="J1697" s="222"/>
    </row>
    <row r="1698" spans="1:53" x14ac:dyDescent="0.25">
      <c r="A1698" s="489" t="s">
        <v>929</v>
      </c>
      <c r="B1698" s="490"/>
      <c r="C1698" s="490"/>
      <c r="D1698" s="490"/>
      <c r="E1698" s="490"/>
      <c r="F1698" s="225"/>
      <c r="G1698" s="222"/>
      <c r="H1698" s="222"/>
      <c r="I1698" s="222"/>
      <c r="J1698" s="222"/>
    </row>
    <row r="1699" spans="1:53" x14ac:dyDescent="0.25">
      <c r="A1699" s="459"/>
      <c r="B1699" s="459"/>
      <c r="C1699" s="459"/>
      <c r="D1699" s="459"/>
      <c r="E1699" s="459"/>
      <c r="F1699" s="222"/>
      <c r="G1699" s="222"/>
      <c r="H1699" s="222"/>
      <c r="I1699" s="222"/>
      <c r="J1699" s="222"/>
    </row>
    <row r="1700" spans="1:53" x14ac:dyDescent="0.25">
      <c r="A1700" s="460" t="s">
        <v>14</v>
      </c>
      <c r="B1700" s="461" t="s">
        <v>664</v>
      </c>
      <c r="C1700" s="462" t="s">
        <v>15</v>
      </c>
      <c r="D1700" s="459"/>
      <c r="E1700" s="459"/>
      <c r="F1700" s="459"/>
      <c r="G1700" s="459"/>
      <c r="H1700" s="459"/>
      <c r="I1700" s="222"/>
      <c r="J1700" s="222"/>
    </row>
    <row r="1701" spans="1:53" x14ac:dyDescent="0.25">
      <c r="A1701" s="463" t="s">
        <v>16</v>
      </c>
      <c r="B1701" s="464"/>
      <c r="C1701" s="465">
        <v>2021</v>
      </c>
      <c r="D1701" s="466">
        <v>2022</v>
      </c>
      <c r="E1701" s="467">
        <v>2023</v>
      </c>
      <c r="F1701" s="467">
        <v>2024</v>
      </c>
      <c r="G1701" s="222"/>
      <c r="H1701" s="222"/>
      <c r="I1701" s="222"/>
      <c r="J1701" s="222"/>
    </row>
    <row r="1702" spans="1:53" x14ac:dyDescent="0.25">
      <c r="A1702" s="463" t="s">
        <v>17</v>
      </c>
      <c r="B1702" s="464"/>
      <c r="C1702" s="468">
        <v>5.31</v>
      </c>
      <c r="D1702" s="468">
        <v>6.18</v>
      </c>
      <c r="E1702" s="468">
        <v>6.18</v>
      </c>
      <c r="F1702" s="468">
        <v>6.18</v>
      </c>
      <c r="G1702" s="222"/>
      <c r="H1702" s="222"/>
      <c r="I1702" s="222"/>
      <c r="J1702" s="222"/>
    </row>
    <row r="1703" spans="1:53" x14ac:dyDescent="0.25">
      <c r="A1703" s="463" t="s">
        <v>18</v>
      </c>
      <c r="B1703" s="464"/>
      <c r="C1703" s="468">
        <v>10.62</v>
      </c>
      <c r="D1703" s="468">
        <f>D1702+C1702</f>
        <v>11.489999999999998</v>
      </c>
      <c r="E1703" s="469">
        <f>E1702+D1702</f>
        <v>12.36</v>
      </c>
      <c r="F1703" s="469"/>
      <c r="G1703" s="222"/>
      <c r="H1703" s="222"/>
      <c r="I1703" s="222"/>
      <c r="J1703" s="222"/>
    </row>
    <row r="1704" spans="1:53" x14ac:dyDescent="0.25">
      <c r="A1704" s="463" t="s">
        <v>19</v>
      </c>
      <c r="B1704" s="464"/>
      <c r="C1704" s="469"/>
      <c r="D1704" s="470" t="s">
        <v>930</v>
      </c>
      <c r="E1704" s="469" t="s">
        <v>931</v>
      </c>
      <c r="F1704" s="469" t="s">
        <v>932</v>
      </c>
      <c r="G1704" s="222"/>
      <c r="H1704" s="222"/>
      <c r="I1704" s="222"/>
      <c r="J1704" s="222"/>
    </row>
    <row r="1705" spans="1:53" x14ac:dyDescent="0.25">
      <c r="A1705" s="463" t="s">
        <v>20</v>
      </c>
      <c r="B1705" s="464"/>
      <c r="C1705" s="468">
        <v>0.71</v>
      </c>
      <c r="D1705" s="470">
        <v>0</v>
      </c>
      <c r="E1705" s="469"/>
      <c r="F1705" s="469"/>
      <c r="G1705" s="222"/>
      <c r="H1705" s="222"/>
      <c r="I1705" s="222"/>
      <c r="J1705" s="222"/>
    </row>
    <row r="1706" spans="1:53" x14ac:dyDescent="0.25">
      <c r="A1706" s="463" t="s">
        <v>21</v>
      </c>
      <c r="B1706" s="464"/>
      <c r="C1706" s="468">
        <f>C1703-C1705</f>
        <v>9.91</v>
      </c>
      <c r="D1706" s="468">
        <f>D1703-D1705</f>
        <v>11.489999999999998</v>
      </c>
      <c r="E1706" s="469"/>
      <c r="F1706" s="469"/>
      <c r="G1706" s="222"/>
      <c r="H1706" s="222"/>
      <c r="I1706" s="222"/>
      <c r="J1706" s="222"/>
    </row>
    <row r="1707" spans="1:53" x14ac:dyDescent="0.25">
      <c r="A1707" s="471" t="s">
        <v>22</v>
      </c>
      <c r="B1707" s="472"/>
      <c r="C1707" s="473">
        <v>2022</v>
      </c>
      <c r="D1707" s="474">
        <v>2023</v>
      </c>
      <c r="E1707" s="473">
        <v>2024</v>
      </c>
      <c r="F1707" s="473">
        <v>2025</v>
      </c>
      <c r="G1707" s="222"/>
      <c r="H1707" s="222"/>
      <c r="I1707" s="222"/>
      <c r="J1707" s="222"/>
    </row>
    <row r="1708" spans="1:53" x14ac:dyDescent="0.25">
      <c r="A1708" s="484" t="s">
        <v>716</v>
      </c>
      <c r="B1708" s="485"/>
      <c r="C1708" s="503"/>
      <c r="D1708" s="503"/>
      <c r="E1708" s="540"/>
      <c r="F1708" s="540"/>
      <c r="G1708" s="222"/>
      <c r="H1708" s="222"/>
      <c r="I1708" s="222"/>
      <c r="J1708" s="222"/>
    </row>
    <row r="1709" spans="1:53" x14ac:dyDescent="0.25">
      <c r="A1709" s="489" t="s">
        <v>933</v>
      </c>
      <c r="B1709" s="490"/>
      <c r="C1709" s="490"/>
      <c r="D1709" s="490"/>
      <c r="E1709" s="491"/>
      <c r="F1709" s="491"/>
      <c r="G1709" s="222"/>
      <c r="H1709" s="222"/>
      <c r="I1709" s="222"/>
      <c r="J1709" s="222"/>
    </row>
    <row r="1710" spans="1:53" x14ac:dyDescent="0.25">
      <c r="A1710" s="459"/>
      <c r="B1710" s="459"/>
      <c r="C1710" s="459"/>
      <c r="D1710" s="459"/>
      <c r="E1710" s="459"/>
      <c r="F1710" s="222"/>
      <c r="G1710" s="222"/>
      <c r="H1710" s="222"/>
      <c r="I1710" s="222"/>
      <c r="J1710" s="222"/>
    </row>
    <row r="1711" spans="1:53" x14ac:dyDescent="0.25">
      <c r="A1711" s="459"/>
      <c r="B1711" s="459"/>
      <c r="C1711" s="459"/>
      <c r="D1711" s="459"/>
      <c r="E1711" s="459"/>
      <c r="F1711" s="222"/>
      <c r="G1711" s="222"/>
      <c r="H1711" s="222"/>
      <c r="I1711" s="222"/>
      <c r="J1711" s="222"/>
      <c r="K1711" s="222"/>
      <c r="L1711" s="222"/>
      <c r="M1711" s="222"/>
      <c r="N1711" s="222"/>
      <c r="O1711" s="222"/>
      <c r="P1711" s="222"/>
      <c r="Q1711" s="222"/>
      <c r="R1711" s="222"/>
      <c r="S1711" s="222"/>
      <c r="T1711" s="222"/>
      <c r="U1711" s="222"/>
      <c r="V1711" s="222"/>
      <c r="W1711" s="222"/>
      <c r="X1711" s="222"/>
      <c r="Y1711" s="222"/>
      <c r="Z1711" s="222"/>
      <c r="AA1711" s="222"/>
      <c r="AB1711" s="222"/>
      <c r="AC1711" s="222"/>
      <c r="AD1711" s="222"/>
      <c r="AE1711" s="222"/>
      <c r="AF1711" s="222"/>
      <c r="AG1711" s="222"/>
      <c r="AH1711" s="222"/>
      <c r="AI1711" s="222"/>
      <c r="AJ1711" s="222"/>
      <c r="AK1711" s="222"/>
      <c r="AL1711" s="222"/>
      <c r="AM1711" s="222"/>
      <c r="AN1711" s="222"/>
      <c r="AO1711" s="222"/>
      <c r="AP1711" s="222"/>
      <c r="AQ1711" s="222"/>
      <c r="AR1711" s="222"/>
      <c r="AS1711" s="222"/>
      <c r="AT1711" s="222"/>
      <c r="AU1711" s="222"/>
      <c r="AV1711" s="222"/>
      <c r="AW1711" s="222"/>
      <c r="AX1711" s="222"/>
      <c r="AY1711" s="222"/>
      <c r="AZ1711" s="222"/>
      <c r="BA1711" s="222"/>
    </row>
    <row r="1712" spans="1:53" x14ac:dyDescent="0.25">
      <c r="A1712" s="559" t="s">
        <v>204</v>
      </c>
      <c r="B1712" s="553" t="s">
        <v>879</v>
      </c>
      <c r="C1712" s="222"/>
      <c r="D1712" s="222"/>
      <c r="E1712" s="222"/>
      <c r="F1712" s="222"/>
      <c r="G1712" s="222"/>
      <c r="H1712" s="222"/>
      <c r="I1712" s="222"/>
      <c r="J1712" s="222"/>
      <c r="K1712" s="222"/>
      <c r="L1712" s="222"/>
      <c r="M1712" s="222"/>
      <c r="N1712" s="222"/>
      <c r="O1712" s="222"/>
      <c r="P1712" s="222"/>
      <c r="Q1712" s="222"/>
      <c r="R1712" s="222"/>
      <c r="S1712" s="222"/>
      <c r="T1712" s="222"/>
      <c r="U1712" s="222"/>
      <c r="V1712" s="222"/>
      <c r="W1712" s="222"/>
      <c r="X1712" s="222"/>
      <c r="Y1712" s="222"/>
      <c r="Z1712" s="222"/>
      <c r="AA1712" s="222"/>
      <c r="AB1712" s="222"/>
      <c r="AC1712" s="222"/>
      <c r="AD1712" s="222"/>
      <c r="AE1712" s="222"/>
      <c r="AF1712" s="222"/>
      <c r="AG1712" s="222"/>
      <c r="AH1712" s="222"/>
      <c r="AI1712" s="222"/>
      <c r="AJ1712" s="222"/>
      <c r="AK1712" s="222"/>
      <c r="AL1712" s="222"/>
      <c r="AM1712" s="222"/>
      <c r="AN1712" s="222"/>
      <c r="AO1712" s="222"/>
      <c r="AP1712" s="222"/>
      <c r="AQ1712" s="222"/>
      <c r="AR1712" s="222"/>
      <c r="AS1712" s="222"/>
      <c r="AT1712" s="222"/>
      <c r="AU1712" s="222"/>
      <c r="AV1712" s="222"/>
      <c r="AW1712" s="222"/>
      <c r="AX1712" s="222"/>
      <c r="AY1712" s="222"/>
      <c r="AZ1712" s="222"/>
      <c r="BA1712" s="222"/>
    </row>
    <row r="1713" spans="1:53" x14ac:dyDescent="0.25">
      <c r="A1713" s="262" t="s">
        <v>203</v>
      </c>
      <c r="B1713" s="276" t="s">
        <v>657</v>
      </c>
      <c r="C1713" s="264" t="s">
        <v>15</v>
      </c>
      <c r="D1713" s="222"/>
      <c r="E1713" s="222"/>
      <c r="F1713" s="222"/>
      <c r="G1713" s="222"/>
      <c r="H1713" s="222"/>
      <c r="I1713" s="222"/>
      <c r="J1713" s="222"/>
      <c r="K1713" s="222"/>
      <c r="L1713" s="222"/>
      <c r="M1713" s="222"/>
      <c r="N1713" s="222"/>
      <c r="O1713" s="222"/>
      <c r="P1713" s="222"/>
      <c r="Q1713" s="222"/>
      <c r="R1713" s="222"/>
      <c r="S1713" s="222"/>
      <c r="T1713" s="222"/>
      <c r="U1713" s="222"/>
      <c r="V1713" s="222"/>
      <c r="W1713" s="222"/>
      <c r="X1713" s="222"/>
      <c r="Y1713" s="222"/>
      <c r="Z1713" s="222"/>
      <c r="AA1713" s="222"/>
      <c r="AB1713" s="222"/>
      <c r="AC1713" s="222"/>
      <c r="AD1713" s="222"/>
      <c r="AE1713" s="222"/>
      <c r="AF1713" s="222"/>
      <c r="AG1713" s="222"/>
      <c r="AH1713" s="222"/>
      <c r="AI1713" s="222"/>
      <c r="AJ1713" s="222"/>
      <c r="AK1713" s="222"/>
      <c r="AL1713" s="222"/>
      <c r="AM1713" s="222"/>
      <c r="AN1713" s="222"/>
      <c r="AO1713" s="222"/>
      <c r="AP1713" s="222"/>
      <c r="AQ1713" s="222"/>
      <c r="AR1713" s="222"/>
      <c r="AS1713" s="222"/>
      <c r="AT1713" s="222"/>
      <c r="AU1713" s="222"/>
      <c r="AV1713" s="222"/>
      <c r="AW1713" s="222"/>
      <c r="AX1713" s="222"/>
      <c r="AY1713" s="222"/>
      <c r="AZ1713" s="222"/>
      <c r="BA1713" s="222"/>
    </row>
    <row r="1714" spans="1:53" x14ac:dyDescent="0.25">
      <c r="A1714" s="227" t="s">
        <v>16</v>
      </c>
      <c r="B1714" s="227"/>
      <c r="C1714" s="227"/>
      <c r="D1714" s="213">
        <v>2022</v>
      </c>
      <c r="E1714" s="213">
        <v>2023</v>
      </c>
      <c r="F1714" s="352"/>
      <c r="G1714" s="222"/>
      <c r="H1714" s="222"/>
      <c r="I1714" s="222"/>
      <c r="J1714" s="222"/>
      <c r="K1714" s="222"/>
      <c r="L1714" s="222"/>
      <c r="M1714" s="222"/>
      <c r="N1714" s="222"/>
      <c r="O1714" s="222"/>
      <c r="P1714" s="222"/>
      <c r="Q1714" s="222"/>
      <c r="R1714" s="222"/>
      <c r="S1714" s="222"/>
      <c r="T1714" s="222"/>
      <c r="U1714" s="222"/>
      <c r="V1714" s="222"/>
      <c r="W1714" s="222"/>
      <c r="X1714" s="222"/>
      <c r="Y1714" s="222"/>
      <c r="Z1714" s="222"/>
      <c r="AA1714" s="222"/>
      <c r="AB1714" s="222"/>
      <c r="AC1714" s="222"/>
      <c r="AD1714" s="222"/>
      <c r="AE1714" s="222"/>
      <c r="AF1714" s="222"/>
      <c r="AG1714" s="222"/>
      <c r="AH1714" s="222"/>
      <c r="AI1714" s="222"/>
      <c r="AJ1714" s="222"/>
      <c r="AK1714" s="222"/>
      <c r="AL1714" s="222"/>
      <c r="AM1714" s="222"/>
      <c r="AN1714" s="222"/>
      <c r="AO1714" s="222"/>
      <c r="AP1714" s="222"/>
      <c r="AQ1714" s="222"/>
      <c r="AR1714" s="222"/>
      <c r="AS1714" s="222"/>
      <c r="AT1714" s="222"/>
      <c r="AU1714" s="222"/>
      <c r="AV1714" s="222"/>
      <c r="AW1714" s="222"/>
      <c r="AX1714" s="222"/>
      <c r="AY1714" s="222"/>
      <c r="AZ1714" s="222"/>
      <c r="BA1714" s="222"/>
    </row>
    <row r="1715" spans="1:53" x14ac:dyDescent="0.25">
      <c r="A1715" s="227" t="s">
        <v>17</v>
      </c>
      <c r="B1715" s="216"/>
      <c r="C1715" s="216"/>
      <c r="D1715" s="216">
        <v>440</v>
      </c>
      <c r="E1715" s="216">
        <v>530</v>
      </c>
      <c r="F1715" s="398"/>
      <c r="G1715" s="222"/>
      <c r="H1715" s="222"/>
      <c r="I1715" s="222"/>
      <c r="J1715" s="222"/>
      <c r="K1715" s="222"/>
      <c r="L1715" s="222"/>
      <c r="M1715" s="222"/>
      <c r="N1715" s="222"/>
      <c r="O1715" s="222"/>
      <c r="P1715" s="222"/>
      <c r="Q1715" s="222"/>
      <c r="R1715" s="222"/>
      <c r="S1715" s="222"/>
      <c r="T1715" s="222"/>
      <c r="U1715" s="222"/>
      <c r="V1715" s="222"/>
      <c r="W1715" s="222"/>
      <c r="X1715" s="222"/>
      <c r="Y1715" s="222"/>
      <c r="Z1715" s="222"/>
      <c r="AA1715" s="222"/>
      <c r="AB1715" s="222"/>
      <c r="AC1715" s="222"/>
      <c r="AD1715" s="222"/>
      <c r="AE1715" s="222"/>
      <c r="AF1715" s="222"/>
      <c r="AG1715" s="222"/>
      <c r="AH1715" s="222"/>
      <c r="AI1715" s="222"/>
      <c r="AJ1715" s="222"/>
      <c r="AK1715" s="222"/>
      <c r="AL1715" s="222"/>
      <c r="AM1715" s="222"/>
      <c r="AN1715" s="222"/>
      <c r="AO1715" s="222"/>
      <c r="AP1715" s="222"/>
      <c r="AQ1715" s="222"/>
      <c r="AR1715" s="222"/>
      <c r="AS1715" s="222"/>
      <c r="AT1715" s="222"/>
      <c r="AU1715" s="222"/>
      <c r="AV1715" s="222"/>
      <c r="AW1715" s="222"/>
      <c r="AX1715" s="222"/>
      <c r="AY1715" s="222"/>
      <c r="AZ1715" s="222"/>
      <c r="BA1715" s="222"/>
    </row>
    <row r="1716" spans="1:53" x14ac:dyDescent="0.25">
      <c r="A1716" s="227" t="s">
        <v>18</v>
      </c>
      <c r="B1716" s="216"/>
      <c r="C1716" s="216"/>
      <c r="D1716" s="216">
        <f>D1715+0.25*440-26.47</f>
        <v>523.53</v>
      </c>
      <c r="E1716" s="216">
        <f>E1715+0.25*440-100</f>
        <v>540</v>
      </c>
      <c r="F1716" s="398"/>
      <c r="G1716" s="222"/>
      <c r="H1716" s="222"/>
      <c r="I1716" s="222"/>
      <c r="J1716" s="222"/>
      <c r="K1716" s="222"/>
      <c r="L1716" s="222"/>
      <c r="M1716" s="222"/>
      <c r="N1716" s="222"/>
      <c r="O1716" s="222"/>
      <c r="P1716" s="222"/>
      <c r="Q1716" s="222"/>
      <c r="R1716" s="222"/>
      <c r="S1716" s="222"/>
      <c r="T1716" s="222"/>
      <c r="U1716" s="222"/>
      <c r="V1716" s="222"/>
      <c r="W1716" s="222"/>
      <c r="X1716" s="222"/>
      <c r="Y1716" s="222"/>
      <c r="Z1716" s="222"/>
      <c r="AA1716" s="222"/>
      <c r="AB1716" s="222"/>
      <c r="AC1716" s="222"/>
      <c r="AD1716" s="222"/>
      <c r="AE1716" s="222"/>
      <c r="AF1716" s="222"/>
      <c r="AG1716" s="222"/>
      <c r="AH1716" s="222"/>
      <c r="AI1716" s="222"/>
      <c r="AJ1716" s="222"/>
      <c r="AK1716" s="222"/>
      <c r="AL1716" s="222"/>
      <c r="AM1716" s="222"/>
      <c r="AN1716" s="222"/>
      <c r="AO1716" s="222"/>
      <c r="AP1716" s="222"/>
      <c r="AQ1716" s="222"/>
      <c r="AR1716" s="222"/>
      <c r="AS1716" s="222"/>
      <c r="AT1716" s="222"/>
      <c r="AU1716" s="222"/>
      <c r="AV1716" s="222"/>
      <c r="AW1716" s="222"/>
      <c r="AX1716" s="222"/>
      <c r="AY1716" s="222"/>
      <c r="AZ1716" s="222"/>
      <c r="BA1716" s="222"/>
    </row>
    <row r="1717" spans="1:53" x14ac:dyDescent="0.25">
      <c r="A1717" s="265" t="s">
        <v>19</v>
      </c>
      <c r="B1717" s="375"/>
      <c r="C1717" s="216"/>
      <c r="D1717" s="216"/>
      <c r="E1717" s="216"/>
      <c r="F1717" s="398"/>
      <c r="G1717" s="222"/>
      <c r="H1717" s="222"/>
      <c r="I1717" s="222"/>
      <c r="J1717" s="222"/>
      <c r="K1717" s="222"/>
      <c r="L1717" s="222"/>
      <c r="M1717" s="222"/>
      <c r="N1717" s="222"/>
      <c r="O1717" s="222"/>
      <c r="P1717" s="222"/>
      <c r="Q1717" s="222"/>
      <c r="R1717" s="222"/>
      <c r="S1717" s="222"/>
      <c r="T1717" s="222"/>
      <c r="U1717" s="222"/>
      <c r="V1717" s="222"/>
      <c r="W1717" s="222"/>
      <c r="X1717" s="222"/>
      <c r="Y1717" s="222"/>
      <c r="Z1717" s="222"/>
      <c r="AA1717" s="222"/>
      <c r="AB1717" s="222"/>
      <c r="AC1717" s="222"/>
      <c r="AD1717" s="222"/>
      <c r="AE1717" s="222"/>
      <c r="AF1717" s="222"/>
      <c r="AG1717" s="222"/>
      <c r="AH1717" s="222"/>
      <c r="AI1717" s="222"/>
      <c r="AJ1717" s="222"/>
      <c r="AK1717" s="222"/>
      <c r="AL1717" s="222"/>
      <c r="AM1717" s="222"/>
      <c r="AN1717" s="222"/>
      <c r="AO1717" s="222"/>
      <c r="AP1717" s="222"/>
      <c r="AQ1717" s="222"/>
      <c r="AR1717" s="222"/>
      <c r="AS1717" s="222"/>
      <c r="AT1717" s="222"/>
      <c r="AU1717" s="222"/>
      <c r="AV1717" s="222"/>
      <c r="AW1717" s="222"/>
      <c r="AX1717" s="222"/>
      <c r="AY1717" s="222"/>
      <c r="AZ1717" s="222"/>
      <c r="BA1717" s="222"/>
    </row>
    <row r="1718" spans="1:53" x14ac:dyDescent="0.25">
      <c r="A1718" s="265" t="s">
        <v>20</v>
      </c>
      <c r="B1718" s="216"/>
      <c r="C1718" s="216"/>
      <c r="D1718" s="216">
        <v>0</v>
      </c>
      <c r="E1718" s="216"/>
      <c r="F1718" s="398"/>
      <c r="G1718" s="222"/>
      <c r="H1718" s="222"/>
      <c r="I1718" s="222"/>
      <c r="J1718" s="222"/>
      <c r="K1718" s="222"/>
      <c r="L1718" s="222"/>
      <c r="M1718" s="222"/>
      <c r="N1718" s="222"/>
      <c r="O1718" s="222"/>
      <c r="P1718" s="222"/>
      <c r="Q1718" s="222"/>
      <c r="R1718" s="222"/>
      <c r="S1718" s="222"/>
      <c r="T1718" s="222"/>
      <c r="U1718" s="222"/>
      <c r="V1718" s="222"/>
      <c r="W1718" s="222"/>
      <c r="X1718" s="222"/>
      <c r="Y1718" s="222"/>
      <c r="Z1718" s="222"/>
      <c r="AA1718" s="222"/>
      <c r="AB1718" s="222"/>
      <c r="AC1718" s="222"/>
      <c r="AD1718" s="222"/>
      <c r="AE1718" s="222"/>
      <c r="AF1718" s="222"/>
      <c r="AG1718" s="222"/>
      <c r="AH1718" s="222"/>
      <c r="AI1718" s="222"/>
      <c r="AJ1718" s="222"/>
      <c r="AK1718" s="222"/>
      <c r="AL1718" s="222"/>
      <c r="AM1718" s="222"/>
      <c r="AN1718" s="222"/>
      <c r="AO1718" s="222"/>
      <c r="AP1718" s="222"/>
      <c r="AQ1718" s="222"/>
      <c r="AR1718" s="222"/>
      <c r="AS1718" s="222"/>
      <c r="AT1718" s="222"/>
      <c r="AU1718" s="222"/>
      <c r="AV1718" s="222"/>
      <c r="AW1718" s="222"/>
      <c r="AX1718" s="222"/>
      <c r="AY1718" s="222"/>
      <c r="AZ1718" s="222"/>
      <c r="BA1718" s="222"/>
    </row>
    <row r="1719" spans="1:53" x14ac:dyDescent="0.25">
      <c r="A1719" s="265" t="s">
        <v>21</v>
      </c>
      <c r="B1719" s="216"/>
      <c r="C1719" s="216"/>
      <c r="D1719" s="216">
        <f>D1716-D1718</f>
        <v>523.53</v>
      </c>
      <c r="E1719" s="216"/>
      <c r="F1719" s="398"/>
      <c r="G1719" s="222"/>
      <c r="H1719" s="222"/>
      <c r="I1719" s="222"/>
      <c r="J1719" s="222"/>
      <c r="K1719" s="222"/>
      <c r="L1719" s="222"/>
      <c r="M1719" s="222"/>
      <c r="N1719" s="222"/>
      <c r="O1719" s="222"/>
      <c r="P1719" s="222"/>
      <c r="Q1719" s="222"/>
      <c r="R1719" s="222"/>
      <c r="S1719" s="222"/>
      <c r="T1719" s="222"/>
      <c r="U1719" s="222"/>
      <c r="V1719" s="222"/>
      <c r="W1719" s="222"/>
      <c r="X1719" s="222"/>
      <c r="Y1719" s="222"/>
      <c r="Z1719" s="222"/>
      <c r="AA1719" s="222"/>
      <c r="AB1719" s="222"/>
      <c r="AC1719" s="222"/>
      <c r="AD1719" s="222"/>
      <c r="AE1719" s="222"/>
      <c r="AF1719" s="222"/>
      <c r="AG1719" s="222"/>
      <c r="AH1719" s="222"/>
      <c r="AI1719" s="222"/>
      <c r="AJ1719" s="222"/>
      <c r="AK1719" s="222"/>
      <c r="AL1719" s="222"/>
      <c r="AM1719" s="222"/>
      <c r="AN1719" s="222"/>
      <c r="AO1719" s="222"/>
      <c r="AP1719" s="222"/>
      <c r="AQ1719" s="222"/>
      <c r="AR1719" s="222"/>
      <c r="AS1719" s="222"/>
      <c r="AT1719" s="222"/>
      <c r="AU1719" s="222"/>
      <c r="AV1719" s="222"/>
      <c r="AW1719" s="222"/>
      <c r="AX1719" s="222"/>
      <c r="AY1719" s="222"/>
      <c r="AZ1719" s="222"/>
      <c r="BA1719" s="222"/>
    </row>
    <row r="1720" spans="1:53" x14ac:dyDescent="0.25">
      <c r="A1720" s="219" t="s">
        <v>22</v>
      </c>
      <c r="B1720" s="228"/>
      <c r="C1720" s="228"/>
      <c r="D1720" s="245">
        <v>2024</v>
      </c>
      <c r="E1720" s="245">
        <v>2025</v>
      </c>
      <c r="F1720" s="440"/>
      <c r="G1720" s="222"/>
      <c r="H1720" s="222"/>
      <c r="I1720" s="222"/>
      <c r="J1720" s="222"/>
      <c r="K1720" s="222"/>
      <c r="L1720" s="222"/>
      <c r="M1720" s="222"/>
      <c r="N1720" s="222"/>
      <c r="O1720" s="222"/>
      <c r="P1720" s="222"/>
      <c r="Q1720" s="222"/>
      <c r="R1720" s="222"/>
      <c r="S1720" s="222"/>
      <c r="T1720" s="222"/>
      <c r="U1720" s="222"/>
      <c r="V1720" s="222"/>
      <c r="W1720" s="222"/>
      <c r="X1720" s="222"/>
      <c r="Y1720" s="222"/>
      <c r="Z1720" s="222"/>
      <c r="AA1720" s="222"/>
      <c r="AB1720" s="222"/>
      <c r="AC1720" s="222"/>
      <c r="AD1720" s="222"/>
      <c r="AE1720" s="222"/>
      <c r="AF1720" s="222"/>
      <c r="AG1720" s="222"/>
      <c r="AH1720" s="222"/>
      <c r="AI1720" s="222"/>
      <c r="AJ1720" s="222"/>
      <c r="AK1720" s="222"/>
      <c r="AL1720" s="222"/>
      <c r="AM1720" s="222"/>
      <c r="AN1720" s="222"/>
      <c r="AO1720" s="222"/>
      <c r="AP1720" s="222"/>
      <c r="AQ1720" s="222"/>
      <c r="AR1720" s="222"/>
      <c r="AS1720" s="222"/>
      <c r="AT1720" s="222"/>
      <c r="AU1720" s="222"/>
      <c r="AV1720" s="222"/>
      <c r="AW1720" s="222"/>
      <c r="AX1720" s="222"/>
      <c r="AY1720" s="222"/>
      <c r="AZ1720" s="222"/>
      <c r="BA1720" s="222"/>
    </row>
    <row r="1721" spans="1:53" x14ac:dyDescent="0.25">
      <c r="A1721" s="219" t="s">
        <v>23</v>
      </c>
      <c r="B1721" s="220"/>
      <c r="C1721" s="220"/>
      <c r="D1721" s="282"/>
      <c r="E1721" s="246"/>
      <c r="F1721" s="440"/>
      <c r="G1721" s="222"/>
      <c r="H1721" s="222"/>
      <c r="I1721" s="222"/>
      <c r="J1721" s="222"/>
      <c r="K1721" s="222"/>
      <c r="L1721" s="222"/>
      <c r="M1721" s="222"/>
      <c r="N1721" s="222"/>
      <c r="O1721" s="222"/>
      <c r="P1721" s="222"/>
      <c r="Q1721" s="222"/>
      <c r="R1721" s="222"/>
      <c r="S1721" s="222"/>
      <c r="T1721" s="222"/>
      <c r="U1721" s="222"/>
      <c r="V1721" s="222"/>
      <c r="W1721" s="222"/>
      <c r="X1721" s="222"/>
      <c r="Y1721" s="222"/>
      <c r="Z1721" s="222"/>
      <c r="AA1721" s="222"/>
      <c r="AB1721" s="222"/>
      <c r="AC1721" s="222"/>
      <c r="AD1721" s="222"/>
      <c r="AE1721" s="222"/>
      <c r="AF1721" s="222"/>
      <c r="AG1721" s="222"/>
      <c r="AH1721" s="222"/>
      <c r="AI1721" s="222"/>
      <c r="AJ1721" s="222"/>
      <c r="AK1721" s="222"/>
      <c r="AL1721" s="222"/>
      <c r="AM1721" s="222"/>
      <c r="AN1721" s="222"/>
      <c r="AO1721" s="222"/>
      <c r="AP1721" s="222"/>
      <c r="AQ1721" s="222"/>
      <c r="AR1721" s="222"/>
      <c r="AS1721" s="222"/>
      <c r="AT1721" s="222"/>
      <c r="AU1721" s="222"/>
      <c r="AV1721" s="222"/>
      <c r="AW1721" s="222"/>
      <c r="AX1721" s="222"/>
      <c r="AY1721" s="222"/>
      <c r="AZ1721" s="222"/>
      <c r="BA1721" s="222"/>
    </row>
    <row r="1722" spans="1:53" x14ac:dyDescent="0.25">
      <c r="A1722" s="221" t="s">
        <v>880</v>
      </c>
      <c r="B1722" s="222"/>
      <c r="C1722" s="222"/>
      <c r="D1722" s="440"/>
      <c r="E1722" s="441"/>
      <c r="F1722" s="440"/>
      <c r="G1722" s="222"/>
      <c r="H1722" s="222"/>
      <c r="I1722" s="222"/>
      <c r="J1722" s="222"/>
      <c r="K1722" s="222"/>
      <c r="L1722" s="222"/>
      <c r="M1722" s="222"/>
      <c r="N1722" s="222"/>
      <c r="O1722" s="222"/>
      <c r="P1722" s="222"/>
      <c r="Q1722" s="222"/>
      <c r="R1722" s="222"/>
      <c r="S1722" s="222"/>
      <c r="T1722" s="222"/>
      <c r="U1722" s="222"/>
      <c r="V1722" s="222"/>
      <c r="W1722" s="222"/>
      <c r="X1722" s="222"/>
      <c r="Y1722" s="222"/>
      <c r="Z1722" s="222"/>
      <c r="AA1722" s="222"/>
      <c r="AB1722" s="222"/>
      <c r="AC1722" s="222"/>
      <c r="AD1722" s="222"/>
      <c r="AE1722" s="222"/>
      <c r="AF1722" s="222"/>
      <c r="AG1722" s="222"/>
      <c r="AH1722" s="222"/>
      <c r="AI1722" s="222"/>
      <c r="AJ1722" s="222"/>
      <c r="AK1722" s="222"/>
      <c r="AL1722" s="222"/>
      <c r="AM1722" s="222"/>
      <c r="AN1722" s="222"/>
      <c r="AO1722" s="222"/>
      <c r="AP1722" s="222"/>
      <c r="AQ1722" s="222"/>
      <c r="AR1722" s="222"/>
      <c r="AS1722" s="222"/>
      <c r="AT1722" s="222"/>
      <c r="AU1722" s="222"/>
      <c r="AV1722" s="222"/>
      <c r="AW1722" s="222"/>
      <c r="AX1722" s="222"/>
      <c r="AY1722" s="222"/>
      <c r="AZ1722" s="222"/>
      <c r="BA1722" s="222"/>
    </row>
    <row r="1723" spans="1:53" x14ac:dyDescent="0.25">
      <c r="A1723" s="212" t="s">
        <v>882</v>
      </c>
      <c r="B1723" s="224"/>
      <c r="C1723" s="224"/>
      <c r="D1723" s="224"/>
      <c r="E1723" s="225"/>
      <c r="F1723" s="222"/>
      <c r="G1723" s="222"/>
      <c r="H1723" s="222"/>
      <c r="I1723" s="222"/>
      <c r="J1723" s="222"/>
      <c r="K1723" s="222"/>
      <c r="L1723" s="222"/>
      <c r="M1723" s="222"/>
      <c r="N1723" s="222"/>
      <c r="O1723" s="222"/>
      <c r="P1723" s="222"/>
      <c r="Q1723" s="222"/>
      <c r="R1723" s="222"/>
      <c r="S1723" s="222"/>
      <c r="T1723" s="222"/>
      <c r="U1723" s="222"/>
      <c r="V1723" s="222"/>
      <c r="W1723" s="222"/>
      <c r="X1723" s="222"/>
      <c r="Y1723" s="222"/>
      <c r="Z1723" s="222"/>
      <c r="AA1723" s="222"/>
      <c r="AB1723" s="222"/>
      <c r="AC1723" s="222"/>
      <c r="AD1723" s="222"/>
      <c r="AE1723" s="222"/>
      <c r="AF1723" s="222"/>
      <c r="AG1723" s="222"/>
      <c r="AH1723" s="222"/>
      <c r="AI1723" s="222"/>
      <c r="AJ1723" s="222"/>
      <c r="AK1723" s="222"/>
      <c r="AL1723" s="222"/>
      <c r="AM1723" s="222"/>
      <c r="AN1723" s="222"/>
      <c r="AO1723" s="222"/>
      <c r="AP1723" s="222"/>
      <c r="AQ1723" s="222"/>
      <c r="AR1723" s="222"/>
      <c r="AS1723" s="222"/>
      <c r="AT1723" s="222"/>
      <c r="AU1723" s="222"/>
      <c r="AV1723" s="222"/>
      <c r="AW1723" s="222"/>
      <c r="AX1723" s="222"/>
      <c r="AY1723" s="222"/>
      <c r="AZ1723" s="222"/>
      <c r="BA1723" s="222"/>
    </row>
    <row r="1724" spans="1:53" x14ac:dyDescent="0.25">
      <c r="A1724" s="222"/>
      <c r="B1724" s="222"/>
      <c r="C1724" s="222"/>
      <c r="D1724" s="222"/>
      <c r="E1724" s="222"/>
      <c r="F1724" s="222"/>
      <c r="G1724" s="222"/>
      <c r="H1724" s="222"/>
      <c r="I1724" s="222"/>
      <c r="J1724" s="222"/>
      <c r="K1724" s="222"/>
      <c r="L1724" s="222"/>
      <c r="M1724" s="222"/>
      <c r="N1724" s="222"/>
      <c r="O1724" s="222"/>
      <c r="P1724" s="222"/>
      <c r="Q1724" s="222"/>
      <c r="R1724" s="222"/>
      <c r="S1724" s="222"/>
      <c r="T1724" s="222"/>
      <c r="U1724" s="222"/>
      <c r="V1724" s="222"/>
      <c r="W1724" s="222"/>
      <c r="X1724" s="222"/>
      <c r="Y1724" s="222"/>
      <c r="Z1724" s="222"/>
      <c r="AA1724" s="222"/>
      <c r="AB1724" s="222"/>
      <c r="AC1724" s="222"/>
      <c r="AD1724" s="222"/>
      <c r="AE1724" s="222"/>
      <c r="AF1724" s="222"/>
      <c r="AG1724" s="222"/>
      <c r="AH1724" s="222"/>
      <c r="AI1724" s="222"/>
      <c r="AJ1724" s="222"/>
      <c r="AK1724" s="222"/>
      <c r="AL1724" s="222"/>
      <c r="AM1724" s="222"/>
      <c r="AN1724" s="222"/>
      <c r="AO1724" s="222"/>
      <c r="AP1724" s="222"/>
      <c r="AQ1724" s="222"/>
      <c r="AR1724" s="222"/>
      <c r="AS1724" s="222"/>
      <c r="AT1724" s="222"/>
      <c r="AU1724" s="222"/>
      <c r="AV1724" s="222"/>
      <c r="AW1724" s="222"/>
      <c r="AX1724" s="222"/>
      <c r="AY1724" s="222"/>
      <c r="AZ1724" s="222"/>
      <c r="BA1724" s="222"/>
    </row>
    <row r="1725" spans="1:53" x14ac:dyDescent="0.25">
      <c r="A1725" s="222"/>
      <c r="B1725" s="222"/>
      <c r="C1725" s="222"/>
      <c r="D1725" s="222"/>
      <c r="E1725" s="222"/>
      <c r="F1725" s="222"/>
      <c r="G1725" s="222"/>
      <c r="H1725" s="222"/>
      <c r="I1725" s="222"/>
      <c r="J1725" s="222"/>
      <c r="K1725" s="222"/>
      <c r="L1725" s="222"/>
      <c r="M1725" s="222"/>
      <c r="N1725" s="222"/>
      <c r="O1725" s="222"/>
      <c r="P1725" s="222"/>
      <c r="Q1725" s="222"/>
      <c r="R1725" s="222"/>
      <c r="S1725" s="222"/>
      <c r="T1725" s="222"/>
      <c r="U1725" s="222"/>
      <c r="V1725" s="222"/>
      <c r="W1725" s="222"/>
      <c r="X1725" s="222"/>
      <c r="Y1725" s="222"/>
      <c r="Z1725" s="222"/>
      <c r="AA1725" s="222"/>
      <c r="AB1725" s="222"/>
      <c r="AC1725" s="222"/>
      <c r="AD1725" s="222"/>
      <c r="AE1725" s="222"/>
      <c r="AF1725" s="222"/>
      <c r="AG1725" s="222"/>
      <c r="AH1725" s="222"/>
      <c r="AI1725" s="222"/>
      <c r="AJ1725" s="222"/>
      <c r="AK1725" s="222"/>
      <c r="AL1725" s="222"/>
      <c r="AM1725" s="222"/>
      <c r="AN1725" s="222"/>
      <c r="AO1725" s="222"/>
      <c r="AP1725" s="222"/>
      <c r="AQ1725" s="222"/>
      <c r="AR1725" s="222"/>
      <c r="AS1725" s="222"/>
      <c r="AT1725" s="222"/>
      <c r="AU1725" s="222"/>
      <c r="AV1725" s="222"/>
      <c r="AW1725" s="222"/>
      <c r="AX1725" s="222"/>
      <c r="AY1725" s="222"/>
      <c r="AZ1725" s="222"/>
      <c r="BA1725" s="222"/>
    </row>
    <row r="1726" spans="1:53" x14ac:dyDescent="0.25">
      <c r="A1726" s="458" t="s">
        <v>12</v>
      </c>
      <c r="B1726" s="556" t="s">
        <v>114</v>
      </c>
      <c r="C1726" s="222"/>
      <c r="D1726" s="459"/>
      <c r="E1726" s="459"/>
      <c r="F1726" s="459"/>
      <c r="G1726" s="459"/>
      <c r="H1726" s="459"/>
      <c r="I1726" s="222"/>
      <c r="J1726" s="222"/>
      <c r="K1726" s="222"/>
      <c r="L1726" s="222"/>
      <c r="M1726" s="222"/>
      <c r="N1726" s="222"/>
      <c r="O1726" s="222"/>
      <c r="P1726" s="222"/>
      <c r="Q1726" s="222"/>
      <c r="R1726" s="222"/>
      <c r="S1726" s="222"/>
      <c r="T1726" s="222"/>
      <c r="U1726" s="222"/>
      <c r="V1726" s="222"/>
      <c r="W1726" s="222"/>
      <c r="X1726" s="222"/>
      <c r="Y1726" s="222"/>
      <c r="Z1726" s="222"/>
      <c r="AA1726" s="222"/>
      <c r="AB1726" s="222"/>
      <c r="AC1726" s="222"/>
      <c r="AD1726" s="222"/>
      <c r="AE1726" s="222"/>
      <c r="AF1726" s="222"/>
      <c r="AG1726" s="222"/>
      <c r="AH1726" s="222"/>
      <c r="AI1726" s="222"/>
      <c r="AJ1726" s="222"/>
      <c r="AK1726" s="222"/>
      <c r="AL1726" s="222"/>
      <c r="AM1726" s="222"/>
      <c r="AN1726" s="222"/>
      <c r="AO1726" s="222"/>
      <c r="AP1726" s="222"/>
      <c r="AQ1726" s="222"/>
      <c r="AR1726" s="222"/>
      <c r="AS1726" s="222"/>
      <c r="AT1726" s="222"/>
      <c r="AU1726" s="222"/>
      <c r="AV1726" s="222"/>
      <c r="AW1726" s="222"/>
      <c r="AX1726" s="222"/>
      <c r="AY1726" s="222"/>
      <c r="AZ1726" s="222"/>
      <c r="BA1726" s="222"/>
    </row>
    <row r="1727" spans="1:53" x14ac:dyDescent="0.25">
      <c r="A1727" s="460" t="s">
        <v>14</v>
      </c>
      <c r="B1727" s="461" t="s">
        <v>638</v>
      </c>
      <c r="C1727" s="462" t="s">
        <v>15</v>
      </c>
      <c r="D1727" s="459"/>
      <c r="E1727" s="459"/>
      <c r="F1727" s="459"/>
      <c r="G1727" s="459"/>
      <c r="H1727" s="459"/>
      <c r="I1727" s="222"/>
      <c r="J1727" s="222"/>
      <c r="K1727" s="222"/>
      <c r="L1727" s="222"/>
      <c r="M1727" s="222"/>
      <c r="N1727" s="222"/>
      <c r="O1727" s="222"/>
      <c r="P1727" s="222"/>
      <c r="Q1727" s="222"/>
      <c r="R1727" s="222"/>
      <c r="S1727" s="222"/>
      <c r="T1727" s="222"/>
      <c r="U1727" s="222"/>
      <c r="V1727" s="222"/>
      <c r="W1727" s="222"/>
      <c r="X1727" s="222"/>
      <c r="Y1727" s="222"/>
      <c r="Z1727" s="222"/>
      <c r="AA1727" s="222"/>
      <c r="AB1727" s="222"/>
      <c r="AC1727" s="222"/>
      <c r="AD1727" s="222"/>
      <c r="AE1727" s="222"/>
      <c r="AF1727" s="222"/>
      <c r="AG1727" s="222"/>
      <c r="AH1727" s="222"/>
      <c r="AI1727" s="222"/>
      <c r="AJ1727" s="222"/>
      <c r="AK1727" s="222"/>
      <c r="AL1727" s="222"/>
      <c r="AM1727" s="222"/>
      <c r="AN1727" s="222"/>
      <c r="AO1727" s="222"/>
      <c r="AP1727" s="222"/>
      <c r="AQ1727" s="222"/>
      <c r="AR1727" s="222"/>
      <c r="AS1727" s="222"/>
      <c r="AT1727" s="222"/>
      <c r="AU1727" s="222"/>
      <c r="AV1727" s="222"/>
      <c r="AW1727" s="222"/>
      <c r="AX1727" s="222"/>
      <c r="AY1727" s="222"/>
      <c r="AZ1727" s="222"/>
      <c r="BA1727" s="222"/>
    </row>
    <row r="1728" spans="1:53" x14ac:dyDescent="0.25">
      <c r="A1728" s="463" t="s">
        <v>16</v>
      </c>
      <c r="B1728" s="464"/>
      <c r="C1728" s="465">
        <v>2016</v>
      </c>
      <c r="D1728" s="466">
        <v>2017</v>
      </c>
      <c r="E1728" s="467">
        <v>2018</v>
      </c>
      <c r="F1728" s="479">
        <v>2019</v>
      </c>
      <c r="G1728" s="480">
        <v>2020</v>
      </c>
      <c r="H1728" s="480">
        <v>2021</v>
      </c>
      <c r="I1728" s="480">
        <v>2022</v>
      </c>
      <c r="J1728" s="480">
        <v>2023</v>
      </c>
      <c r="K1728" s="222"/>
      <c r="L1728" s="222"/>
      <c r="M1728" s="222"/>
      <c r="N1728" s="222"/>
      <c r="O1728" s="222"/>
      <c r="P1728" s="222"/>
      <c r="Q1728" s="222"/>
      <c r="R1728" s="222"/>
      <c r="S1728" s="222"/>
      <c r="T1728" s="222"/>
      <c r="U1728" s="222"/>
      <c r="V1728" s="222"/>
      <c r="W1728" s="222"/>
      <c r="X1728" s="222"/>
      <c r="Y1728" s="222"/>
      <c r="Z1728" s="222"/>
      <c r="AA1728" s="222"/>
      <c r="AB1728" s="222"/>
      <c r="AC1728" s="222"/>
      <c r="AD1728" s="222"/>
      <c r="AE1728" s="222"/>
      <c r="AF1728" s="222"/>
      <c r="AG1728" s="222"/>
      <c r="AH1728" s="222"/>
      <c r="AI1728" s="222"/>
      <c r="AJ1728" s="222"/>
      <c r="AK1728" s="222"/>
      <c r="AL1728" s="222"/>
      <c r="AM1728" s="222"/>
      <c r="AN1728" s="222"/>
      <c r="AO1728" s="222"/>
      <c r="AP1728" s="222"/>
      <c r="AQ1728" s="222"/>
      <c r="AR1728" s="222"/>
      <c r="AS1728" s="222"/>
      <c r="AT1728" s="222"/>
      <c r="AU1728" s="222"/>
      <c r="AV1728" s="222"/>
      <c r="AW1728" s="222"/>
      <c r="AX1728" s="222"/>
      <c r="AY1728" s="222"/>
      <c r="AZ1728" s="222"/>
      <c r="BA1728" s="222"/>
    </row>
    <row r="1729" spans="1:53" x14ac:dyDescent="0.25">
      <c r="A1729" s="463" t="s">
        <v>17</v>
      </c>
      <c r="B1729" s="464"/>
      <c r="C1729" s="468">
        <v>527</v>
      </c>
      <c r="D1729" s="468">
        <v>527</v>
      </c>
      <c r="E1729" s="469">
        <v>632.4</v>
      </c>
      <c r="F1729" s="481">
        <v>632.4</v>
      </c>
      <c r="G1729" s="242">
        <v>632.4</v>
      </c>
      <c r="H1729" s="242">
        <v>711.5</v>
      </c>
      <c r="I1729" s="242">
        <v>711.5</v>
      </c>
      <c r="J1729" s="242">
        <v>711.5</v>
      </c>
      <c r="K1729" s="222"/>
      <c r="L1729" s="222"/>
      <c r="M1729" s="222"/>
      <c r="N1729" s="222"/>
      <c r="O1729" s="222"/>
      <c r="P1729" s="222"/>
      <c r="Q1729" s="222"/>
      <c r="R1729" s="222"/>
      <c r="S1729" s="222"/>
      <c r="T1729" s="222"/>
      <c r="U1729" s="222"/>
      <c r="V1729" s="222"/>
      <c r="W1729" s="222"/>
      <c r="X1729" s="222"/>
      <c r="Y1729" s="222"/>
      <c r="Z1729" s="222"/>
      <c r="AA1729" s="222"/>
      <c r="AB1729" s="222"/>
      <c r="AC1729" s="222"/>
      <c r="AD1729" s="222"/>
      <c r="AE1729" s="222"/>
      <c r="AF1729" s="222"/>
      <c r="AG1729" s="222"/>
      <c r="AH1729" s="222"/>
      <c r="AI1729" s="222"/>
      <c r="AJ1729" s="222"/>
      <c r="AK1729" s="222"/>
      <c r="AL1729" s="222"/>
      <c r="AM1729" s="222"/>
      <c r="AN1729" s="222"/>
      <c r="AO1729" s="222"/>
      <c r="AP1729" s="222"/>
      <c r="AQ1729" s="222"/>
      <c r="AR1729" s="222"/>
      <c r="AS1729" s="222"/>
      <c r="AT1729" s="222"/>
      <c r="AU1729" s="222"/>
      <c r="AV1729" s="222"/>
      <c r="AW1729" s="222"/>
      <c r="AX1729" s="222"/>
      <c r="AY1729" s="222"/>
      <c r="AZ1729" s="222"/>
      <c r="BA1729" s="222"/>
    </row>
    <row r="1730" spans="1:53" x14ac:dyDescent="0.25">
      <c r="A1730" s="463" t="s">
        <v>18</v>
      </c>
      <c r="B1730" s="464"/>
      <c r="C1730" s="468">
        <v>658.75</v>
      </c>
      <c r="D1730" s="468">
        <v>658.75</v>
      </c>
      <c r="E1730" s="469">
        <v>764.15</v>
      </c>
      <c r="F1730" s="481">
        <v>790.5</v>
      </c>
      <c r="G1730" s="242">
        <v>790.5</v>
      </c>
      <c r="H1730" s="242">
        <f>H1729+0.25*G1729</f>
        <v>869.6</v>
      </c>
      <c r="I1730" s="242">
        <f>I1729+0.25*H1729</f>
        <v>889.375</v>
      </c>
      <c r="J1730" s="242">
        <f>J1729+0.25*I1729</f>
        <v>889.375</v>
      </c>
      <c r="K1730" s="222"/>
      <c r="L1730" s="222"/>
      <c r="M1730" s="222"/>
      <c r="N1730" s="222"/>
      <c r="O1730" s="222"/>
      <c r="P1730" s="222"/>
      <c r="Q1730" s="222"/>
      <c r="R1730" s="222"/>
      <c r="S1730" s="222"/>
      <c r="T1730" s="222"/>
      <c r="U1730" s="222"/>
      <c r="V1730" s="222"/>
      <c r="W1730" s="222"/>
      <c r="X1730" s="222"/>
      <c r="Y1730" s="222"/>
      <c r="Z1730" s="222"/>
      <c r="AA1730" s="222"/>
      <c r="AB1730" s="222"/>
      <c r="AC1730" s="222"/>
      <c r="AD1730" s="222"/>
      <c r="AE1730" s="222"/>
      <c r="AF1730" s="222"/>
      <c r="AG1730" s="222"/>
      <c r="AH1730" s="222"/>
      <c r="AI1730" s="222"/>
      <c r="AJ1730" s="222"/>
      <c r="AK1730" s="222"/>
      <c r="AL1730" s="222"/>
      <c r="AM1730" s="222"/>
      <c r="AN1730" s="222"/>
      <c r="AO1730" s="222"/>
      <c r="AP1730" s="222"/>
      <c r="AQ1730" s="222"/>
      <c r="AR1730" s="222"/>
      <c r="AS1730" s="222"/>
      <c r="AT1730" s="222"/>
      <c r="AU1730" s="222"/>
      <c r="AV1730" s="222"/>
      <c r="AW1730" s="222"/>
      <c r="AX1730" s="222"/>
      <c r="AY1730" s="222"/>
      <c r="AZ1730" s="222"/>
      <c r="BA1730" s="222"/>
    </row>
    <row r="1731" spans="1:53" x14ac:dyDescent="0.25">
      <c r="A1731" s="463" t="s">
        <v>19</v>
      </c>
      <c r="B1731" s="464"/>
      <c r="C1731" s="469"/>
      <c r="D1731" s="470"/>
      <c r="E1731" s="469"/>
      <c r="F1731" s="481"/>
      <c r="G1731" s="242"/>
      <c r="H1731" s="242"/>
      <c r="I1731" s="242"/>
      <c r="J1731" s="242"/>
      <c r="K1731" s="222"/>
      <c r="L1731" s="222"/>
      <c r="M1731" s="222"/>
      <c r="N1731" s="222"/>
      <c r="O1731" s="222"/>
      <c r="P1731" s="222"/>
      <c r="Q1731" s="222"/>
      <c r="R1731" s="222"/>
      <c r="S1731" s="222"/>
      <c r="T1731" s="222"/>
      <c r="U1731" s="222"/>
      <c r="V1731" s="222"/>
      <c r="W1731" s="222"/>
      <c r="X1731" s="222"/>
      <c r="Y1731" s="222"/>
      <c r="Z1731" s="222"/>
      <c r="AA1731" s="222"/>
      <c r="AB1731" s="222"/>
      <c r="AC1731" s="222"/>
      <c r="AD1731" s="222"/>
      <c r="AE1731" s="222"/>
      <c r="AF1731" s="222"/>
      <c r="AG1731" s="222"/>
      <c r="AH1731" s="222"/>
      <c r="AI1731" s="222"/>
      <c r="AJ1731" s="222"/>
      <c r="AK1731" s="222"/>
      <c r="AL1731" s="222"/>
      <c r="AM1731" s="222"/>
      <c r="AN1731" s="222"/>
      <c r="AO1731" s="222"/>
      <c r="AP1731" s="222"/>
      <c r="AQ1731" s="222"/>
      <c r="AR1731" s="222"/>
      <c r="AS1731" s="222"/>
      <c r="AT1731" s="222"/>
      <c r="AU1731" s="222"/>
      <c r="AV1731" s="222"/>
      <c r="AW1731" s="222"/>
      <c r="AX1731" s="222"/>
      <c r="AY1731" s="222"/>
      <c r="AZ1731" s="222"/>
      <c r="BA1731" s="222"/>
    </row>
    <row r="1732" spans="1:53" x14ac:dyDescent="0.25">
      <c r="A1732" s="463" t="s">
        <v>20</v>
      </c>
      <c r="B1732" s="464"/>
      <c r="C1732" s="468">
        <v>250.22</v>
      </c>
      <c r="D1732" s="470">
        <v>238.35</v>
      </c>
      <c r="E1732" s="469">
        <v>102.57</v>
      </c>
      <c r="F1732" s="481">
        <v>221.13</v>
      </c>
      <c r="G1732" s="242">
        <v>328.36</v>
      </c>
      <c r="H1732" s="242">
        <v>295.93</v>
      </c>
      <c r="I1732" s="242">
        <v>310.56</v>
      </c>
      <c r="J1732" s="242"/>
      <c r="K1732" s="222"/>
      <c r="L1732" s="222"/>
      <c r="M1732" s="222"/>
      <c r="N1732" s="222"/>
      <c r="O1732" s="222"/>
      <c r="P1732" s="222"/>
      <c r="Q1732" s="222"/>
      <c r="R1732" s="222"/>
      <c r="S1732" s="222"/>
      <c r="T1732" s="222"/>
      <c r="U1732" s="222"/>
      <c r="V1732" s="222"/>
      <c r="W1732" s="222"/>
      <c r="X1732" s="222"/>
      <c r="Y1732" s="222"/>
      <c r="Z1732" s="222"/>
      <c r="AA1732" s="222"/>
      <c r="AB1732" s="222"/>
      <c r="AC1732" s="222"/>
      <c r="AD1732" s="222"/>
      <c r="AE1732" s="222"/>
      <c r="AF1732" s="222"/>
      <c r="AG1732" s="222"/>
      <c r="AH1732" s="222"/>
      <c r="AI1732" s="222"/>
      <c r="AJ1732" s="222"/>
      <c r="AK1732" s="222"/>
      <c r="AL1732" s="222"/>
      <c r="AM1732" s="222"/>
      <c r="AN1732" s="222"/>
      <c r="AO1732" s="222"/>
      <c r="AP1732" s="222"/>
      <c r="AQ1732" s="222"/>
      <c r="AR1732" s="222"/>
      <c r="AS1732" s="222"/>
      <c r="AT1732" s="222"/>
      <c r="AU1732" s="222"/>
      <c r="AV1732" s="222"/>
      <c r="AW1732" s="222"/>
      <c r="AX1732" s="222"/>
      <c r="AY1732" s="222"/>
      <c r="AZ1732" s="222"/>
      <c r="BA1732" s="222"/>
    </row>
    <row r="1733" spans="1:53" x14ac:dyDescent="0.25">
      <c r="A1733" s="463" t="s">
        <v>21</v>
      </c>
      <c r="B1733" s="464"/>
      <c r="C1733" s="468">
        <v>408.53</v>
      </c>
      <c r="D1733" s="470">
        <v>420.4</v>
      </c>
      <c r="E1733" s="469">
        <f>E1730-E1732</f>
        <v>661.57999999999993</v>
      </c>
      <c r="F1733" s="481">
        <f>F1730-F1732</f>
        <v>569.37</v>
      </c>
      <c r="G1733" s="242">
        <f>G1730-G1732</f>
        <v>462.14</v>
      </c>
      <c r="H1733" s="242">
        <f>H1730-H1732</f>
        <v>573.67000000000007</v>
      </c>
      <c r="I1733" s="242">
        <f>I1730-I1732</f>
        <v>578.81500000000005</v>
      </c>
      <c r="J1733" s="242"/>
      <c r="K1733" s="222"/>
      <c r="L1733" s="222"/>
      <c r="M1733" s="222"/>
      <c r="N1733" s="222"/>
      <c r="O1733" s="222"/>
      <c r="P1733" s="222"/>
      <c r="Q1733" s="222"/>
      <c r="R1733" s="222"/>
      <c r="S1733" s="222"/>
      <c r="T1733" s="222"/>
      <c r="U1733" s="222"/>
      <c r="V1733" s="222"/>
      <c r="W1733" s="222"/>
      <c r="X1733" s="222"/>
      <c r="Y1733" s="222"/>
      <c r="Z1733" s="222"/>
      <c r="AA1733" s="222"/>
      <c r="AB1733" s="222"/>
      <c r="AC1733" s="222"/>
      <c r="AD1733" s="222"/>
      <c r="AE1733" s="222"/>
      <c r="AF1733" s="222"/>
      <c r="AG1733" s="222"/>
      <c r="AH1733" s="222"/>
      <c r="AI1733" s="222"/>
      <c r="AJ1733" s="222"/>
      <c r="AK1733" s="222"/>
      <c r="AL1733" s="222"/>
      <c r="AM1733" s="222"/>
      <c r="AN1733" s="222"/>
      <c r="AO1733" s="222"/>
      <c r="AP1733" s="222"/>
      <c r="AQ1733" s="222"/>
      <c r="AR1733" s="222"/>
      <c r="AS1733" s="222"/>
      <c r="AT1733" s="222"/>
      <c r="AU1733" s="222"/>
      <c r="AV1733" s="222"/>
      <c r="AW1733" s="222"/>
      <c r="AX1733" s="222"/>
      <c r="AY1733" s="222"/>
      <c r="AZ1733" s="222"/>
      <c r="BA1733" s="222"/>
    </row>
    <row r="1734" spans="1:53" x14ac:dyDescent="0.25">
      <c r="A1734" s="471" t="s">
        <v>22</v>
      </c>
      <c r="B1734" s="472"/>
      <c r="C1734" s="473">
        <v>2017</v>
      </c>
      <c r="D1734" s="474">
        <v>2018</v>
      </c>
      <c r="E1734" s="473">
        <v>2019</v>
      </c>
      <c r="F1734" s="482">
        <v>2020</v>
      </c>
      <c r="G1734" s="483">
        <v>2021</v>
      </c>
      <c r="H1734" s="483">
        <v>2022</v>
      </c>
      <c r="I1734" s="483">
        <v>2023</v>
      </c>
      <c r="J1734" s="483">
        <v>2024</v>
      </c>
      <c r="K1734" s="222"/>
      <c r="L1734" s="222"/>
      <c r="M1734" s="222"/>
      <c r="N1734" s="222"/>
      <c r="O1734" s="222"/>
      <c r="P1734" s="222"/>
      <c r="Q1734" s="222"/>
      <c r="R1734" s="222"/>
      <c r="S1734" s="222"/>
      <c r="T1734" s="222"/>
      <c r="U1734" s="222"/>
      <c r="V1734" s="222"/>
      <c r="W1734" s="222"/>
      <c r="X1734" s="222"/>
      <c r="Y1734" s="222"/>
      <c r="Z1734" s="222"/>
      <c r="AA1734" s="222"/>
      <c r="AB1734" s="222"/>
      <c r="AC1734" s="222"/>
      <c r="AD1734" s="222"/>
      <c r="AE1734" s="222"/>
      <c r="AF1734" s="222"/>
      <c r="AG1734" s="222"/>
      <c r="AH1734" s="222"/>
      <c r="AI1734" s="222"/>
      <c r="AJ1734" s="222"/>
      <c r="AK1734" s="222"/>
      <c r="AL1734" s="222"/>
      <c r="AM1734" s="222"/>
      <c r="AN1734" s="222"/>
      <c r="AO1734" s="222"/>
      <c r="AP1734" s="222"/>
      <c r="AQ1734" s="222"/>
      <c r="AR1734" s="222"/>
      <c r="AS1734" s="222"/>
      <c r="AT1734" s="222"/>
      <c r="AU1734" s="222"/>
      <c r="AV1734" s="222"/>
      <c r="AW1734" s="222"/>
      <c r="AX1734" s="222"/>
      <c r="AY1734" s="222"/>
      <c r="AZ1734" s="222"/>
      <c r="BA1734" s="222"/>
    </row>
    <row r="1735" spans="1:53" x14ac:dyDescent="0.25">
      <c r="A1735" s="484" t="s">
        <v>115</v>
      </c>
      <c r="B1735" s="485"/>
      <c r="C1735" s="485"/>
      <c r="D1735" s="485"/>
      <c r="E1735" s="485"/>
      <c r="F1735" s="485"/>
      <c r="G1735" s="485"/>
      <c r="H1735" s="485"/>
      <c r="I1735" s="485"/>
      <c r="J1735" s="486"/>
      <c r="K1735" s="222"/>
      <c r="L1735" s="222"/>
      <c r="M1735" s="222"/>
      <c r="N1735" s="222"/>
      <c r="O1735" s="222"/>
      <c r="P1735" s="222"/>
      <c r="Q1735" s="222"/>
      <c r="R1735" s="222"/>
      <c r="S1735" s="222"/>
      <c r="T1735" s="222"/>
      <c r="U1735" s="222"/>
      <c r="V1735" s="222"/>
      <c r="W1735" s="222"/>
      <c r="X1735" s="222"/>
      <c r="Y1735" s="222"/>
      <c r="Z1735" s="222"/>
      <c r="AA1735" s="222"/>
      <c r="AB1735" s="222"/>
      <c r="AC1735" s="222"/>
      <c r="AD1735" s="222"/>
      <c r="AE1735" s="222"/>
      <c r="AF1735" s="222"/>
      <c r="AG1735" s="222"/>
      <c r="AH1735" s="222"/>
      <c r="AI1735" s="222"/>
      <c r="AJ1735" s="222"/>
      <c r="AK1735" s="222"/>
      <c r="AL1735" s="222"/>
      <c r="AM1735" s="222"/>
      <c r="AN1735" s="222"/>
      <c r="AO1735" s="222"/>
      <c r="AP1735" s="222"/>
      <c r="AQ1735" s="222"/>
      <c r="AR1735" s="222"/>
      <c r="AS1735" s="222"/>
      <c r="AT1735" s="222"/>
      <c r="AU1735" s="222"/>
      <c r="AV1735" s="222"/>
      <c r="AW1735" s="222"/>
      <c r="AX1735" s="222"/>
      <c r="AY1735" s="222"/>
      <c r="AZ1735" s="222"/>
      <c r="BA1735" s="222"/>
    </row>
    <row r="1736" spans="1:53" x14ac:dyDescent="0.25">
      <c r="A1736" s="487" t="s">
        <v>116</v>
      </c>
      <c r="B1736" s="459"/>
      <c r="C1736" s="459"/>
      <c r="D1736" s="459"/>
      <c r="E1736" s="459"/>
      <c r="F1736" s="459"/>
      <c r="G1736" s="459"/>
      <c r="H1736" s="459"/>
      <c r="I1736" s="459"/>
      <c r="J1736" s="488"/>
      <c r="K1736" s="222"/>
      <c r="L1736" s="222"/>
      <c r="M1736" s="222"/>
      <c r="N1736" s="222"/>
      <c r="O1736" s="222"/>
      <c r="P1736" s="222"/>
      <c r="Q1736" s="222"/>
      <c r="R1736" s="222"/>
      <c r="S1736" s="222"/>
      <c r="T1736" s="222"/>
      <c r="U1736" s="222"/>
      <c r="V1736" s="222"/>
      <c r="W1736" s="222"/>
      <c r="X1736" s="222"/>
      <c r="Y1736" s="222"/>
      <c r="Z1736" s="222"/>
      <c r="AA1736" s="222"/>
      <c r="AB1736" s="222"/>
      <c r="AC1736" s="222"/>
      <c r="AD1736" s="222"/>
      <c r="AE1736" s="222"/>
      <c r="AF1736" s="222"/>
      <c r="AG1736" s="222"/>
      <c r="AH1736" s="222"/>
      <c r="AI1736" s="222"/>
      <c r="AJ1736" s="222"/>
      <c r="AK1736" s="222"/>
      <c r="AL1736" s="222"/>
      <c r="AM1736" s="222"/>
      <c r="AN1736" s="222"/>
      <c r="AO1736" s="222"/>
      <c r="AP1736" s="222"/>
      <c r="AQ1736" s="222"/>
      <c r="AR1736" s="222"/>
      <c r="AS1736" s="222"/>
      <c r="AT1736" s="222"/>
      <c r="AU1736" s="222"/>
      <c r="AV1736" s="222"/>
      <c r="AW1736" s="222"/>
      <c r="AX1736" s="222"/>
      <c r="AY1736" s="222"/>
      <c r="AZ1736" s="222"/>
      <c r="BA1736" s="222"/>
    </row>
    <row r="1737" spans="1:53" x14ac:dyDescent="0.25">
      <c r="A1737" s="487" t="s">
        <v>117</v>
      </c>
      <c r="B1737" s="459"/>
      <c r="C1737" s="459"/>
      <c r="D1737" s="459"/>
      <c r="E1737" s="459"/>
      <c r="F1737" s="459"/>
      <c r="G1737" s="459"/>
      <c r="H1737" s="459"/>
      <c r="I1737" s="459"/>
      <c r="J1737" s="488"/>
      <c r="K1737" s="222"/>
      <c r="L1737" s="222"/>
      <c r="M1737" s="222"/>
      <c r="N1737" s="222"/>
      <c r="O1737" s="222"/>
      <c r="P1737" s="222"/>
      <c r="Q1737" s="222"/>
      <c r="R1737" s="222"/>
      <c r="S1737" s="222"/>
      <c r="T1737" s="222"/>
      <c r="U1737" s="222"/>
      <c r="V1737" s="222"/>
      <c r="W1737" s="222"/>
      <c r="X1737" s="222"/>
      <c r="Y1737" s="222"/>
      <c r="Z1737" s="222"/>
      <c r="AA1737" s="222"/>
      <c r="AB1737" s="222"/>
      <c r="AC1737" s="222"/>
      <c r="AD1737" s="222"/>
      <c r="AE1737" s="222"/>
      <c r="AF1737" s="222"/>
      <c r="AG1737" s="222"/>
      <c r="AH1737" s="222"/>
      <c r="AI1737" s="222"/>
      <c r="AJ1737" s="222"/>
      <c r="AK1737" s="222"/>
      <c r="AL1737" s="222"/>
      <c r="AM1737" s="222"/>
      <c r="AN1737" s="222"/>
      <c r="AO1737" s="222"/>
      <c r="AP1737" s="222"/>
      <c r="AQ1737" s="222"/>
      <c r="AR1737" s="222"/>
      <c r="AS1737" s="222"/>
      <c r="AT1737" s="222"/>
      <c r="AU1737" s="222"/>
      <c r="AV1737" s="222"/>
      <c r="AW1737" s="222"/>
      <c r="AX1737" s="222"/>
      <c r="AY1737" s="222"/>
      <c r="AZ1737" s="222"/>
      <c r="BA1737" s="222"/>
    </row>
    <row r="1738" spans="1:53" x14ac:dyDescent="0.25">
      <c r="A1738" s="487" t="s">
        <v>118</v>
      </c>
      <c r="B1738" s="459"/>
      <c r="C1738" s="459"/>
      <c r="D1738" s="459"/>
      <c r="E1738" s="459"/>
      <c r="F1738" s="459"/>
      <c r="G1738" s="459"/>
      <c r="H1738" s="459"/>
      <c r="I1738" s="459"/>
      <c r="J1738" s="488"/>
      <c r="K1738" s="222"/>
      <c r="L1738" s="222"/>
      <c r="M1738" s="222"/>
      <c r="N1738" s="222"/>
      <c r="O1738" s="222"/>
      <c r="P1738" s="222"/>
      <c r="Q1738" s="222"/>
      <c r="R1738" s="222"/>
      <c r="S1738" s="222"/>
      <c r="T1738" s="222"/>
      <c r="U1738" s="222"/>
      <c r="V1738" s="222"/>
      <c r="W1738" s="222"/>
      <c r="X1738" s="222"/>
      <c r="Y1738" s="222"/>
      <c r="Z1738" s="222"/>
      <c r="AA1738" s="222"/>
      <c r="AB1738" s="222"/>
      <c r="AC1738" s="222"/>
      <c r="AD1738" s="222"/>
      <c r="AE1738" s="222"/>
      <c r="AF1738" s="222"/>
      <c r="AG1738" s="222"/>
      <c r="AH1738" s="222"/>
      <c r="AI1738" s="222"/>
      <c r="AJ1738" s="222"/>
      <c r="AK1738" s="222"/>
      <c r="AL1738" s="222"/>
      <c r="AM1738" s="222"/>
      <c r="AN1738" s="222"/>
      <c r="AO1738" s="222"/>
      <c r="AP1738" s="222"/>
      <c r="AQ1738" s="222"/>
      <c r="AR1738" s="222"/>
      <c r="AS1738" s="222"/>
      <c r="AT1738" s="222"/>
      <c r="AU1738" s="222"/>
      <c r="AV1738" s="222"/>
      <c r="AW1738" s="222"/>
      <c r="AX1738" s="222"/>
      <c r="AY1738" s="222"/>
      <c r="AZ1738" s="222"/>
      <c r="BA1738" s="222"/>
    </row>
    <row r="1739" spans="1:53" x14ac:dyDescent="0.25">
      <c r="A1739" s="487" t="s">
        <v>119</v>
      </c>
      <c r="B1739" s="459"/>
      <c r="C1739" s="459"/>
      <c r="D1739" s="459"/>
      <c r="E1739" s="459"/>
      <c r="F1739" s="459"/>
      <c r="G1739" s="459"/>
      <c r="H1739" s="459"/>
      <c r="I1739" s="459"/>
      <c r="J1739" s="488"/>
      <c r="K1739" s="222"/>
      <c r="L1739" s="222"/>
      <c r="M1739" s="222"/>
      <c r="N1739" s="222"/>
      <c r="O1739" s="222"/>
      <c r="P1739" s="222"/>
      <c r="Q1739" s="222"/>
      <c r="R1739" s="222"/>
      <c r="S1739" s="222"/>
      <c r="T1739" s="222"/>
      <c r="U1739" s="222"/>
      <c r="V1739" s="222"/>
      <c r="W1739" s="222"/>
      <c r="X1739" s="222"/>
      <c r="Y1739" s="222"/>
      <c r="Z1739" s="222"/>
      <c r="AA1739" s="222"/>
      <c r="AB1739" s="222"/>
      <c r="AC1739" s="222"/>
      <c r="AD1739" s="222"/>
      <c r="AE1739" s="222"/>
      <c r="AF1739" s="222"/>
      <c r="AG1739" s="222"/>
      <c r="AH1739" s="222"/>
      <c r="AI1739" s="222"/>
      <c r="AJ1739" s="222"/>
      <c r="AK1739" s="222"/>
      <c r="AL1739" s="222"/>
      <c r="AM1739" s="222"/>
      <c r="AN1739" s="222"/>
      <c r="AO1739" s="222"/>
      <c r="AP1739" s="222"/>
      <c r="AQ1739" s="222"/>
      <c r="AR1739" s="222"/>
      <c r="AS1739" s="222"/>
      <c r="AT1739" s="222"/>
      <c r="AU1739" s="222"/>
      <c r="AV1739" s="222"/>
      <c r="AW1739" s="222"/>
      <c r="AX1739" s="222"/>
      <c r="AY1739" s="222"/>
      <c r="AZ1739" s="222"/>
      <c r="BA1739" s="222"/>
    </row>
    <row r="1740" spans="1:53" x14ac:dyDescent="0.25">
      <c r="A1740" s="487" t="s">
        <v>302</v>
      </c>
      <c r="B1740" s="459"/>
      <c r="C1740" s="459"/>
      <c r="D1740" s="459"/>
      <c r="E1740" s="459"/>
      <c r="F1740" s="459"/>
      <c r="G1740" s="459"/>
      <c r="H1740" s="459"/>
      <c r="I1740" s="459"/>
      <c r="J1740" s="488"/>
      <c r="K1740" s="222"/>
      <c r="L1740" s="222"/>
      <c r="M1740" s="222"/>
      <c r="N1740" s="222"/>
      <c r="O1740" s="222"/>
      <c r="P1740" s="222"/>
      <c r="Q1740" s="222"/>
      <c r="R1740" s="222"/>
      <c r="S1740" s="222"/>
      <c r="T1740" s="222"/>
      <c r="U1740" s="222"/>
      <c r="V1740" s="222"/>
      <c r="W1740" s="222"/>
      <c r="X1740" s="222"/>
      <c r="Y1740" s="222"/>
      <c r="Z1740" s="222"/>
      <c r="AA1740" s="222"/>
      <c r="AB1740" s="222"/>
      <c r="AC1740" s="222"/>
      <c r="AD1740" s="222"/>
      <c r="AE1740" s="222"/>
      <c r="AF1740" s="222"/>
      <c r="AG1740" s="222"/>
      <c r="AH1740" s="222"/>
      <c r="AI1740" s="222"/>
      <c r="AJ1740" s="222"/>
      <c r="AK1740" s="222"/>
      <c r="AL1740" s="222"/>
      <c r="AM1740" s="222"/>
      <c r="AN1740" s="222"/>
      <c r="AO1740" s="222"/>
      <c r="AP1740" s="222"/>
      <c r="AQ1740" s="222"/>
      <c r="AR1740" s="222"/>
      <c r="AS1740" s="222"/>
      <c r="AT1740" s="222"/>
      <c r="AU1740" s="222"/>
      <c r="AV1740" s="222"/>
      <c r="AW1740" s="222"/>
      <c r="AX1740" s="222"/>
      <c r="AY1740" s="222"/>
      <c r="AZ1740" s="222"/>
      <c r="BA1740" s="222"/>
    </row>
    <row r="1741" spans="1:53" x14ac:dyDescent="0.25">
      <c r="A1741" s="487" t="s">
        <v>541</v>
      </c>
      <c r="B1741" s="459"/>
      <c r="C1741" s="459"/>
      <c r="D1741" s="459"/>
      <c r="E1741" s="459"/>
      <c r="F1741" s="459"/>
      <c r="G1741" s="459"/>
      <c r="H1741" s="459"/>
      <c r="I1741" s="459"/>
      <c r="J1741" s="488"/>
      <c r="K1741" s="222"/>
      <c r="L1741" s="222"/>
      <c r="M1741" s="222"/>
      <c r="N1741" s="222"/>
      <c r="O1741" s="222"/>
      <c r="P1741" s="222"/>
      <c r="Q1741" s="222"/>
      <c r="R1741" s="222"/>
      <c r="S1741" s="222"/>
      <c r="T1741" s="222"/>
      <c r="U1741" s="222"/>
      <c r="V1741" s="222"/>
      <c r="W1741" s="222"/>
      <c r="X1741" s="222"/>
      <c r="Y1741" s="222"/>
      <c r="Z1741" s="222"/>
      <c r="AA1741" s="222"/>
      <c r="AB1741" s="222"/>
      <c r="AC1741" s="222"/>
      <c r="AD1741" s="222"/>
      <c r="AE1741" s="222"/>
      <c r="AF1741" s="222"/>
      <c r="AG1741" s="222"/>
      <c r="AH1741" s="222"/>
      <c r="AI1741" s="222"/>
      <c r="AJ1741" s="222"/>
      <c r="AK1741" s="222"/>
      <c r="AL1741" s="222"/>
      <c r="AM1741" s="222"/>
      <c r="AN1741" s="222"/>
      <c r="AO1741" s="222"/>
      <c r="AP1741" s="222"/>
      <c r="AQ1741" s="222"/>
      <c r="AR1741" s="222"/>
      <c r="AS1741" s="222"/>
      <c r="AT1741" s="222"/>
      <c r="AU1741" s="222"/>
      <c r="AV1741" s="222"/>
      <c r="AW1741" s="222"/>
      <c r="AX1741" s="222"/>
      <c r="AY1741" s="222"/>
      <c r="AZ1741" s="222"/>
      <c r="BA1741" s="222"/>
    </row>
    <row r="1742" spans="1:53" x14ac:dyDescent="0.25">
      <c r="A1742" s="487" t="s">
        <v>689</v>
      </c>
      <c r="B1742" s="459"/>
      <c r="C1742" s="459"/>
      <c r="D1742" s="459"/>
      <c r="E1742" s="459"/>
      <c r="F1742" s="459"/>
      <c r="G1742" s="459"/>
      <c r="H1742" s="459"/>
      <c r="I1742" s="459"/>
      <c r="J1742" s="488"/>
      <c r="K1742" s="222"/>
      <c r="L1742" s="222"/>
      <c r="M1742" s="222"/>
      <c r="N1742" s="222"/>
      <c r="O1742" s="222"/>
      <c r="P1742" s="222"/>
      <c r="Q1742" s="222"/>
      <c r="R1742" s="222"/>
      <c r="S1742" s="222"/>
      <c r="T1742" s="222"/>
      <c r="U1742" s="222"/>
      <c r="V1742" s="222"/>
      <c r="W1742" s="222"/>
      <c r="X1742" s="222"/>
      <c r="Y1742" s="222"/>
      <c r="Z1742" s="222"/>
      <c r="AA1742" s="222"/>
      <c r="AB1742" s="222"/>
      <c r="AC1742" s="222"/>
      <c r="AD1742" s="222"/>
      <c r="AE1742" s="222"/>
      <c r="AF1742" s="222"/>
      <c r="AG1742" s="222"/>
      <c r="AH1742" s="222"/>
      <c r="AI1742" s="222"/>
      <c r="AJ1742" s="222"/>
      <c r="AK1742" s="222"/>
      <c r="AL1742" s="222"/>
      <c r="AM1742" s="222"/>
      <c r="AN1742" s="222"/>
      <c r="AO1742" s="222"/>
      <c r="AP1742" s="222"/>
      <c r="AQ1742" s="222"/>
      <c r="AR1742" s="222"/>
      <c r="AS1742" s="222"/>
      <c r="AT1742" s="222"/>
      <c r="AU1742" s="222"/>
      <c r="AV1742" s="222"/>
      <c r="AW1742" s="222"/>
      <c r="AX1742" s="222"/>
      <c r="AY1742" s="222"/>
      <c r="AZ1742" s="222"/>
      <c r="BA1742" s="222"/>
    </row>
    <row r="1743" spans="1:53" x14ac:dyDescent="0.25">
      <c r="A1743" s="487" t="s">
        <v>938</v>
      </c>
      <c r="B1743" s="459"/>
      <c r="C1743" s="459"/>
      <c r="D1743" s="459"/>
      <c r="E1743" s="459"/>
      <c r="F1743" s="459"/>
      <c r="G1743" s="459"/>
      <c r="H1743" s="459"/>
      <c r="I1743" s="459"/>
      <c r="J1743" s="488"/>
      <c r="K1743" s="222"/>
      <c r="L1743" s="222"/>
      <c r="M1743" s="222"/>
      <c r="N1743" s="222"/>
      <c r="O1743" s="222"/>
      <c r="P1743" s="222"/>
      <c r="Q1743" s="222"/>
      <c r="R1743" s="222"/>
      <c r="S1743" s="222"/>
      <c r="T1743" s="222"/>
      <c r="U1743" s="222"/>
      <c r="V1743" s="222"/>
      <c r="W1743" s="222"/>
      <c r="X1743" s="222"/>
      <c r="Y1743" s="222"/>
      <c r="Z1743" s="222"/>
      <c r="AA1743" s="222"/>
      <c r="AB1743" s="222"/>
      <c r="AC1743" s="222"/>
      <c r="AD1743" s="222"/>
      <c r="AE1743" s="222"/>
      <c r="AF1743" s="222"/>
      <c r="AG1743" s="222"/>
      <c r="AH1743" s="222"/>
      <c r="AI1743" s="222"/>
      <c r="AJ1743" s="222"/>
      <c r="AK1743" s="222"/>
      <c r="AL1743" s="222"/>
      <c r="AM1743" s="222"/>
      <c r="AN1743" s="222"/>
      <c r="AO1743" s="222"/>
      <c r="AP1743" s="222"/>
      <c r="AQ1743" s="222"/>
      <c r="AR1743" s="222"/>
      <c r="AS1743" s="222"/>
      <c r="AT1743" s="222"/>
      <c r="AU1743" s="222"/>
      <c r="AV1743" s="222"/>
      <c r="AW1743" s="222"/>
      <c r="AX1743" s="222"/>
      <c r="AY1743" s="222"/>
      <c r="AZ1743" s="222"/>
      <c r="BA1743" s="222"/>
    </row>
    <row r="1744" spans="1:53" x14ac:dyDescent="0.25">
      <c r="A1744" s="487" t="s">
        <v>542</v>
      </c>
      <c r="B1744" s="459"/>
      <c r="C1744" s="459"/>
      <c r="D1744" s="459"/>
      <c r="E1744" s="459"/>
      <c r="F1744" s="459"/>
      <c r="G1744" s="459"/>
      <c r="H1744" s="459"/>
      <c r="I1744" s="459"/>
      <c r="J1744" s="488"/>
      <c r="K1744" s="222"/>
      <c r="L1744" s="222"/>
      <c r="M1744" s="222"/>
      <c r="N1744" s="222"/>
      <c r="O1744" s="222"/>
      <c r="P1744" s="222"/>
      <c r="Q1744" s="222"/>
      <c r="R1744" s="222"/>
      <c r="S1744" s="222"/>
      <c r="T1744" s="222"/>
      <c r="U1744" s="222"/>
      <c r="V1744" s="222"/>
      <c r="W1744" s="222"/>
      <c r="X1744" s="222"/>
      <c r="Y1744" s="222"/>
      <c r="Z1744" s="222"/>
      <c r="AA1744" s="222"/>
      <c r="AB1744" s="222"/>
      <c r="AC1744" s="222"/>
      <c r="AD1744" s="222"/>
      <c r="AE1744" s="222"/>
      <c r="AF1744" s="222"/>
      <c r="AG1744" s="222"/>
      <c r="AH1744" s="222"/>
      <c r="AI1744" s="222"/>
      <c r="AJ1744" s="222"/>
      <c r="AK1744" s="222"/>
      <c r="AL1744" s="222"/>
      <c r="AM1744" s="222"/>
      <c r="AN1744" s="222"/>
      <c r="AO1744" s="222"/>
      <c r="AP1744" s="222"/>
      <c r="AQ1744" s="222"/>
      <c r="AR1744" s="222"/>
      <c r="AS1744" s="222"/>
      <c r="AT1744" s="222"/>
      <c r="AU1744" s="222"/>
      <c r="AV1744" s="222"/>
      <c r="AW1744" s="222"/>
      <c r="AX1744" s="222"/>
      <c r="AY1744" s="222"/>
      <c r="AZ1744" s="222"/>
      <c r="BA1744" s="222"/>
    </row>
    <row r="1745" spans="1:53" x14ac:dyDescent="0.25">
      <c r="A1745" s="489" t="s">
        <v>543</v>
      </c>
      <c r="B1745" s="490"/>
      <c r="C1745" s="490"/>
      <c r="D1745" s="490"/>
      <c r="E1745" s="490"/>
      <c r="F1745" s="490"/>
      <c r="G1745" s="490"/>
      <c r="H1745" s="490"/>
      <c r="I1745" s="490"/>
      <c r="J1745" s="491"/>
      <c r="K1745" s="222"/>
      <c r="L1745" s="222"/>
      <c r="M1745" s="222"/>
      <c r="N1745" s="222"/>
      <c r="O1745" s="222"/>
      <c r="P1745" s="222"/>
      <c r="Q1745" s="222"/>
      <c r="R1745" s="222"/>
      <c r="S1745" s="222"/>
      <c r="T1745" s="222"/>
      <c r="U1745" s="222"/>
      <c r="V1745" s="222"/>
      <c r="W1745" s="222"/>
      <c r="X1745" s="222"/>
      <c r="Y1745" s="222"/>
      <c r="Z1745" s="222"/>
      <c r="AA1745" s="222"/>
      <c r="AB1745" s="222"/>
      <c r="AC1745" s="222"/>
      <c r="AD1745" s="222"/>
      <c r="AE1745" s="222"/>
      <c r="AF1745" s="222"/>
      <c r="AG1745" s="222"/>
      <c r="AH1745" s="222"/>
      <c r="AI1745" s="222"/>
      <c r="AJ1745" s="222"/>
      <c r="AK1745" s="222"/>
      <c r="AL1745" s="222"/>
      <c r="AM1745" s="222"/>
      <c r="AN1745" s="222"/>
      <c r="AO1745" s="222"/>
      <c r="AP1745" s="222"/>
      <c r="AQ1745" s="222"/>
      <c r="AR1745" s="222"/>
      <c r="AS1745" s="222"/>
      <c r="AT1745" s="222"/>
      <c r="AU1745" s="222"/>
      <c r="AV1745" s="222"/>
      <c r="AW1745" s="222"/>
      <c r="AX1745" s="222"/>
      <c r="AY1745" s="222"/>
      <c r="AZ1745" s="222"/>
      <c r="BA1745" s="222"/>
    </row>
    <row r="1746" spans="1:53" x14ac:dyDescent="0.25">
      <c r="A1746" s="222"/>
      <c r="B1746" s="222"/>
      <c r="C1746" s="222"/>
      <c r="D1746" s="222"/>
      <c r="E1746" s="222"/>
      <c r="F1746" s="222"/>
      <c r="G1746" s="222"/>
      <c r="H1746" s="222"/>
      <c r="I1746" s="222"/>
      <c r="J1746" s="222"/>
      <c r="K1746" s="222"/>
      <c r="L1746" s="222"/>
      <c r="M1746" s="222"/>
      <c r="N1746" s="222"/>
      <c r="O1746" s="222"/>
      <c r="P1746" s="222"/>
      <c r="Q1746" s="222"/>
      <c r="R1746" s="222"/>
      <c r="S1746" s="222"/>
      <c r="T1746" s="222"/>
      <c r="U1746" s="222"/>
      <c r="V1746" s="222"/>
      <c r="W1746" s="222"/>
      <c r="X1746" s="222"/>
      <c r="Y1746" s="222"/>
      <c r="Z1746" s="222"/>
      <c r="AA1746" s="222"/>
      <c r="AB1746" s="222"/>
      <c r="AC1746" s="222"/>
      <c r="AD1746" s="222"/>
      <c r="AE1746" s="222"/>
      <c r="AF1746" s="222"/>
      <c r="AG1746" s="222"/>
      <c r="AH1746" s="222"/>
      <c r="AI1746" s="222"/>
      <c r="AJ1746" s="222"/>
      <c r="AK1746" s="222"/>
      <c r="AL1746" s="222"/>
      <c r="AM1746" s="222"/>
      <c r="AN1746" s="222"/>
      <c r="AO1746" s="222"/>
      <c r="AP1746" s="222"/>
      <c r="AQ1746" s="222"/>
      <c r="AR1746" s="222"/>
      <c r="AS1746" s="222"/>
      <c r="AT1746" s="222"/>
      <c r="AU1746" s="222"/>
      <c r="AV1746" s="222"/>
      <c r="AW1746" s="222"/>
      <c r="AX1746" s="222"/>
      <c r="AY1746" s="222"/>
      <c r="AZ1746" s="222"/>
      <c r="BA1746" s="222"/>
    </row>
    <row r="1747" spans="1:53" x14ac:dyDescent="0.25">
      <c r="A1747" s="460" t="s">
        <v>14</v>
      </c>
      <c r="B1747" s="461" t="s">
        <v>637</v>
      </c>
      <c r="C1747" s="462" t="s">
        <v>15</v>
      </c>
      <c r="D1747" s="459"/>
      <c r="E1747" s="459"/>
      <c r="F1747" s="459"/>
      <c r="G1747" s="459"/>
      <c r="H1747" s="459"/>
      <c r="I1747" s="222"/>
      <c r="J1747" s="222"/>
      <c r="K1747" s="222"/>
      <c r="L1747" s="222"/>
      <c r="M1747" s="222"/>
      <c r="N1747" s="222"/>
      <c r="O1747" s="222"/>
      <c r="P1747" s="222"/>
      <c r="Q1747" s="222"/>
      <c r="R1747" s="222"/>
      <c r="S1747" s="222"/>
      <c r="T1747" s="222"/>
      <c r="U1747" s="222"/>
      <c r="V1747" s="222"/>
      <c r="W1747" s="222"/>
      <c r="X1747" s="222"/>
      <c r="Y1747" s="222"/>
      <c r="Z1747" s="222"/>
      <c r="AA1747" s="222"/>
      <c r="AB1747" s="222"/>
      <c r="AC1747" s="222"/>
      <c r="AD1747" s="222"/>
      <c r="AE1747" s="222"/>
      <c r="AF1747" s="222"/>
      <c r="AG1747" s="222"/>
      <c r="AH1747" s="222"/>
      <c r="AI1747" s="222"/>
      <c r="AJ1747" s="222"/>
      <c r="AK1747" s="222"/>
      <c r="AL1747" s="222"/>
      <c r="AM1747" s="222"/>
      <c r="AN1747" s="222"/>
      <c r="AO1747" s="222"/>
      <c r="AP1747" s="222"/>
      <c r="AQ1747" s="222"/>
      <c r="AR1747" s="222"/>
      <c r="AS1747" s="222"/>
      <c r="AT1747" s="222"/>
      <c r="AU1747" s="222"/>
      <c r="AV1747" s="222"/>
      <c r="AW1747" s="222"/>
      <c r="AX1747" s="222"/>
      <c r="AY1747" s="222"/>
      <c r="AZ1747" s="222"/>
      <c r="BA1747" s="222"/>
    </row>
    <row r="1748" spans="1:53" x14ac:dyDescent="0.25">
      <c r="A1748" s="463" t="s">
        <v>16</v>
      </c>
      <c r="B1748" s="464"/>
      <c r="C1748" s="492">
        <v>2017</v>
      </c>
      <c r="D1748" s="467">
        <v>2018</v>
      </c>
      <c r="E1748" s="467">
        <v>2019</v>
      </c>
      <c r="F1748" s="479">
        <v>2020</v>
      </c>
      <c r="G1748" s="480">
        <v>2021</v>
      </c>
      <c r="H1748" s="480">
        <v>2022</v>
      </c>
      <c r="I1748" s="480">
        <v>2023</v>
      </c>
      <c r="J1748" s="222"/>
      <c r="K1748" s="222"/>
      <c r="L1748" s="222"/>
      <c r="M1748" s="222"/>
      <c r="N1748" s="222"/>
      <c r="O1748" s="222"/>
      <c r="P1748" s="222"/>
      <c r="Q1748" s="222"/>
      <c r="R1748" s="222"/>
      <c r="S1748" s="222"/>
      <c r="T1748" s="222"/>
      <c r="U1748" s="222"/>
      <c r="V1748" s="222"/>
      <c r="W1748" s="222"/>
      <c r="X1748" s="222"/>
      <c r="Y1748" s="222"/>
      <c r="Z1748" s="222"/>
      <c r="AA1748" s="222"/>
      <c r="AB1748" s="222"/>
      <c r="AC1748" s="222"/>
      <c r="AD1748" s="222"/>
      <c r="AE1748" s="222"/>
      <c r="AF1748" s="222"/>
      <c r="AG1748" s="222"/>
      <c r="AH1748" s="222"/>
      <c r="AI1748" s="222"/>
      <c r="AJ1748" s="222"/>
      <c r="AK1748" s="222"/>
      <c r="AL1748" s="222"/>
      <c r="AM1748" s="222"/>
      <c r="AN1748" s="222"/>
      <c r="AO1748" s="222"/>
      <c r="AP1748" s="222"/>
      <c r="AQ1748" s="222"/>
      <c r="AR1748" s="222"/>
      <c r="AS1748" s="222"/>
      <c r="AT1748" s="222"/>
      <c r="AU1748" s="222"/>
      <c r="AV1748" s="222"/>
      <c r="AW1748" s="222"/>
      <c r="AX1748" s="222"/>
      <c r="AY1748" s="222"/>
      <c r="AZ1748" s="222"/>
      <c r="BA1748" s="222"/>
    </row>
    <row r="1749" spans="1:53" x14ac:dyDescent="0.25">
      <c r="A1749" s="463" t="s">
        <v>17</v>
      </c>
      <c r="B1749" s="464"/>
      <c r="C1749" s="468">
        <v>3907</v>
      </c>
      <c r="D1749" s="468">
        <v>3907</v>
      </c>
      <c r="E1749" s="469">
        <v>3907</v>
      </c>
      <c r="F1749" s="481">
        <v>3907</v>
      </c>
      <c r="G1749" s="242">
        <v>3907</v>
      </c>
      <c r="H1749" s="242">
        <v>3907</v>
      </c>
      <c r="I1749" s="242">
        <v>3907</v>
      </c>
      <c r="J1749" s="222"/>
      <c r="K1749" s="222"/>
      <c r="L1749" s="222"/>
      <c r="M1749" s="222"/>
      <c r="N1749" s="222"/>
      <c r="O1749" s="222"/>
      <c r="P1749" s="222"/>
      <c r="Q1749" s="222"/>
      <c r="R1749" s="222"/>
      <c r="S1749" s="222"/>
      <c r="T1749" s="222"/>
      <c r="U1749" s="222"/>
      <c r="V1749" s="222"/>
      <c r="W1749" s="222"/>
      <c r="X1749" s="222"/>
      <c r="Y1749" s="222"/>
      <c r="Z1749" s="222"/>
      <c r="AA1749" s="222"/>
      <c r="AB1749" s="222"/>
      <c r="AC1749" s="222"/>
      <c r="AD1749" s="222"/>
      <c r="AE1749" s="222"/>
      <c r="AF1749" s="222"/>
      <c r="AG1749" s="222"/>
      <c r="AH1749" s="222"/>
      <c r="AI1749" s="222"/>
      <c r="AJ1749" s="222"/>
      <c r="AK1749" s="222"/>
      <c r="AL1749" s="222"/>
      <c r="AM1749" s="222"/>
      <c r="AN1749" s="222"/>
      <c r="AO1749" s="222"/>
      <c r="AP1749" s="222"/>
      <c r="AQ1749" s="222"/>
      <c r="AR1749" s="222"/>
      <c r="AS1749" s="222"/>
      <c r="AT1749" s="222"/>
      <c r="AU1749" s="222"/>
      <c r="AV1749" s="222"/>
      <c r="AW1749" s="222"/>
      <c r="AX1749" s="222"/>
      <c r="AY1749" s="222"/>
      <c r="AZ1749" s="222"/>
      <c r="BA1749" s="222"/>
    </row>
    <row r="1750" spans="1:53" x14ac:dyDescent="0.25">
      <c r="A1750" s="463" t="s">
        <v>18</v>
      </c>
      <c r="B1750" s="464"/>
      <c r="C1750" s="468">
        <v>4468.05</v>
      </c>
      <c r="D1750" s="468">
        <v>4493.05</v>
      </c>
      <c r="E1750" s="469">
        <v>4493.05</v>
      </c>
      <c r="F1750" s="481">
        <v>4493.05</v>
      </c>
      <c r="G1750" s="242">
        <v>4493.05</v>
      </c>
      <c r="H1750" s="242">
        <v>4493.05</v>
      </c>
      <c r="I1750" s="242">
        <v>4493.05</v>
      </c>
      <c r="J1750" s="222"/>
      <c r="K1750" s="222"/>
      <c r="L1750" s="222"/>
      <c r="M1750" s="222"/>
      <c r="N1750" s="222"/>
      <c r="O1750" s="222"/>
      <c r="P1750" s="222"/>
      <c r="Q1750" s="222"/>
      <c r="R1750" s="222"/>
      <c r="S1750" s="222"/>
      <c r="T1750" s="222"/>
      <c r="U1750" s="222"/>
      <c r="V1750" s="222"/>
      <c r="W1750" s="222"/>
      <c r="X1750" s="222"/>
      <c r="Y1750" s="222"/>
      <c r="Z1750" s="222"/>
      <c r="AA1750" s="222"/>
      <c r="AB1750" s="222"/>
      <c r="AC1750" s="222"/>
      <c r="AD1750" s="222"/>
      <c r="AE1750" s="222"/>
      <c r="AF1750" s="222"/>
      <c r="AG1750" s="222"/>
      <c r="AH1750" s="222"/>
      <c r="AI1750" s="222"/>
      <c r="AJ1750" s="222"/>
      <c r="AK1750" s="222"/>
      <c r="AL1750" s="222"/>
      <c r="AM1750" s="222"/>
      <c r="AN1750" s="222"/>
      <c r="AO1750" s="222"/>
      <c r="AP1750" s="222"/>
      <c r="AQ1750" s="222"/>
      <c r="AR1750" s="222"/>
      <c r="AS1750" s="222"/>
      <c r="AT1750" s="222"/>
      <c r="AU1750" s="222"/>
      <c r="AV1750" s="222"/>
      <c r="AW1750" s="222"/>
      <c r="AX1750" s="222"/>
      <c r="AY1750" s="222"/>
      <c r="AZ1750" s="222"/>
      <c r="BA1750" s="222"/>
    </row>
    <row r="1751" spans="1:53" x14ac:dyDescent="0.25">
      <c r="A1751" s="463" t="s">
        <v>19</v>
      </c>
      <c r="B1751" s="464"/>
      <c r="C1751" s="493"/>
      <c r="D1751" s="469"/>
      <c r="E1751" s="469"/>
      <c r="F1751" s="481"/>
      <c r="G1751" s="242"/>
      <c r="H1751" s="242"/>
      <c r="I1751" s="242"/>
      <c r="J1751" s="222"/>
      <c r="K1751" s="222"/>
      <c r="L1751" s="222"/>
      <c r="M1751" s="222"/>
      <c r="N1751" s="222"/>
      <c r="O1751" s="222"/>
      <c r="P1751" s="222"/>
      <c r="Q1751" s="222"/>
      <c r="R1751" s="222"/>
      <c r="S1751" s="222"/>
      <c r="T1751" s="222"/>
      <c r="U1751" s="222"/>
      <c r="V1751" s="222"/>
      <c r="W1751" s="222"/>
      <c r="X1751" s="222"/>
      <c r="Y1751" s="222"/>
      <c r="Z1751" s="222"/>
      <c r="AA1751" s="222"/>
      <c r="AB1751" s="222"/>
      <c r="AC1751" s="222"/>
      <c r="AD1751" s="222"/>
      <c r="AE1751" s="222"/>
      <c r="AF1751" s="222"/>
      <c r="AG1751" s="222"/>
      <c r="AH1751" s="222"/>
      <c r="AI1751" s="222"/>
      <c r="AJ1751" s="222"/>
      <c r="AK1751" s="222"/>
      <c r="AL1751" s="222"/>
      <c r="AM1751" s="222"/>
      <c r="AN1751" s="222"/>
      <c r="AO1751" s="222"/>
      <c r="AP1751" s="222"/>
      <c r="AQ1751" s="222"/>
      <c r="AR1751" s="222"/>
      <c r="AS1751" s="222"/>
      <c r="AT1751" s="222"/>
      <c r="AU1751" s="222"/>
      <c r="AV1751" s="222"/>
      <c r="AW1751" s="222"/>
      <c r="AX1751" s="222"/>
      <c r="AY1751" s="222"/>
      <c r="AZ1751" s="222"/>
      <c r="BA1751" s="222"/>
    </row>
    <row r="1752" spans="1:53" x14ac:dyDescent="0.25">
      <c r="A1752" s="463" t="s">
        <v>20</v>
      </c>
      <c r="B1752" s="464"/>
      <c r="C1752" s="494">
        <v>1404.81</v>
      </c>
      <c r="D1752" s="469">
        <v>1274.78</v>
      </c>
      <c r="E1752" s="469">
        <v>1736.49</v>
      </c>
      <c r="F1752" s="481">
        <v>1441.75</v>
      </c>
      <c r="G1752" s="242">
        <v>1141.8399999999999</v>
      </c>
      <c r="H1752" s="242">
        <v>1339.19</v>
      </c>
      <c r="I1752" s="242"/>
      <c r="J1752" s="222"/>
      <c r="K1752" s="222"/>
      <c r="L1752" s="222"/>
      <c r="M1752" s="222"/>
      <c r="N1752" s="222"/>
      <c r="O1752" s="222"/>
      <c r="P1752" s="222"/>
      <c r="Q1752" s="222"/>
      <c r="R1752" s="222"/>
      <c r="S1752" s="222"/>
      <c r="T1752" s="222"/>
      <c r="U1752" s="222"/>
      <c r="V1752" s="222"/>
      <c r="W1752" s="222"/>
      <c r="X1752" s="222"/>
      <c r="Y1752" s="222"/>
      <c r="Z1752" s="222"/>
      <c r="AA1752" s="222"/>
      <c r="AB1752" s="222"/>
      <c r="AC1752" s="222"/>
      <c r="AD1752" s="222"/>
      <c r="AE1752" s="222"/>
      <c r="AF1752" s="222"/>
      <c r="AG1752" s="222"/>
      <c r="AH1752" s="222"/>
      <c r="AI1752" s="222"/>
      <c r="AJ1752" s="222"/>
      <c r="AK1752" s="222"/>
      <c r="AL1752" s="222"/>
      <c r="AM1752" s="222"/>
      <c r="AN1752" s="222"/>
      <c r="AO1752" s="222"/>
      <c r="AP1752" s="222"/>
      <c r="AQ1752" s="222"/>
      <c r="AR1752" s="222"/>
      <c r="AS1752" s="222"/>
      <c r="AT1752" s="222"/>
      <c r="AU1752" s="222"/>
      <c r="AV1752" s="222"/>
      <c r="AW1752" s="222"/>
      <c r="AX1752" s="222"/>
      <c r="AY1752" s="222"/>
      <c r="AZ1752" s="222"/>
      <c r="BA1752" s="222"/>
    </row>
    <row r="1753" spans="1:53" x14ac:dyDescent="0.25">
      <c r="A1753" s="463" t="s">
        <v>21</v>
      </c>
      <c r="B1753" s="464"/>
      <c r="C1753" s="468">
        <v>3063.24</v>
      </c>
      <c r="D1753" s="469">
        <f>D1750-D1752</f>
        <v>3218.2700000000004</v>
      </c>
      <c r="E1753" s="469">
        <f t="shared" ref="E1753:F1753" si="71">E1750-E1752</f>
        <v>2756.5600000000004</v>
      </c>
      <c r="F1753" s="469">
        <f t="shared" si="71"/>
        <v>3051.3</v>
      </c>
      <c r="G1753" s="242">
        <f>G1750-G1752</f>
        <v>3351.21</v>
      </c>
      <c r="H1753" s="242">
        <f>H1750-H1752</f>
        <v>3153.86</v>
      </c>
      <c r="I1753" s="242"/>
      <c r="J1753" s="222"/>
      <c r="K1753" s="222"/>
      <c r="L1753" s="222"/>
      <c r="M1753" s="222"/>
      <c r="N1753" s="222"/>
      <c r="O1753" s="222"/>
      <c r="P1753" s="222"/>
      <c r="Q1753" s="222"/>
      <c r="R1753" s="222"/>
      <c r="S1753" s="222"/>
      <c r="T1753" s="222"/>
      <c r="U1753" s="222"/>
      <c r="V1753" s="222"/>
      <c r="W1753" s="222"/>
      <c r="X1753" s="222"/>
      <c r="Y1753" s="222"/>
      <c r="Z1753" s="222"/>
      <c r="AA1753" s="222"/>
      <c r="AB1753" s="222"/>
      <c r="AC1753" s="222"/>
      <c r="AD1753" s="222"/>
      <c r="AE1753" s="222"/>
      <c r="AF1753" s="222"/>
      <c r="AG1753" s="222"/>
      <c r="AH1753" s="222"/>
      <c r="AI1753" s="222"/>
      <c r="AJ1753" s="222"/>
      <c r="AK1753" s="222"/>
      <c r="AL1753" s="222"/>
      <c r="AM1753" s="222"/>
      <c r="AN1753" s="222"/>
      <c r="AO1753" s="222"/>
      <c r="AP1753" s="222"/>
      <c r="AQ1753" s="222"/>
      <c r="AR1753" s="222"/>
      <c r="AS1753" s="222"/>
      <c r="AT1753" s="222"/>
      <c r="AU1753" s="222"/>
      <c r="AV1753" s="222"/>
      <c r="AW1753" s="222"/>
      <c r="AX1753" s="222"/>
      <c r="AY1753" s="222"/>
      <c r="AZ1753" s="222"/>
      <c r="BA1753" s="222"/>
    </row>
    <row r="1754" spans="1:53" x14ac:dyDescent="0.25">
      <c r="A1754" s="471" t="s">
        <v>22</v>
      </c>
      <c r="B1754" s="472"/>
      <c r="C1754" s="495">
        <v>2018</v>
      </c>
      <c r="D1754" s="473">
        <v>2019</v>
      </c>
      <c r="E1754" s="473">
        <v>2020</v>
      </c>
      <c r="F1754" s="482">
        <v>2021</v>
      </c>
      <c r="G1754" s="483">
        <v>2022</v>
      </c>
      <c r="H1754" s="483">
        <v>2023</v>
      </c>
      <c r="I1754" s="483">
        <v>2024</v>
      </c>
      <c r="J1754" s="222"/>
      <c r="K1754" s="222"/>
      <c r="L1754" s="222"/>
      <c r="M1754" s="222"/>
      <c r="N1754" s="222"/>
      <c r="O1754" s="222"/>
      <c r="P1754" s="222"/>
      <c r="Q1754" s="222"/>
      <c r="R1754" s="222"/>
      <c r="S1754" s="222"/>
      <c r="T1754" s="222"/>
      <c r="U1754" s="222"/>
      <c r="V1754" s="222"/>
      <c r="W1754" s="222"/>
      <c r="X1754" s="222"/>
      <c r="Y1754" s="222"/>
      <c r="Z1754" s="222"/>
      <c r="AA1754" s="222"/>
      <c r="AB1754" s="222"/>
      <c r="AC1754" s="222"/>
      <c r="AD1754" s="222"/>
      <c r="AE1754" s="222"/>
      <c r="AF1754" s="222"/>
      <c r="AG1754" s="222"/>
      <c r="AH1754" s="222"/>
      <c r="AI1754" s="222"/>
      <c r="AJ1754" s="222"/>
      <c r="AK1754" s="222"/>
      <c r="AL1754" s="222"/>
      <c r="AM1754" s="222"/>
      <c r="AN1754" s="222"/>
      <c r="AO1754" s="222"/>
      <c r="AP1754" s="222"/>
      <c r="AQ1754" s="222"/>
      <c r="AR1754" s="222"/>
      <c r="AS1754" s="222"/>
      <c r="AT1754" s="222"/>
      <c r="AU1754" s="222"/>
      <c r="AV1754" s="222"/>
      <c r="AW1754" s="222"/>
      <c r="AX1754" s="222"/>
      <c r="AY1754" s="222"/>
      <c r="AZ1754" s="222"/>
      <c r="BA1754" s="222"/>
    </row>
    <row r="1755" spans="1:53" x14ac:dyDescent="0.25">
      <c r="A1755" s="484" t="s">
        <v>120</v>
      </c>
      <c r="B1755" s="485"/>
      <c r="C1755" s="485"/>
      <c r="D1755" s="485"/>
      <c r="E1755" s="485"/>
      <c r="F1755" s="485"/>
      <c r="G1755" s="485"/>
      <c r="H1755" s="485"/>
      <c r="I1755" s="486"/>
      <c r="J1755" s="222"/>
      <c r="K1755" s="222"/>
      <c r="L1755" s="222"/>
      <c r="M1755" s="222"/>
      <c r="N1755" s="222"/>
      <c r="O1755" s="222"/>
      <c r="P1755" s="222"/>
      <c r="Q1755" s="222"/>
      <c r="R1755" s="222"/>
      <c r="S1755" s="222"/>
      <c r="T1755" s="222"/>
      <c r="U1755" s="222"/>
      <c r="V1755" s="222"/>
      <c r="W1755" s="222"/>
      <c r="X1755" s="222"/>
      <c r="Y1755" s="222"/>
      <c r="Z1755" s="222"/>
      <c r="AA1755" s="222"/>
      <c r="AB1755" s="222"/>
      <c r="AC1755" s="222"/>
      <c r="AD1755" s="222"/>
      <c r="AE1755" s="222"/>
      <c r="AF1755" s="222"/>
      <c r="AG1755" s="222"/>
      <c r="AH1755" s="222"/>
      <c r="AI1755" s="222"/>
      <c r="AJ1755" s="222"/>
      <c r="AK1755" s="222"/>
      <c r="AL1755" s="222"/>
      <c r="AM1755" s="222"/>
      <c r="AN1755" s="222"/>
      <c r="AO1755" s="222"/>
      <c r="AP1755" s="222"/>
      <c r="AQ1755" s="222"/>
      <c r="AR1755" s="222"/>
      <c r="AS1755" s="222"/>
      <c r="AT1755" s="222"/>
      <c r="AU1755" s="222"/>
      <c r="AV1755" s="222"/>
      <c r="AW1755" s="222"/>
      <c r="AX1755" s="222"/>
      <c r="AY1755" s="222"/>
      <c r="AZ1755" s="222"/>
      <c r="BA1755" s="222"/>
    </row>
    <row r="1756" spans="1:53" x14ac:dyDescent="0.25">
      <c r="A1756" s="487" t="s">
        <v>121</v>
      </c>
      <c r="B1756" s="459"/>
      <c r="C1756" s="459"/>
      <c r="D1756" s="459"/>
      <c r="E1756" s="459"/>
      <c r="F1756" s="459"/>
      <c r="G1756" s="459"/>
      <c r="H1756" s="459"/>
      <c r="I1756" s="488"/>
      <c r="J1756" s="222"/>
      <c r="K1756" s="222"/>
      <c r="L1756" s="222"/>
      <c r="M1756" s="222"/>
      <c r="N1756" s="222"/>
      <c r="O1756" s="222"/>
      <c r="P1756" s="222"/>
      <c r="Q1756" s="222"/>
      <c r="R1756" s="222"/>
      <c r="S1756" s="222"/>
      <c r="T1756" s="222"/>
      <c r="U1756" s="222"/>
      <c r="V1756" s="222"/>
      <c r="W1756" s="222"/>
      <c r="X1756" s="222"/>
      <c r="Y1756" s="222"/>
      <c r="Z1756" s="222"/>
      <c r="AA1756" s="222"/>
      <c r="AB1756" s="222"/>
      <c r="AC1756" s="222"/>
      <c r="AD1756" s="222"/>
      <c r="AE1756" s="222"/>
      <c r="AF1756" s="222"/>
      <c r="AG1756" s="222"/>
      <c r="AH1756" s="222"/>
      <c r="AI1756" s="222"/>
      <c r="AJ1756" s="222"/>
      <c r="AK1756" s="222"/>
      <c r="AL1756" s="222"/>
      <c r="AM1756" s="222"/>
      <c r="AN1756" s="222"/>
      <c r="AO1756" s="222"/>
      <c r="AP1756" s="222"/>
      <c r="AQ1756" s="222"/>
      <c r="AR1756" s="222"/>
      <c r="AS1756" s="222"/>
      <c r="AT1756" s="222"/>
      <c r="AU1756" s="222"/>
      <c r="AV1756" s="222"/>
      <c r="AW1756" s="222"/>
      <c r="AX1756" s="222"/>
      <c r="AY1756" s="222"/>
      <c r="AZ1756" s="222"/>
      <c r="BA1756" s="222"/>
    </row>
    <row r="1757" spans="1:53" x14ac:dyDescent="0.25">
      <c r="A1757" s="487" t="s">
        <v>122</v>
      </c>
      <c r="B1757" s="459"/>
      <c r="C1757" s="459"/>
      <c r="D1757" s="459"/>
      <c r="E1757" s="459"/>
      <c r="F1757" s="459"/>
      <c r="G1757" s="459"/>
      <c r="H1757" s="459"/>
      <c r="I1757" s="488"/>
      <c r="J1757" s="222"/>
      <c r="K1757" s="222"/>
      <c r="L1757" s="222"/>
      <c r="M1757" s="222"/>
      <c r="N1757" s="222"/>
      <c r="O1757" s="222"/>
      <c r="P1757" s="222"/>
      <c r="Q1757" s="222"/>
      <c r="R1757" s="222"/>
      <c r="S1757" s="222"/>
      <c r="T1757" s="222"/>
      <c r="U1757" s="222"/>
      <c r="V1757" s="222"/>
      <c r="W1757" s="222"/>
      <c r="X1757" s="222"/>
      <c r="Y1757" s="222"/>
      <c r="Z1757" s="222"/>
      <c r="AA1757" s="222"/>
      <c r="AB1757" s="222"/>
      <c r="AC1757" s="222"/>
      <c r="AD1757" s="222"/>
      <c r="AE1757" s="222"/>
      <c r="AF1757" s="222"/>
      <c r="AG1757" s="222"/>
      <c r="AH1757" s="222"/>
      <c r="AI1757" s="222"/>
      <c r="AJ1757" s="222"/>
      <c r="AK1757" s="222"/>
      <c r="AL1757" s="222"/>
      <c r="AM1757" s="222"/>
      <c r="AN1757" s="222"/>
      <c r="AO1757" s="222"/>
      <c r="AP1757" s="222"/>
      <c r="AQ1757" s="222"/>
      <c r="AR1757" s="222"/>
      <c r="AS1757" s="222"/>
      <c r="AT1757" s="222"/>
      <c r="AU1757" s="222"/>
      <c r="AV1757" s="222"/>
      <c r="AW1757" s="222"/>
      <c r="AX1757" s="222"/>
      <c r="AY1757" s="222"/>
      <c r="AZ1757" s="222"/>
      <c r="BA1757" s="222"/>
    </row>
    <row r="1758" spans="1:53" x14ac:dyDescent="0.25">
      <c r="A1758" s="487" t="s">
        <v>123</v>
      </c>
      <c r="B1758" s="459"/>
      <c r="C1758" s="459"/>
      <c r="D1758" s="459"/>
      <c r="E1758" s="459"/>
      <c r="F1758" s="459"/>
      <c r="G1758" s="459"/>
      <c r="H1758" s="459"/>
      <c r="I1758" s="488"/>
      <c r="J1758" s="222"/>
      <c r="K1758" s="222"/>
      <c r="L1758" s="222"/>
      <c r="M1758" s="222"/>
      <c r="N1758" s="222"/>
      <c r="O1758" s="222"/>
      <c r="P1758" s="222"/>
      <c r="Q1758" s="222"/>
      <c r="R1758" s="222"/>
      <c r="S1758" s="222"/>
      <c r="T1758" s="222"/>
      <c r="U1758" s="222"/>
      <c r="V1758" s="222"/>
      <c r="W1758" s="222"/>
      <c r="X1758" s="222"/>
      <c r="Y1758" s="222"/>
      <c r="Z1758" s="222"/>
      <c r="AA1758" s="222"/>
      <c r="AB1758" s="222"/>
      <c r="AC1758" s="222"/>
      <c r="AD1758" s="222"/>
      <c r="AE1758" s="222"/>
      <c r="AF1758" s="222"/>
      <c r="AG1758" s="222"/>
      <c r="AH1758" s="222"/>
      <c r="AI1758" s="222"/>
      <c r="AJ1758" s="222"/>
      <c r="AK1758" s="222"/>
      <c r="AL1758" s="222"/>
      <c r="AM1758" s="222"/>
      <c r="AN1758" s="222"/>
      <c r="AO1758" s="222"/>
      <c r="AP1758" s="222"/>
      <c r="AQ1758" s="222"/>
      <c r="AR1758" s="222"/>
      <c r="AS1758" s="222"/>
      <c r="AT1758" s="222"/>
      <c r="AU1758" s="222"/>
      <c r="AV1758" s="222"/>
      <c r="AW1758" s="222"/>
      <c r="AX1758" s="222"/>
      <c r="AY1758" s="222"/>
      <c r="AZ1758" s="222"/>
      <c r="BA1758" s="222"/>
    </row>
    <row r="1759" spans="1:53" x14ac:dyDescent="0.25">
      <c r="A1759" s="221" t="s">
        <v>303</v>
      </c>
      <c r="B1759" s="459"/>
      <c r="C1759" s="459"/>
      <c r="D1759" s="459"/>
      <c r="E1759" s="459"/>
      <c r="F1759" s="459"/>
      <c r="G1759" s="459"/>
      <c r="H1759" s="459"/>
      <c r="I1759" s="488"/>
      <c r="J1759" s="222"/>
      <c r="K1759" s="222"/>
      <c r="L1759" s="222"/>
      <c r="M1759" s="222"/>
      <c r="N1759" s="222"/>
      <c r="O1759" s="222"/>
      <c r="P1759" s="222"/>
      <c r="Q1759" s="222"/>
      <c r="R1759" s="222"/>
      <c r="S1759" s="222"/>
      <c r="T1759" s="222"/>
      <c r="U1759" s="222"/>
      <c r="V1759" s="222"/>
      <c r="W1759" s="222"/>
      <c r="X1759" s="222"/>
      <c r="Y1759" s="222"/>
      <c r="Z1759" s="222"/>
      <c r="AA1759" s="222"/>
      <c r="AB1759" s="222"/>
      <c r="AC1759" s="222"/>
      <c r="AD1759" s="222"/>
      <c r="AE1759" s="222"/>
      <c r="AF1759" s="222"/>
      <c r="AG1759" s="222"/>
      <c r="AH1759" s="222"/>
      <c r="AI1759" s="222"/>
      <c r="AJ1759" s="222"/>
      <c r="AK1759" s="222"/>
      <c r="AL1759" s="222"/>
      <c r="AM1759" s="222"/>
      <c r="AN1759" s="222"/>
      <c r="AO1759" s="222"/>
      <c r="AP1759" s="222"/>
      <c r="AQ1759" s="222"/>
      <c r="AR1759" s="222"/>
      <c r="AS1759" s="222"/>
      <c r="AT1759" s="222"/>
      <c r="AU1759" s="222"/>
      <c r="AV1759" s="222"/>
      <c r="AW1759" s="222"/>
      <c r="AX1759" s="222"/>
      <c r="AY1759" s="222"/>
      <c r="AZ1759" s="222"/>
      <c r="BA1759" s="222"/>
    </row>
    <row r="1760" spans="1:53" x14ac:dyDescent="0.25">
      <c r="A1760" s="487" t="s">
        <v>544</v>
      </c>
      <c r="B1760" s="459"/>
      <c r="C1760" s="459"/>
      <c r="D1760" s="459"/>
      <c r="E1760" s="459"/>
      <c r="F1760" s="459"/>
      <c r="G1760" s="459"/>
      <c r="H1760" s="459"/>
      <c r="I1760" s="488"/>
      <c r="J1760" s="222"/>
      <c r="K1760" s="222"/>
      <c r="L1760" s="222"/>
      <c r="M1760" s="222"/>
      <c r="N1760" s="222"/>
      <c r="O1760" s="222"/>
      <c r="P1760" s="222"/>
      <c r="Q1760" s="222"/>
      <c r="R1760" s="222"/>
      <c r="S1760" s="222"/>
      <c r="T1760" s="222"/>
      <c r="U1760" s="222"/>
      <c r="V1760" s="222"/>
      <c r="W1760" s="222"/>
      <c r="X1760" s="222"/>
      <c r="Y1760" s="222"/>
      <c r="Z1760" s="222"/>
      <c r="AA1760" s="222"/>
      <c r="AB1760" s="222"/>
      <c r="AC1760" s="222"/>
      <c r="AD1760" s="222"/>
      <c r="AE1760" s="222"/>
      <c r="AF1760" s="222"/>
      <c r="AG1760" s="222"/>
      <c r="AH1760" s="222"/>
      <c r="AI1760" s="222"/>
      <c r="AJ1760" s="222"/>
      <c r="AK1760" s="222"/>
      <c r="AL1760" s="222"/>
      <c r="AM1760" s="222"/>
      <c r="AN1760" s="222"/>
      <c r="AO1760" s="222"/>
      <c r="AP1760" s="222"/>
      <c r="AQ1760" s="222"/>
      <c r="AR1760" s="222"/>
      <c r="AS1760" s="222"/>
      <c r="AT1760" s="222"/>
      <c r="AU1760" s="222"/>
      <c r="AV1760" s="222"/>
      <c r="AW1760" s="222"/>
      <c r="AX1760" s="222"/>
      <c r="AY1760" s="222"/>
      <c r="AZ1760" s="222"/>
      <c r="BA1760" s="222"/>
    </row>
    <row r="1761" spans="1:53" x14ac:dyDescent="0.25">
      <c r="A1761" s="487" t="s">
        <v>690</v>
      </c>
      <c r="B1761" s="459"/>
      <c r="C1761" s="459"/>
      <c r="D1761" s="459"/>
      <c r="E1761" s="459"/>
      <c r="F1761" s="459"/>
      <c r="G1761" s="459"/>
      <c r="H1761" s="459"/>
      <c r="I1761" s="488"/>
      <c r="J1761" s="222"/>
      <c r="K1761" s="222"/>
      <c r="L1761" s="222"/>
      <c r="M1761" s="222"/>
      <c r="N1761" s="222"/>
      <c r="O1761" s="222"/>
      <c r="P1761" s="222"/>
      <c r="Q1761" s="222"/>
      <c r="R1761" s="222"/>
      <c r="S1761" s="222"/>
      <c r="T1761" s="222"/>
      <c r="U1761" s="222"/>
      <c r="V1761" s="222"/>
      <c r="W1761" s="222"/>
      <c r="X1761" s="222"/>
      <c r="Y1761" s="222"/>
      <c r="Z1761" s="222"/>
      <c r="AA1761" s="222"/>
      <c r="AB1761" s="222"/>
      <c r="AC1761" s="222"/>
      <c r="AD1761" s="222"/>
      <c r="AE1761" s="222"/>
      <c r="AF1761" s="222"/>
      <c r="AG1761" s="222"/>
      <c r="AH1761" s="222"/>
      <c r="AI1761" s="222"/>
      <c r="AJ1761" s="222"/>
      <c r="AK1761" s="222"/>
      <c r="AL1761" s="222"/>
      <c r="AM1761" s="222"/>
      <c r="AN1761" s="222"/>
      <c r="AO1761" s="222"/>
      <c r="AP1761" s="222"/>
      <c r="AQ1761" s="222"/>
      <c r="AR1761" s="222"/>
      <c r="AS1761" s="222"/>
      <c r="AT1761" s="222"/>
      <c r="AU1761" s="222"/>
      <c r="AV1761" s="222"/>
      <c r="AW1761" s="222"/>
      <c r="AX1761" s="222"/>
      <c r="AY1761" s="222"/>
      <c r="AZ1761" s="222"/>
      <c r="BA1761" s="222"/>
    </row>
    <row r="1762" spans="1:53" x14ac:dyDescent="0.25">
      <c r="A1762" s="489" t="s">
        <v>939</v>
      </c>
      <c r="B1762" s="490"/>
      <c r="C1762" s="490"/>
      <c r="D1762" s="490"/>
      <c r="E1762" s="490"/>
      <c r="F1762" s="490"/>
      <c r="G1762" s="490"/>
      <c r="H1762" s="490"/>
      <c r="I1762" s="491"/>
      <c r="J1762" s="222"/>
      <c r="K1762" s="222"/>
      <c r="L1762" s="222"/>
      <c r="M1762" s="222"/>
      <c r="N1762" s="222"/>
      <c r="O1762" s="222"/>
      <c r="P1762" s="222"/>
      <c r="Q1762" s="222"/>
      <c r="R1762" s="222"/>
      <c r="S1762" s="222"/>
      <c r="T1762" s="222"/>
      <c r="U1762" s="222"/>
      <c r="V1762" s="222"/>
      <c r="W1762" s="222"/>
      <c r="X1762" s="222"/>
      <c r="Y1762" s="222"/>
      <c r="Z1762" s="222"/>
      <c r="AA1762" s="222"/>
      <c r="AB1762" s="222"/>
      <c r="AC1762" s="222"/>
      <c r="AD1762" s="222"/>
      <c r="AE1762" s="222"/>
      <c r="AF1762" s="222"/>
      <c r="AG1762" s="222"/>
      <c r="AH1762" s="222"/>
      <c r="AI1762" s="222"/>
      <c r="AJ1762" s="222"/>
      <c r="AK1762" s="222"/>
      <c r="AL1762" s="222"/>
      <c r="AM1762" s="222"/>
      <c r="AN1762" s="222"/>
      <c r="AO1762" s="222"/>
      <c r="AP1762" s="222"/>
      <c r="AQ1762" s="222"/>
      <c r="AR1762" s="222"/>
      <c r="AS1762" s="222"/>
      <c r="AT1762" s="222"/>
      <c r="AU1762" s="222"/>
      <c r="AV1762" s="222"/>
      <c r="AW1762" s="222"/>
      <c r="AX1762" s="222"/>
      <c r="AY1762" s="222"/>
      <c r="AZ1762" s="222"/>
      <c r="BA1762" s="222"/>
    </row>
    <row r="1763" spans="1:53" x14ac:dyDescent="0.25">
      <c r="A1763" s="222"/>
      <c r="B1763" s="222"/>
      <c r="C1763" s="222"/>
      <c r="D1763" s="222"/>
      <c r="E1763" s="222"/>
      <c r="F1763" s="222"/>
      <c r="G1763" s="222"/>
      <c r="H1763" s="222"/>
      <c r="I1763" s="222"/>
      <c r="J1763" s="222"/>
      <c r="K1763" s="222"/>
      <c r="L1763" s="222"/>
      <c r="M1763" s="222"/>
      <c r="N1763" s="222"/>
      <c r="O1763" s="222"/>
      <c r="P1763" s="222"/>
      <c r="Q1763" s="222"/>
      <c r="R1763" s="222"/>
      <c r="S1763" s="222"/>
      <c r="T1763" s="222"/>
      <c r="U1763" s="222"/>
      <c r="V1763" s="222"/>
      <c r="W1763" s="222"/>
      <c r="X1763" s="222"/>
      <c r="Y1763" s="222"/>
      <c r="Z1763" s="222"/>
      <c r="AA1763" s="222"/>
      <c r="AB1763" s="222"/>
      <c r="AC1763" s="222"/>
      <c r="AD1763" s="222"/>
      <c r="AE1763" s="222"/>
      <c r="AF1763" s="222"/>
      <c r="AG1763" s="222"/>
      <c r="AH1763" s="222"/>
      <c r="AI1763" s="222"/>
      <c r="AJ1763" s="222"/>
      <c r="AK1763" s="222"/>
      <c r="AL1763" s="222"/>
      <c r="AM1763" s="222"/>
      <c r="AN1763" s="222"/>
      <c r="AO1763" s="222"/>
      <c r="AP1763" s="222"/>
      <c r="AQ1763" s="222"/>
      <c r="AR1763" s="222"/>
      <c r="AS1763" s="222"/>
      <c r="AT1763" s="222"/>
      <c r="AU1763" s="222"/>
      <c r="AV1763" s="222"/>
      <c r="AW1763" s="222"/>
      <c r="AX1763" s="222"/>
      <c r="AY1763" s="222"/>
      <c r="AZ1763" s="222"/>
      <c r="BA1763" s="222"/>
    </row>
    <row r="1764" spans="1:53" x14ac:dyDescent="0.25">
      <c r="A1764" s="460" t="s">
        <v>14</v>
      </c>
      <c r="B1764" s="461" t="s">
        <v>660</v>
      </c>
      <c r="C1764" s="462" t="s">
        <v>15</v>
      </c>
      <c r="D1764" s="459"/>
      <c r="E1764" s="459"/>
      <c r="F1764" s="459"/>
      <c r="G1764" s="459"/>
      <c r="H1764" s="459"/>
      <c r="I1764" s="222"/>
      <c r="J1764" s="222"/>
      <c r="K1764" s="222"/>
      <c r="L1764" s="222"/>
      <c r="M1764" s="222"/>
      <c r="N1764" s="222"/>
      <c r="O1764" s="222"/>
      <c r="P1764" s="222"/>
      <c r="Q1764" s="222"/>
      <c r="R1764" s="222"/>
      <c r="S1764" s="222"/>
      <c r="T1764" s="222"/>
      <c r="U1764" s="222"/>
      <c r="V1764" s="222"/>
      <c r="W1764" s="222"/>
      <c r="X1764" s="222"/>
      <c r="Y1764" s="222"/>
      <c r="Z1764" s="222"/>
      <c r="AA1764" s="222"/>
      <c r="AB1764" s="222"/>
      <c r="AC1764" s="222"/>
      <c r="AD1764" s="222"/>
      <c r="AE1764" s="222"/>
      <c r="AF1764" s="222"/>
      <c r="AG1764" s="222"/>
      <c r="AH1764" s="222"/>
      <c r="AI1764" s="222"/>
      <c r="AJ1764" s="222"/>
      <c r="AK1764" s="222"/>
      <c r="AL1764" s="222"/>
      <c r="AM1764" s="222"/>
      <c r="AN1764" s="222"/>
      <c r="AO1764" s="222"/>
      <c r="AP1764" s="222"/>
      <c r="AQ1764" s="222"/>
      <c r="AR1764" s="222"/>
      <c r="AS1764" s="222"/>
      <c r="AT1764" s="222"/>
      <c r="AU1764" s="222"/>
      <c r="AV1764" s="222"/>
      <c r="AW1764" s="222"/>
      <c r="AX1764" s="222"/>
      <c r="AY1764" s="222"/>
      <c r="AZ1764" s="222"/>
      <c r="BA1764" s="222"/>
    </row>
    <row r="1765" spans="1:53" x14ac:dyDescent="0.25">
      <c r="A1765" s="463" t="s">
        <v>16</v>
      </c>
      <c r="B1765" s="464"/>
      <c r="C1765" s="496">
        <v>2017</v>
      </c>
      <c r="D1765" s="497">
        <v>2018</v>
      </c>
      <c r="E1765" s="497">
        <v>2019</v>
      </c>
      <c r="F1765" s="498">
        <v>2020</v>
      </c>
      <c r="G1765" s="480">
        <v>2021</v>
      </c>
      <c r="H1765" s="480">
        <v>2022</v>
      </c>
      <c r="I1765" s="480">
        <v>2023</v>
      </c>
      <c r="J1765" s="222"/>
      <c r="K1765" s="222"/>
      <c r="L1765" s="222"/>
      <c r="M1765" s="222"/>
      <c r="N1765" s="222"/>
      <c r="O1765" s="222"/>
      <c r="P1765" s="222"/>
      <c r="Q1765" s="222"/>
      <c r="R1765" s="222"/>
      <c r="S1765" s="222"/>
      <c r="T1765" s="222"/>
      <c r="U1765" s="222"/>
      <c r="V1765" s="222"/>
      <c r="W1765" s="222"/>
      <c r="X1765" s="222"/>
      <c r="Y1765" s="222"/>
      <c r="Z1765" s="222"/>
      <c r="AA1765" s="222"/>
      <c r="AB1765" s="222"/>
      <c r="AC1765" s="222"/>
      <c r="AD1765" s="222"/>
      <c r="AE1765" s="222"/>
      <c r="AF1765" s="222"/>
      <c r="AG1765" s="222"/>
      <c r="AH1765" s="222"/>
      <c r="AI1765" s="222"/>
      <c r="AJ1765" s="222"/>
      <c r="AK1765" s="222"/>
      <c r="AL1765" s="222"/>
      <c r="AM1765" s="222"/>
      <c r="AN1765" s="222"/>
      <c r="AO1765" s="222"/>
      <c r="AP1765" s="222"/>
      <c r="AQ1765" s="222"/>
      <c r="AR1765" s="222"/>
      <c r="AS1765" s="222"/>
      <c r="AT1765" s="222"/>
      <c r="AU1765" s="222"/>
      <c r="AV1765" s="222"/>
      <c r="AW1765" s="222"/>
      <c r="AX1765" s="222"/>
      <c r="AY1765" s="222"/>
      <c r="AZ1765" s="222"/>
      <c r="BA1765" s="222"/>
    </row>
    <row r="1766" spans="1:53" x14ac:dyDescent="0.25">
      <c r="A1766" s="463" t="s">
        <v>17</v>
      </c>
      <c r="B1766" s="463"/>
      <c r="C1766" s="499">
        <v>100</v>
      </c>
      <c r="D1766" s="499">
        <v>100</v>
      </c>
      <c r="E1766" s="242">
        <v>100</v>
      </c>
      <c r="F1766" s="242">
        <v>100</v>
      </c>
      <c r="G1766" s="242">
        <v>100</v>
      </c>
      <c r="H1766" s="242">
        <v>100</v>
      </c>
      <c r="I1766" s="242">
        <v>100</v>
      </c>
      <c r="J1766" s="222"/>
      <c r="K1766" s="222"/>
      <c r="L1766" s="222"/>
      <c r="M1766" s="222"/>
      <c r="N1766" s="222"/>
      <c r="O1766" s="222"/>
      <c r="P1766" s="222"/>
      <c r="Q1766" s="222"/>
      <c r="R1766" s="222"/>
      <c r="S1766" s="222"/>
      <c r="T1766" s="222"/>
      <c r="U1766" s="222"/>
      <c r="V1766" s="222"/>
      <c r="W1766" s="222"/>
      <c r="X1766" s="222"/>
      <c r="Y1766" s="222"/>
      <c r="Z1766" s="222"/>
      <c r="AA1766" s="222"/>
      <c r="AB1766" s="222"/>
      <c r="AC1766" s="222"/>
      <c r="AD1766" s="222"/>
      <c r="AE1766" s="222"/>
      <c r="AF1766" s="222"/>
      <c r="AG1766" s="222"/>
      <c r="AH1766" s="222"/>
      <c r="AI1766" s="222"/>
      <c r="AJ1766" s="222"/>
      <c r="AK1766" s="222"/>
      <c r="AL1766" s="222"/>
      <c r="AM1766" s="222"/>
      <c r="AN1766" s="222"/>
      <c r="AO1766" s="222"/>
      <c r="AP1766" s="222"/>
      <c r="AQ1766" s="222"/>
      <c r="AR1766" s="222"/>
      <c r="AS1766" s="222"/>
      <c r="AT1766" s="222"/>
      <c r="AU1766" s="222"/>
      <c r="AV1766" s="222"/>
      <c r="AW1766" s="222"/>
      <c r="AX1766" s="222"/>
      <c r="AY1766" s="222"/>
      <c r="AZ1766" s="222"/>
      <c r="BA1766" s="222"/>
    </row>
    <row r="1767" spans="1:53" x14ac:dyDescent="0.25">
      <c r="A1767" s="463" t="s">
        <v>18</v>
      </c>
      <c r="B1767" s="463"/>
      <c r="C1767" s="499">
        <v>99.94</v>
      </c>
      <c r="D1767" s="499">
        <v>99.94</v>
      </c>
      <c r="E1767" s="242">
        <v>99.94</v>
      </c>
      <c r="F1767" s="242">
        <v>99.94</v>
      </c>
      <c r="G1767" s="242">
        <v>99.94</v>
      </c>
      <c r="H1767" s="242">
        <f>H1766-50-25-24.94+G1770</f>
        <v>100</v>
      </c>
      <c r="I1767" s="242">
        <f>I1766-50-25-24.94+H1770</f>
        <v>100.06</v>
      </c>
      <c r="J1767" s="222"/>
      <c r="K1767" s="222"/>
      <c r="L1767" s="222"/>
      <c r="M1767" s="222"/>
      <c r="N1767" s="222"/>
      <c r="O1767" s="222"/>
      <c r="P1767" s="222"/>
      <c r="Q1767" s="222"/>
      <c r="R1767" s="222"/>
      <c r="S1767" s="222"/>
      <c r="T1767" s="222"/>
      <c r="U1767" s="222"/>
      <c r="V1767" s="222"/>
      <c r="W1767" s="222"/>
      <c r="X1767" s="222"/>
      <c r="Y1767" s="222"/>
      <c r="Z1767" s="222"/>
      <c r="AA1767" s="222"/>
      <c r="AB1767" s="222"/>
      <c r="AC1767" s="222"/>
      <c r="AD1767" s="222"/>
      <c r="AE1767" s="222"/>
      <c r="AF1767" s="222"/>
      <c r="AG1767" s="222"/>
      <c r="AH1767" s="222"/>
      <c r="AI1767" s="222"/>
      <c r="AJ1767" s="222"/>
      <c r="AK1767" s="222"/>
      <c r="AL1767" s="222"/>
      <c r="AM1767" s="222"/>
      <c r="AN1767" s="222"/>
      <c r="AO1767" s="222"/>
      <c r="AP1767" s="222"/>
      <c r="AQ1767" s="222"/>
      <c r="AR1767" s="222"/>
      <c r="AS1767" s="222"/>
      <c r="AT1767" s="222"/>
      <c r="AU1767" s="222"/>
      <c r="AV1767" s="222"/>
      <c r="AW1767" s="222"/>
      <c r="AX1767" s="222"/>
      <c r="AY1767" s="222"/>
      <c r="AZ1767" s="222"/>
      <c r="BA1767" s="222"/>
    </row>
    <row r="1768" spans="1:53" x14ac:dyDescent="0.25">
      <c r="A1768" s="463" t="s">
        <v>19</v>
      </c>
      <c r="B1768" s="463"/>
      <c r="C1768" s="242"/>
      <c r="D1768" s="242"/>
      <c r="E1768" s="242"/>
      <c r="F1768" s="242"/>
      <c r="G1768" s="242"/>
      <c r="H1768" s="242"/>
      <c r="I1768" s="242"/>
      <c r="J1768" s="222"/>
      <c r="K1768" s="222"/>
      <c r="L1768" s="222"/>
      <c r="M1768" s="222"/>
      <c r="N1768" s="222"/>
      <c r="O1768" s="222"/>
      <c r="P1768" s="222"/>
      <c r="Q1768" s="222"/>
      <c r="R1768" s="222"/>
      <c r="S1768" s="222"/>
      <c r="T1768" s="222"/>
      <c r="U1768" s="222"/>
      <c r="V1768" s="222"/>
      <c r="W1768" s="222"/>
      <c r="X1768" s="222"/>
      <c r="Y1768" s="222"/>
      <c r="Z1768" s="222"/>
      <c r="AA1768" s="222"/>
      <c r="AB1768" s="222"/>
      <c r="AC1768" s="222"/>
      <c r="AD1768" s="222"/>
      <c r="AE1768" s="222"/>
      <c r="AF1768" s="222"/>
      <c r="AG1768" s="222"/>
      <c r="AH1768" s="222"/>
      <c r="AI1768" s="222"/>
      <c r="AJ1768" s="222"/>
      <c r="AK1768" s="222"/>
      <c r="AL1768" s="222"/>
      <c r="AM1768" s="222"/>
      <c r="AN1768" s="222"/>
      <c r="AO1768" s="222"/>
      <c r="AP1768" s="222"/>
      <c r="AQ1768" s="222"/>
      <c r="AR1768" s="222"/>
      <c r="AS1768" s="222"/>
      <c r="AT1768" s="222"/>
      <c r="AU1768" s="222"/>
      <c r="AV1768" s="222"/>
      <c r="AW1768" s="222"/>
      <c r="AX1768" s="222"/>
      <c r="AY1768" s="222"/>
      <c r="AZ1768" s="222"/>
      <c r="BA1768" s="222"/>
    </row>
    <row r="1769" spans="1:53" x14ac:dyDescent="0.25">
      <c r="A1769" s="463" t="s">
        <v>20</v>
      </c>
      <c r="B1769" s="463"/>
      <c r="C1769" s="499">
        <v>0</v>
      </c>
      <c r="D1769" s="499">
        <v>0</v>
      </c>
      <c r="E1769" s="499">
        <v>0</v>
      </c>
      <c r="F1769" s="242">
        <v>0</v>
      </c>
      <c r="G1769" s="242">
        <v>0</v>
      </c>
      <c r="H1769" s="242">
        <v>0</v>
      </c>
      <c r="I1769" s="242"/>
      <c r="J1769" s="222"/>
      <c r="K1769" s="222"/>
      <c r="L1769" s="222"/>
      <c r="M1769" s="222"/>
      <c r="N1769" s="222"/>
      <c r="O1769" s="222"/>
      <c r="P1769" s="222"/>
      <c r="Q1769" s="222"/>
      <c r="R1769" s="222"/>
      <c r="S1769" s="222"/>
      <c r="T1769" s="222"/>
      <c r="U1769" s="222"/>
      <c r="V1769" s="222"/>
      <c r="W1769" s="222"/>
      <c r="X1769" s="222"/>
      <c r="Y1769" s="222"/>
      <c r="Z1769" s="222"/>
      <c r="AA1769" s="222"/>
      <c r="AB1769" s="222"/>
      <c r="AC1769" s="222"/>
      <c r="AD1769" s="222"/>
      <c r="AE1769" s="222"/>
      <c r="AF1769" s="222"/>
      <c r="AG1769" s="222"/>
      <c r="AH1769" s="222"/>
      <c r="AI1769" s="222"/>
      <c r="AJ1769" s="222"/>
      <c r="AK1769" s="222"/>
      <c r="AL1769" s="222"/>
      <c r="AM1769" s="222"/>
      <c r="AN1769" s="222"/>
      <c r="AO1769" s="222"/>
      <c r="AP1769" s="222"/>
      <c r="AQ1769" s="222"/>
      <c r="AR1769" s="222"/>
      <c r="AS1769" s="222"/>
      <c r="AT1769" s="222"/>
      <c r="AU1769" s="222"/>
      <c r="AV1769" s="222"/>
      <c r="AW1769" s="222"/>
      <c r="AX1769" s="222"/>
      <c r="AY1769" s="222"/>
      <c r="AZ1769" s="222"/>
      <c r="BA1769" s="222"/>
    </row>
    <row r="1770" spans="1:53" x14ac:dyDescent="0.25">
      <c r="A1770" s="463" t="s">
        <v>21</v>
      </c>
      <c r="B1770" s="464"/>
      <c r="C1770" s="500">
        <v>99.94</v>
      </c>
      <c r="D1770" s="500">
        <v>99.94</v>
      </c>
      <c r="E1770" s="500">
        <v>99.94</v>
      </c>
      <c r="F1770" s="493">
        <v>99.94</v>
      </c>
      <c r="G1770" s="242">
        <v>99.94</v>
      </c>
      <c r="H1770" s="242">
        <f>H1766-H1769</f>
        <v>100</v>
      </c>
      <c r="I1770" s="242"/>
      <c r="J1770" s="222"/>
      <c r="K1770" s="222"/>
      <c r="L1770" s="222"/>
      <c r="M1770" s="222"/>
      <c r="N1770" s="222"/>
      <c r="O1770" s="222"/>
      <c r="P1770" s="222"/>
      <c r="Q1770" s="222"/>
      <c r="R1770" s="222"/>
      <c r="S1770" s="222"/>
      <c r="T1770" s="222"/>
      <c r="U1770" s="222"/>
      <c r="V1770" s="222"/>
      <c r="W1770" s="222"/>
      <c r="X1770" s="222"/>
      <c r="Y1770" s="222"/>
      <c r="Z1770" s="222"/>
      <c r="AA1770" s="222"/>
      <c r="AB1770" s="222"/>
      <c r="AC1770" s="222"/>
      <c r="AD1770" s="222"/>
      <c r="AE1770" s="222"/>
      <c r="AF1770" s="222"/>
      <c r="AG1770" s="222"/>
      <c r="AH1770" s="222"/>
      <c r="AI1770" s="222"/>
      <c r="AJ1770" s="222"/>
      <c r="AK1770" s="222"/>
      <c r="AL1770" s="222"/>
      <c r="AM1770" s="222"/>
      <c r="AN1770" s="222"/>
      <c r="AO1770" s="222"/>
      <c r="AP1770" s="222"/>
      <c r="AQ1770" s="222"/>
      <c r="AR1770" s="222"/>
      <c r="AS1770" s="222"/>
      <c r="AT1770" s="222"/>
      <c r="AU1770" s="222"/>
      <c r="AV1770" s="222"/>
      <c r="AW1770" s="222"/>
      <c r="AX1770" s="222"/>
      <c r="AY1770" s="222"/>
      <c r="AZ1770" s="222"/>
      <c r="BA1770" s="222"/>
    </row>
    <row r="1771" spans="1:53" x14ac:dyDescent="0.25">
      <c r="A1771" s="471" t="s">
        <v>22</v>
      </c>
      <c r="B1771" s="472"/>
      <c r="C1771" s="495">
        <v>2018</v>
      </c>
      <c r="D1771" s="473">
        <v>2019</v>
      </c>
      <c r="E1771" s="473">
        <v>2020</v>
      </c>
      <c r="F1771" s="482">
        <v>2021</v>
      </c>
      <c r="G1771" s="483">
        <v>2022</v>
      </c>
      <c r="H1771" s="483">
        <v>2023</v>
      </c>
      <c r="I1771" s="483">
        <v>2024</v>
      </c>
      <c r="J1771" s="222"/>
      <c r="K1771" s="222"/>
      <c r="L1771" s="222"/>
      <c r="M1771" s="222"/>
      <c r="N1771" s="222"/>
      <c r="O1771" s="222"/>
      <c r="P1771" s="222"/>
      <c r="Q1771" s="222"/>
      <c r="R1771" s="222"/>
      <c r="S1771" s="222"/>
      <c r="T1771" s="222"/>
      <c r="U1771" s="222"/>
      <c r="V1771" s="222"/>
      <c r="W1771" s="222"/>
      <c r="X1771" s="222"/>
      <c r="Y1771" s="222"/>
      <c r="Z1771" s="222"/>
      <c r="AA1771" s="222"/>
      <c r="AB1771" s="222"/>
      <c r="AC1771" s="222"/>
      <c r="AD1771" s="222"/>
      <c r="AE1771" s="222"/>
      <c r="AF1771" s="222"/>
      <c r="AG1771" s="222"/>
      <c r="AH1771" s="222"/>
      <c r="AI1771" s="222"/>
      <c r="AJ1771" s="222"/>
      <c r="AK1771" s="222"/>
      <c r="AL1771" s="222"/>
      <c r="AM1771" s="222"/>
      <c r="AN1771" s="222"/>
      <c r="AO1771" s="222"/>
      <c r="AP1771" s="222"/>
      <c r="AQ1771" s="222"/>
      <c r="AR1771" s="222"/>
      <c r="AS1771" s="222"/>
      <c r="AT1771" s="222"/>
      <c r="AU1771" s="222"/>
      <c r="AV1771" s="222"/>
      <c r="AW1771" s="222"/>
      <c r="AX1771" s="222"/>
      <c r="AY1771" s="222"/>
      <c r="AZ1771" s="222"/>
      <c r="BA1771" s="222"/>
    </row>
    <row r="1772" spans="1:53" x14ac:dyDescent="0.25">
      <c r="A1772" s="484" t="s">
        <v>124</v>
      </c>
      <c r="B1772" s="485"/>
      <c r="C1772" s="485"/>
      <c r="D1772" s="485"/>
      <c r="E1772" s="485"/>
      <c r="F1772" s="485"/>
      <c r="G1772" s="485"/>
      <c r="H1772" s="485"/>
      <c r="I1772" s="486"/>
      <c r="J1772" s="222"/>
      <c r="K1772" s="222"/>
      <c r="L1772" s="222"/>
      <c r="M1772" s="222"/>
      <c r="N1772" s="222"/>
      <c r="O1772" s="222"/>
      <c r="P1772" s="222"/>
      <c r="Q1772" s="222"/>
      <c r="R1772" s="222"/>
      <c r="S1772" s="222"/>
      <c r="T1772" s="222"/>
      <c r="U1772" s="222"/>
      <c r="V1772" s="222"/>
      <c r="W1772" s="222"/>
      <c r="X1772" s="222"/>
      <c r="Y1772" s="222"/>
      <c r="Z1772" s="222"/>
      <c r="AA1772" s="222"/>
      <c r="AB1772" s="222"/>
      <c r="AC1772" s="222"/>
      <c r="AD1772" s="222"/>
      <c r="AE1772" s="222"/>
      <c r="AF1772" s="222"/>
      <c r="AG1772" s="222"/>
      <c r="AH1772" s="222"/>
      <c r="AI1772" s="222"/>
      <c r="AJ1772" s="222"/>
      <c r="AK1772" s="222"/>
      <c r="AL1772" s="222"/>
      <c r="AM1772" s="222"/>
      <c r="AN1772" s="222"/>
      <c r="AO1772" s="222"/>
      <c r="AP1772" s="222"/>
      <c r="AQ1772" s="222"/>
      <c r="AR1772" s="222"/>
      <c r="AS1772" s="222"/>
      <c r="AT1772" s="222"/>
      <c r="AU1772" s="222"/>
      <c r="AV1772" s="222"/>
      <c r="AW1772" s="222"/>
      <c r="AX1772" s="222"/>
      <c r="AY1772" s="222"/>
      <c r="AZ1772" s="222"/>
      <c r="BA1772" s="222"/>
    </row>
    <row r="1773" spans="1:53" x14ac:dyDescent="0.25">
      <c r="A1773" s="487" t="s">
        <v>125</v>
      </c>
      <c r="B1773" s="459"/>
      <c r="C1773" s="459"/>
      <c r="D1773" s="459"/>
      <c r="E1773" s="459"/>
      <c r="F1773" s="459"/>
      <c r="G1773" s="459"/>
      <c r="H1773" s="459"/>
      <c r="I1773" s="488"/>
      <c r="J1773" s="222"/>
      <c r="K1773" s="222"/>
      <c r="L1773" s="222"/>
      <c r="M1773" s="222"/>
      <c r="N1773" s="222"/>
      <c r="O1773" s="222"/>
      <c r="P1773" s="222"/>
      <c r="Q1773" s="222"/>
      <c r="R1773" s="222"/>
      <c r="S1773" s="222"/>
      <c r="T1773" s="222"/>
      <c r="U1773" s="222"/>
      <c r="V1773" s="222"/>
      <c r="W1773" s="222"/>
      <c r="X1773" s="222"/>
      <c r="Y1773" s="222"/>
      <c r="Z1773" s="222"/>
      <c r="AA1773" s="222"/>
      <c r="AB1773" s="222"/>
      <c r="AC1773" s="222"/>
      <c r="AD1773" s="222"/>
      <c r="AE1773" s="222"/>
      <c r="AF1773" s="222"/>
      <c r="AG1773" s="222"/>
      <c r="AH1773" s="222"/>
      <c r="AI1773" s="222"/>
      <c r="AJ1773" s="222"/>
      <c r="AK1773" s="222"/>
      <c r="AL1773" s="222"/>
      <c r="AM1773" s="222"/>
      <c r="AN1773" s="222"/>
      <c r="AO1773" s="222"/>
      <c r="AP1773" s="222"/>
      <c r="AQ1773" s="222"/>
      <c r="AR1773" s="222"/>
      <c r="AS1773" s="222"/>
      <c r="AT1773" s="222"/>
      <c r="AU1773" s="222"/>
      <c r="AV1773" s="222"/>
      <c r="AW1773" s="222"/>
      <c r="AX1773" s="222"/>
      <c r="AY1773" s="222"/>
      <c r="AZ1773" s="222"/>
      <c r="BA1773" s="222"/>
    </row>
    <row r="1774" spans="1:53" x14ac:dyDescent="0.25">
      <c r="A1774" s="487" t="s">
        <v>126</v>
      </c>
      <c r="B1774" s="459"/>
      <c r="C1774" s="459"/>
      <c r="D1774" s="459"/>
      <c r="E1774" s="459"/>
      <c r="F1774" s="459"/>
      <c r="G1774" s="459"/>
      <c r="H1774" s="459"/>
      <c r="I1774" s="488"/>
      <c r="J1774" s="222"/>
      <c r="K1774" s="222"/>
      <c r="L1774" s="222"/>
      <c r="M1774" s="222"/>
      <c r="N1774" s="222"/>
      <c r="O1774" s="222"/>
      <c r="P1774" s="222"/>
      <c r="Q1774" s="222"/>
      <c r="R1774" s="222"/>
      <c r="S1774" s="222"/>
      <c r="T1774" s="222"/>
      <c r="U1774" s="222"/>
      <c r="V1774" s="222"/>
      <c r="W1774" s="222"/>
      <c r="X1774" s="222"/>
      <c r="Y1774" s="222"/>
      <c r="Z1774" s="222"/>
      <c r="AA1774" s="222"/>
      <c r="AB1774" s="222"/>
      <c r="AC1774" s="222"/>
      <c r="AD1774" s="222"/>
      <c r="AE1774" s="222"/>
      <c r="AF1774" s="222"/>
      <c r="AG1774" s="222"/>
      <c r="AH1774" s="222"/>
      <c r="AI1774" s="222"/>
      <c r="AJ1774" s="222"/>
      <c r="AK1774" s="222"/>
      <c r="AL1774" s="222"/>
      <c r="AM1774" s="222"/>
      <c r="AN1774" s="222"/>
      <c r="AO1774" s="222"/>
      <c r="AP1774" s="222"/>
      <c r="AQ1774" s="222"/>
      <c r="AR1774" s="222"/>
      <c r="AS1774" s="222"/>
      <c r="AT1774" s="222"/>
      <c r="AU1774" s="222"/>
      <c r="AV1774" s="222"/>
      <c r="AW1774" s="222"/>
      <c r="AX1774" s="222"/>
      <c r="AY1774" s="222"/>
      <c r="AZ1774" s="222"/>
      <c r="BA1774" s="222"/>
    </row>
    <row r="1775" spans="1:53" x14ac:dyDescent="0.25">
      <c r="A1775" s="487" t="s">
        <v>127</v>
      </c>
      <c r="B1775" s="459"/>
      <c r="C1775" s="459"/>
      <c r="D1775" s="459"/>
      <c r="E1775" s="459"/>
      <c r="F1775" s="459"/>
      <c r="G1775" s="459"/>
      <c r="H1775" s="459"/>
      <c r="I1775" s="488"/>
      <c r="J1775" s="222"/>
      <c r="K1775" s="222"/>
      <c r="L1775" s="222"/>
      <c r="M1775" s="222"/>
      <c r="N1775" s="222"/>
      <c r="O1775" s="222"/>
      <c r="P1775" s="222"/>
      <c r="Q1775" s="222"/>
      <c r="R1775" s="222"/>
      <c r="S1775" s="222"/>
      <c r="T1775" s="222"/>
      <c r="U1775" s="222"/>
      <c r="V1775" s="222"/>
      <c r="W1775" s="222"/>
      <c r="X1775" s="222"/>
      <c r="Y1775" s="222"/>
      <c r="Z1775" s="222"/>
      <c r="AA1775" s="222"/>
      <c r="AB1775" s="222"/>
      <c r="AC1775" s="222"/>
      <c r="AD1775" s="222"/>
      <c r="AE1775" s="222"/>
      <c r="AF1775" s="222"/>
      <c r="AG1775" s="222"/>
      <c r="AH1775" s="222"/>
      <c r="AI1775" s="222"/>
      <c r="AJ1775" s="222"/>
      <c r="AK1775" s="222"/>
      <c r="AL1775" s="222"/>
      <c r="AM1775" s="222"/>
      <c r="AN1775" s="222"/>
      <c r="AO1775" s="222"/>
      <c r="AP1775" s="222"/>
      <c r="AQ1775" s="222"/>
      <c r="AR1775" s="222"/>
      <c r="AS1775" s="222"/>
      <c r="AT1775" s="222"/>
      <c r="AU1775" s="222"/>
      <c r="AV1775" s="222"/>
      <c r="AW1775" s="222"/>
      <c r="AX1775" s="222"/>
      <c r="AY1775" s="222"/>
      <c r="AZ1775" s="222"/>
      <c r="BA1775" s="222"/>
    </row>
    <row r="1776" spans="1:53" x14ac:dyDescent="0.25">
      <c r="A1776" s="487" t="s">
        <v>304</v>
      </c>
      <c r="B1776" s="459"/>
      <c r="C1776" s="459"/>
      <c r="D1776" s="459"/>
      <c r="E1776" s="459"/>
      <c r="F1776" s="459"/>
      <c r="G1776" s="459"/>
      <c r="H1776" s="459"/>
      <c r="I1776" s="488"/>
      <c r="J1776" s="222"/>
      <c r="K1776" s="222"/>
      <c r="L1776" s="222"/>
      <c r="M1776" s="222"/>
      <c r="N1776" s="222"/>
      <c r="O1776" s="222"/>
      <c r="P1776" s="222"/>
      <c r="Q1776" s="222"/>
      <c r="R1776" s="222"/>
      <c r="S1776" s="222"/>
      <c r="T1776" s="222"/>
      <c r="U1776" s="222"/>
      <c r="V1776" s="222"/>
      <c r="W1776" s="222"/>
      <c r="X1776" s="222"/>
      <c r="Y1776" s="222"/>
      <c r="Z1776" s="222"/>
      <c r="AA1776" s="222"/>
      <c r="AB1776" s="222"/>
      <c r="AC1776" s="222"/>
      <c r="AD1776" s="222"/>
      <c r="AE1776" s="222"/>
      <c r="AF1776" s="222"/>
      <c r="AG1776" s="222"/>
      <c r="AH1776" s="222"/>
      <c r="AI1776" s="222"/>
      <c r="AJ1776" s="222"/>
      <c r="AK1776" s="222"/>
      <c r="AL1776" s="222"/>
      <c r="AM1776" s="222"/>
      <c r="AN1776" s="222"/>
      <c r="AO1776" s="222"/>
      <c r="AP1776" s="222"/>
      <c r="AQ1776" s="222"/>
      <c r="AR1776" s="222"/>
      <c r="AS1776" s="222"/>
      <c r="AT1776" s="222"/>
      <c r="AU1776" s="222"/>
      <c r="AV1776" s="222"/>
      <c r="AW1776" s="222"/>
      <c r="AX1776" s="222"/>
      <c r="AY1776" s="222"/>
      <c r="AZ1776" s="222"/>
      <c r="BA1776" s="222"/>
    </row>
    <row r="1777" spans="1:53" x14ac:dyDescent="0.25">
      <c r="A1777" s="487" t="s">
        <v>545</v>
      </c>
      <c r="B1777" s="459"/>
      <c r="C1777" s="459"/>
      <c r="D1777" s="459"/>
      <c r="E1777" s="459"/>
      <c r="F1777" s="459"/>
      <c r="G1777" s="459"/>
      <c r="H1777" s="459"/>
      <c r="I1777" s="488"/>
      <c r="J1777" s="222"/>
      <c r="K1777" s="222"/>
      <c r="L1777" s="222"/>
      <c r="M1777" s="222"/>
      <c r="N1777" s="222"/>
      <c r="O1777" s="222"/>
      <c r="P1777" s="222"/>
      <c r="Q1777" s="222"/>
      <c r="R1777" s="222"/>
      <c r="S1777" s="222"/>
      <c r="T1777" s="222"/>
      <c r="U1777" s="222"/>
      <c r="V1777" s="222"/>
      <c r="W1777" s="222"/>
      <c r="X1777" s="222"/>
      <c r="Y1777" s="222"/>
      <c r="Z1777" s="222"/>
      <c r="AA1777" s="222"/>
      <c r="AB1777" s="222"/>
      <c r="AC1777" s="222"/>
      <c r="AD1777" s="222"/>
      <c r="AE1777" s="222"/>
      <c r="AF1777" s="222"/>
      <c r="AG1777" s="222"/>
      <c r="AH1777" s="222"/>
      <c r="AI1777" s="222"/>
      <c r="AJ1777" s="222"/>
      <c r="AK1777" s="222"/>
      <c r="AL1777" s="222"/>
      <c r="AM1777" s="222"/>
      <c r="AN1777" s="222"/>
      <c r="AO1777" s="222"/>
      <c r="AP1777" s="222"/>
      <c r="AQ1777" s="222"/>
      <c r="AR1777" s="222"/>
      <c r="AS1777" s="222"/>
      <c r="AT1777" s="222"/>
      <c r="AU1777" s="222"/>
      <c r="AV1777" s="222"/>
      <c r="AW1777" s="222"/>
      <c r="AX1777" s="222"/>
      <c r="AY1777" s="222"/>
      <c r="AZ1777" s="222"/>
      <c r="BA1777" s="222"/>
    </row>
    <row r="1778" spans="1:53" x14ac:dyDescent="0.25">
      <c r="A1778" s="487" t="s">
        <v>586</v>
      </c>
      <c r="B1778" s="459"/>
      <c r="C1778" s="459"/>
      <c r="D1778" s="459"/>
      <c r="E1778" s="459"/>
      <c r="F1778" s="459"/>
      <c r="G1778" s="459"/>
      <c r="H1778" s="459"/>
      <c r="I1778" s="488"/>
      <c r="J1778" s="222"/>
      <c r="K1778" s="222"/>
      <c r="L1778" s="222"/>
      <c r="M1778" s="222"/>
      <c r="N1778" s="222"/>
      <c r="O1778" s="222"/>
      <c r="P1778" s="222"/>
      <c r="Q1778" s="222"/>
      <c r="R1778" s="222"/>
      <c r="S1778" s="222"/>
      <c r="T1778" s="222"/>
      <c r="U1778" s="222"/>
      <c r="V1778" s="222"/>
      <c r="W1778" s="222"/>
      <c r="X1778" s="222"/>
      <c r="Y1778" s="222"/>
      <c r="Z1778" s="222"/>
      <c r="AA1778" s="222"/>
      <c r="AB1778" s="222"/>
      <c r="AC1778" s="222"/>
      <c r="AD1778" s="222"/>
      <c r="AE1778" s="222"/>
      <c r="AF1778" s="222"/>
      <c r="AG1778" s="222"/>
      <c r="AH1778" s="222"/>
      <c r="AI1778" s="222"/>
      <c r="AJ1778" s="222"/>
      <c r="AK1778" s="222"/>
      <c r="AL1778" s="222"/>
      <c r="AM1778" s="222"/>
      <c r="AN1778" s="222"/>
      <c r="AO1778" s="222"/>
      <c r="AP1778" s="222"/>
      <c r="AQ1778" s="222"/>
      <c r="AR1778" s="222"/>
      <c r="AS1778" s="222"/>
      <c r="AT1778" s="222"/>
      <c r="AU1778" s="222"/>
      <c r="AV1778" s="222"/>
      <c r="AW1778" s="222"/>
      <c r="AX1778" s="222"/>
      <c r="AY1778" s="222"/>
      <c r="AZ1778" s="222"/>
      <c r="BA1778" s="222"/>
    </row>
    <row r="1779" spans="1:53" x14ac:dyDescent="0.25">
      <c r="A1779" s="489" t="s">
        <v>940</v>
      </c>
      <c r="B1779" s="490"/>
      <c r="C1779" s="490"/>
      <c r="D1779" s="490"/>
      <c r="E1779" s="490"/>
      <c r="F1779" s="490"/>
      <c r="G1779" s="490"/>
      <c r="H1779" s="490"/>
      <c r="I1779" s="491"/>
      <c r="J1779" s="222"/>
      <c r="K1779" s="222"/>
      <c r="L1779" s="222"/>
      <c r="M1779" s="222"/>
      <c r="N1779" s="222"/>
      <c r="O1779" s="222"/>
      <c r="P1779" s="222"/>
      <c r="Q1779" s="222"/>
      <c r="R1779" s="222"/>
      <c r="S1779" s="222"/>
      <c r="T1779" s="222"/>
      <c r="U1779" s="222"/>
      <c r="V1779" s="222"/>
      <c r="W1779" s="222"/>
      <c r="X1779" s="222"/>
      <c r="Y1779" s="222"/>
      <c r="Z1779" s="222"/>
      <c r="AA1779" s="222"/>
      <c r="AB1779" s="222"/>
      <c r="AC1779" s="222"/>
      <c r="AD1779" s="222"/>
      <c r="AE1779" s="222"/>
      <c r="AF1779" s="222"/>
      <c r="AG1779" s="222"/>
      <c r="AH1779" s="222"/>
      <c r="AI1779" s="222"/>
      <c r="AJ1779" s="222"/>
      <c r="AK1779" s="222"/>
      <c r="AL1779" s="222"/>
      <c r="AM1779" s="222"/>
      <c r="AN1779" s="222"/>
      <c r="AO1779" s="222"/>
      <c r="AP1779" s="222"/>
      <c r="AQ1779" s="222"/>
      <c r="AR1779" s="222"/>
      <c r="AS1779" s="222"/>
      <c r="AT1779" s="222"/>
      <c r="AU1779" s="222"/>
      <c r="AV1779" s="222"/>
      <c r="AW1779" s="222"/>
      <c r="AX1779" s="222"/>
      <c r="AY1779" s="222"/>
      <c r="AZ1779" s="222"/>
      <c r="BA1779" s="222"/>
    </row>
    <row r="1780" spans="1:53" x14ac:dyDescent="0.25">
      <c r="A1780" s="222"/>
      <c r="B1780" s="222"/>
      <c r="C1780" s="222"/>
      <c r="D1780" s="222"/>
      <c r="E1780" s="222"/>
      <c r="F1780" s="222"/>
      <c r="G1780" s="222"/>
      <c r="H1780" s="222"/>
      <c r="I1780" s="222"/>
      <c r="J1780" s="222"/>
      <c r="K1780" s="222"/>
      <c r="L1780" s="222"/>
      <c r="M1780" s="222"/>
      <c r="N1780" s="222"/>
      <c r="O1780" s="222"/>
      <c r="P1780" s="222"/>
      <c r="Q1780" s="222"/>
      <c r="R1780" s="222"/>
      <c r="S1780" s="222"/>
      <c r="T1780" s="222"/>
      <c r="U1780" s="222"/>
      <c r="V1780" s="222"/>
      <c r="W1780" s="222"/>
      <c r="X1780" s="222"/>
      <c r="Y1780" s="222"/>
      <c r="Z1780" s="222"/>
      <c r="AA1780" s="222"/>
      <c r="AB1780" s="222"/>
      <c r="AC1780" s="222"/>
      <c r="AD1780" s="222"/>
      <c r="AE1780" s="222"/>
      <c r="AF1780" s="222"/>
      <c r="AG1780" s="222"/>
      <c r="AH1780" s="222"/>
      <c r="AI1780" s="222"/>
      <c r="AJ1780" s="222"/>
      <c r="AK1780" s="222"/>
      <c r="AL1780" s="222"/>
      <c r="AM1780" s="222"/>
      <c r="AN1780" s="222"/>
      <c r="AO1780" s="222"/>
      <c r="AP1780" s="222"/>
      <c r="AQ1780" s="222"/>
      <c r="AR1780" s="222"/>
      <c r="AS1780" s="222"/>
      <c r="AT1780" s="222"/>
      <c r="AU1780" s="222"/>
      <c r="AV1780" s="222"/>
      <c r="AW1780" s="222"/>
      <c r="AX1780" s="222"/>
      <c r="AY1780" s="222"/>
      <c r="AZ1780" s="222"/>
      <c r="BA1780" s="222"/>
    </row>
    <row r="1781" spans="1:53" x14ac:dyDescent="0.25">
      <c r="A1781" s="460" t="s">
        <v>14</v>
      </c>
      <c r="B1781" s="461" t="s">
        <v>664</v>
      </c>
      <c r="C1781" s="462" t="s">
        <v>15</v>
      </c>
      <c r="D1781" s="459"/>
      <c r="E1781" s="459"/>
      <c r="F1781" s="459"/>
      <c r="G1781" s="222"/>
      <c r="H1781" s="222"/>
      <c r="I1781" s="222"/>
      <c r="J1781" s="222"/>
      <c r="K1781" s="222"/>
      <c r="L1781" s="222"/>
      <c r="M1781" s="222"/>
      <c r="N1781" s="222"/>
      <c r="O1781" s="222"/>
      <c r="P1781" s="222"/>
      <c r="Q1781" s="222"/>
      <c r="R1781" s="222"/>
      <c r="S1781" s="222"/>
      <c r="T1781" s="222"/>
      <c r="U1781" s="222"/>
      <c r="V1781" s="222"/>
      <c r="W1781" s="222"/>
      <c r="X1781" s="222"/>
      <c r="Y1781" s="222"/>
      <c r="Z1781" s="222"/>
      <c r="AA1781" s="222"/>
      <c r="AB1781" s="222"/>
      <c r="AC1781" s="222"/>
      <c r="AD1781" s="222"/>
      <c r="AE1781" s="222"/>
      <c r="AF1781" s="222"/>
      <c r="AG1781" s="222"/>
      <c r="AH1781" s="222"/>
      <c r="AI1781" s="222"/>
      <c r="AJ1781" s="222"/>
      <c r="AK1781" s="222"/>
      <c r="AL1781" s="222"/>
      <c r="AM1781" s="222"/>
      <c r="AN1781" s="222"/>
      <c r="AO1781" s="222"/>
      <c r="AP1781" s="222"/>
      <c r="AQ1781" s="222"/>
      <c r="AR1781" s="222"/>
      <c r="AS1781" s="222"/>
      <c r="AT1781" s="222"/>
      <c r="AU1781" s="222"/>
      <c r="AV1781" s="222"/>
      <c r="AW1781" s="222"/>
      <c r="AX1781" s="222"/>
      <c r="AY1781" s="222"/>
      <c r="AZ1781" s="222"/>
      <c r="BA1781" s="222"/>
    </row>
    <row r="1782" spans="1:53" x14ac:dyDescent="0.25">
      <c r="A1782" s="463" t="s">
        <v>16</v>
      </c>
      <c r="B1782" s="464"/>
      <c r="C1782" s="465">
        <v>2016</v>
      </c>
      <c r="D1782" s="479">
        <v>2017</v>
      </c>
      <c r="E1782" s="467">
        <v>2018</v>
      </c>
      <c r="F1782" s="479">
        <v>2019</v>
      </c>
      <c r="G1782" s="213">
        <v>2020</v>
      </c>
      <c r="H1782" s="213">
        <v>2021</v>
      </c>
      <c r="I1782" s="213">
        <v>2022</v>
      </c>
      <c r="J1782" s="213">
        <v>2023</v>
      </c>
      <c r="K1782" s="222"/>
      <c r="L1782" s="222"/>
      <c r="M1782" s="222"/>
      <c r="N1782" s="222"/>
      <c r="O1782" s="222"/>
      <c r="P1782" s="222"/>
      <c r="Q1782" s="222"/>
      <c r="R1782" s="222"/>
      <c r="S1782" s="222"/>
      <c r="T1782" s="222"/>
      <c r="U1782" s="222"/>
      <c r="V1782" s="222"/>
      <c r="W1782" s="222"/>
      <c r="X1782" s="222"/>
      <c r="Y1782" s="222"/>
      <c r="Z1782" s="222"/>
      <c r="AA1782" s="222"/>
      <c r="AB1782" s="222"/>
      <c r="AC1782" s="222"/>
      <c r="AD1782" s="222"/>
      <c r="AE1782" s="222"/>
      <c r="AF1782" s="222"/>
      <c r="AG1782" s="222"/>
      <c r="AH1782" s="222"/>
      <c r="AI1782" s="222"/>
      <c r="AJ1782" s="222"/>
      <c r="AK1782" s="222"/>
      <c r="AL1782" s="222"/>
      <c r="AM1782" s="222"/>
      <c r="AN1782" s="222"/>
      <c r="AO1782" s="222"/>
      <c r="AP1782" s="222"/>
      <c r="AQ1782" s="222"/>
      <c r="AR1782" s="222"/>
      <c r="AS1782" s="222"/>
      <c r="AT1782" s="222"/>
      <c r="AU1782" s="222"/>
      <c r="AV1782" s="222"/>
      <c r="AW1782" s="222"/>
      <c r="AX1782" s="222"/>
      <c r="AY1782" s="222"/>
      <c r="AZ1782" s="222"/>
      <c r="BA1782" s="222"/>
    </row>
    <row r="1783" spans="1:53" x14ac:dyDescent="0.25">
      <c r="A1783" s="463" t="s">
        <v>17</v>
      </c>
      <c r="B1783" s="464"/>
      <c r="C1783" s="501">
        <v>1083.79</v>
      </c>
      <c r="D1783" s="501">
        <v>1083.79</v>
      </c>
      <c r="E1783" s="464">
        <v>1272.8599999999999</v>
      </c>
      <c r="F1783" s="502">
        <v>1272.8599999999999</v>
      </c>
      <c r="G1783" s="227">
        <v>1272.8599999999999</v>
      </c>
      <c r="H1783" s="227">
        <v>1272.8599999999999</v>
      </c>
      <c r="I1783" s="216">
        <v>1341.14</v>
      </c>
      <c r="J1783" s="227">
        <v>1341.14</v>
      </c>
      <c r="K1783" s="222"/>
      <c r="L1783" s="222"/>
      <c r="M1783" s="222"/>
      <c r="N1783" s="222"/>
      <c r="O1783" s="222"/>
      <c r="P1783" s="222"/>
      <c r="Q1783" s="222"/>
      <c r="R1783" s="222"/>
      <c r="S1783" s="222"/>
      <c r="T1783" s="222"/>
      <c r="U1783" s="222"/>
      <c r="V1783" s="222"/>
      <c r="W1783" s="222"/>
      <c r="X1783" s="222"/>
      <c r="Y1783" s="222"/>
      <c r="Z1783" s="222"/>
      <c r="AA1783" s="222"/>
      <c r="AB1783" s="222"/>
      <c r="AC1783" s="222"/>
      <c r="AD1783" s="222"/>
      <c r="AE1783" s="222"/>
      <c r="AF1783" s="222"/>
      <c r="AG1783" s="222"/>
      <c r="AH1783" s="222"/>
      <c r="AI1783" s="222"/>
      <c r="AJ1783" s="222"/>
      <c r="AK1783" s="222"/>
      <c r="AL1783" s="222"/>
      <c r="AM1783" s="222"/>
      <c r="AN1783" s="222"/>
      <c r="AO1783" s="222"/>
      <c r="AP1783" s="222"/>
      <c r="AQ1783" s="222"/>
      <c r="AR1783" s="222"/>
      <c r="AS1783" s="222"/>
      <c r="AT1783" s="222"/>
      <c r="AU1783" s="222"/>
      <c r="AV1783" s="222"/>
      <c r="AW1783" s="222"/>
      <c r="AX1783" s="222"/>
      <c r="AY1783" s="222"/>
      <c r="AZ1783" s="222"/>
      <c r="BA1783" s="222"/>
    </row>
    <row r="1784" spans="1:53" x14ac:dyDescent="0.25">
      <c r="A1784" s="463" t="s">
        <v>18</v>
      </c>
      <c r="B1784" s="464"/>
      <c r="C1784" s="501">
        <v>1192.17</v>
      </c>
      <c r="D1784" s="501">
        <v>1192.17</v>
      </c>
      <c r="E1784" s="464">
        <v>1381.24</v>
      </c>
      <c r="F1784" s="502">
        <v>1400.15</v>
      </c>
      <c r="G1784" s="227">
        <v>1400.15</v>
      </c>
      <c r="H1784" s="227">
        <v>1400.15</v>
      </c>
      <c r="I1784" s="216">
        <f>I1783+0.1*H1783</f>
        <v>1468.4260000000002</v>
      </c>
      <c r="J1784" s="216">
        <f>J1783+I1787</f>
        <v>1447.6760000000002</v>
      </c>
      <c r="K1784" s="222"/>
      <c r="L1784" s="222"/>
      <c r="M1784" s="222"/>
      <c r="N1784" s="222"/>
      <c r="O1784" s="222"/>
      <c r="P1784" s="222"/>
      <c r="Q1784" s="222"/>
      <c r="R1784" s="222"/>
      <c r="S1784" s="222"/>
      <c r="T1784" s="222"/>
      <c r="U1784" s="222"/>
      <c r="V1784" s="222"/>
      <c r="W1784" s="222"/>
      <c r="X1784" s="222"/>
      <c r="Y1784" s="222"/>
      <c r="Z1784" s="222"/>
      <c r="AA1784" s="222"/>
      <c r="AB1784" s="222"/>
      <c r="AC1784" s="222"/>
      <c r="AD1784" s="222"/>
      <c r="AE1784" s="222"/>
      <c r="AF1784" s="222"/>
      <c r="AG1784" s="222"/>
      <c r="AH1784" s="222"/>
      <c r="AI1784" s="222"/>
      <c r="AJ1784" s="222"/>
      <c r="AK1784" s="222"/>
      <c r="AL1784" s="222"/>
      <c r="AM1784" s="222"/>
      <c r="AN1784" s="222"/>
      <c r="AO1784" s="222"/>
      <c r="AP1784" s="222"/>
      <c r="AQ1784" s="222"/>
      <c r="AR1784" s="222"/>
      <c r="AS1784" s="222"/>
      <c r="AT1784" s="222"/>
      <c r="AU1784" s="222"/>
      <c r="AV1784" s="222"/>
      <c r="AW1784" s="222"/>
      <c r="AX1784" s="222"/>
      <c r="AY1784" s="222"/>
      <c r="AZ1784" s="222"/>
      <c r="BA1784" s="222"/>
    </row>
    <row r="1785" spans="1:53" x14ac:dyDescent="0.25">
      <c r="A1785" s="463" t="s">
        <v>19</v>
      </c>
      <c r="B1785" s="464"/>
      <c r="C1785" s="464"/>
      <c r="D1785" s="502"/>
      <c r="E1785" s="464"/>
      <c r="F1785" s="502"/>
      <c r="G1785" s="227"/>
      <c r="H1785" s="227"/>
      <c r="I1785" s="216"/>
      <c r="J1785" s="227"/>
      <c r="K1785" s="222"/>
      <c r="L1785" s="222"/>
      <c r="M1785" s="222"/>
      <c r="N1785" s="222"/>
      <c r="O1785" s="222"/>
      <c r="P1785" s="222"/>
      <c r="Q1785" s="222"/>
      <c r="R1785" s="222"/>
      <c r="S1785" s="222"/>
      <c r="T1785" s="222"/>
      <c r="U1785" s="222"/>
      <c r="V1785" s="222"/>
      <c r="W1785" s="222"/>
      <c r="X1785" s="222"/>
      <c r="Y1785" s="222"/>
      <c r="Z1785" s="222"/>
      <c r="AA1785" s="222"/>
      <c r="AB1785" s="222"/>
      <c r="AC1785" s="222"/>
      <c r="AD1785" s="222"/>
      <c r="AE1785" s="222"/>
      <c r="AF1785" s="222"/>
      <c r="AG1785" s="222"/>
      <c r="AH1785" s="222"/>
      <c r="AI1785" s="222"/>
      <c r="AJ1785" s="222"/>
      <c r="AK1785" s="222"/>
      <c r="AL1785" s="222"/>
      <c r="AM1785" s="222"/>
      <c r="AN1785" s="222"/>
      <c r="AO1785" s="222"/>
      <c r="AP1785" s="222"/>
      <c r="AQ1785" s="222"/>
      <c r="AR1785" s="222"/>
      <c r="AS1785" s="222"/>
      <c r="AT1785" s="222"/>
      <c r="AU1785" s="222"/>
      <c r="AV1785" s="222"/>
      <c r="AW1785" s="222"/>
      <c r="AX1785" s="222"/>
      <c r="AY1785" s="222"/>
      <c r="AZ1785" s="222"/>
      <c r="BA1785" s="222"/>
    </row>
    <row r="1786" spans="1:53" x14ac:dyDescent="0.25">
      <c r="A1786" s="463" t="s">
        <v>20</v>
      </c>
      <c r="B1786" s="464"/>
      <c r="C1786" s="501">
        <v>1025.0999999999999</v>
      </c>
      <c r="D1786" s="502">
        <v>996.8</v>
      </c>
      <c r="E1786" s="464">
        <v>1028.26</v>
      </c>
      <c r="F1786" s="502">
        <v>1190.78</v>
      </c>
      <c r="G1786" s="227">
        <v>1184.99</v>
      </c>
      <c r="H1786" s="227">
        <v>1205.69</v>
      </c>
      <c r="I1786" s="216">
        <v>1361.89</v>
      </c>
      <c r="J1786" s="227"/>
      <c r="K1786" s="222"/>
      <c r="L1786" s="222"/>
      <c r="M1786" s="222"/>
      <c r="N1786" s="222"/>
      <c r="O1786" s="222"/>
      <c r="P1786" s="222"/>
      <c r="Q1786" s="222"/>
      <c r="R1786" s="222"/>
      <c r="S1786" s="222"/>
      <c r="T1786" s="222"/>
      <c r="U1786" s="222"/>
      <c r="V1786" s="222"/>
      <c r="W1786" s="222"/>
      <c r="X1786" s="222"/>
      <c r="Y1786" s="222"/>
      <c r="Z1786" s="222"/>
      <c r="AA1786" s="222"/>
      <c r="AB1786" s="222"/>
      <c r="AC1786" s="222"/>
      <c r="AD1786" s="222"/>
      <c r="AE1786" s="222"/>
      <c r="AF1786" s="222"/>
      <c r="AG1786" s="222"/>
      <c r="AH1786" s="222"/>
      <c r="AI1786" s="222"/>
      <c r="AJ1786" s="222"/>
      <c r="AK1786" s="222"/>
      <c r="AL1786" s="222"/>
      <c r="AM1786" s="222"/>
      <c r="AN1786" s="222"/>
      <c r="AO1786" s="222"/>
      <c r="AP1786" s="222"/>
      <c r="AQ1786" s="222"/>
      <c r="AR1786" s="222"/>
      <c r="AS1786" s="222"/>
      <c r="AT1786" s="222"/>
      <c r="AU1786" s="222"/>
      <c r="AV1786" s="222"/>
      <c r="AW1786" s="222"/>
      <c r="AX1786" s="222"/>
      <c r="AY1786" s="222"/>
      <c r="AZ1786" s="222"/>
      <c r="BA1786" s="222"/>
    </row>
    <row r="1787" spans="1:53" x14ac:dyDescent="0.25">
      <c r="A1787" s="463" t="s">
        <v>21</v>
      </c>
      <c r="B1787" s="464"/>
      <c r="C1787" s="501">
        <f>C1784-C1786</f>
        <v>167.07000000000016</v>
      </c>
      <c r="D1787" s="501">
        <f t="shared" ref="D1787:G1787" si="72">D1784-D1786</f>
        <v>195.37000000000012</v>
      </c>
      <c r="E1787" s="501">
        <f t="shared" si="72"/>
        <v>352.98</v>
      </c>
      <c r="F1787" s="501">
        <f t="shared" si="72"/>
        <v>209.37000000000012</v>
      </c>
      <c r="G1787" s="501">
        <f t="shared" si="72"/>
        <v>215.16000000000008</v>
      </c>
      <c r="H1787" s="227">
        <f>H1784-H1786</f>
        <v>194.46000000000004</v>
      </c>
      <c r="I1787" s="216">
        <f>I1784-I1786</f>
        <v>106.53600000000006</v>
      </c>
      <c r="J1787" s="227"/>
      <c r="K1787" s="222"/>
      <c r="L1787" s="222"/>
      <c r="M1787" s="222"/>
      <c r="N1787" s="222"/>
      <c r="O1787" s="222"/>
      <c r="P1787" s="222"/>
      <c r="Q1787" s="222"/>
      <c r="R1787" s="222"/>
      <c r="S1787" s="222"/>
      <c r="T1787" s="222"/>
      <c r="U1787" s="222"/>
      <c r="V1787" s="222"/>
      <c r="W1787" s="222"/>
      <c r="X1787" s="222"/>
      <c r="Y1787" s="222"/>
      <c r="Z1787" s="222"/>
      <c r="AA1787" s="222"/>
      <c r="AB1787" s="222"/>
      <c r="AC1787" s="222"/>
      <c r="AD1787" s="222"/>
      <c r="AE1787" s="222"/>
      <c r="AF1787" s="222"/>
      <c r="AG1787" s="222"/>
      <c r="AH1787" s="222"/>
      <c r="AI1787" s="222"/>
      <c r="AJ1787" s="222"/>
      <c r="AK1787" s="222"/>
      <c r="AL1787" s="222"/>
      <c r="AM1787" s="222"/>
      <c r="AN1787" s="222"/>
      <c r="AO1787" s="222"/>
      <c r="AP1787" s="222"/>
      <c r="AQ1787" s="222"/>
      <c r="AR1787" s="222"/>
      <c r="AS1787" s="222"/>
      <c r="AT1787" s="222"/>
      <c r="AU1787" s="222"/>
      <c r="AV1787" s="222"/>
      <c r="AW1787" s="222"/>
      <c r="AX1787" s="222"/>
      <c r="AY1787" s="222"/>
      <c r="AZ1787" s="222"/>
      <c r="BA1787" s="222"/>
    </row>
    <row r="1788" spans="1:53" x14ac:dyDescent="0.25">
      <c r="A1788" s="471" t="s">
        <v>22</v>
      </c>
      <c r="B1788" s="472"/>
      <c r="C1788" s="473">
        <v>2017</v>
      </c>
      <c r="D1788" s="482">
        <v>2018</v>
      </c>
      <c r="E1788" s="473">
        <v>2019</v>
      </c>
      <c r="F1788" s="482">
        <v>2020</v>
      </c>
      <c r="G1788" s="245">
        <v>2021</v>
      </c>
      <c r="H1788" s="245">
        <v>2022</v>
      </c>
      <c r="I1788" s="245">
        <v>2023</v>
      </c>
      <c r="J1788" s="245">
        <v>2024</v>
      </c>
      <c r="K1788" s="222"/>
      <c r="L1788" s="222"/>
      <c r="M1788" s="222"/>
      <c r="N1788" s="222"/>
      <c r="O1788" s="222"/>
      <c r="P1788" s="222"/>
      <c r="Q1788" s="222"/>
      <c r="R1788" s="222"/>
      <c r="S1788" s="222"/>
      <c r="T1788" s="222"/>
      <c r="U1788" s="222"/>
      <c r="V1788" s="222"/>
      <c r="W1788" s="222"/>
      <c r="X1788" s="222"/>
      <c r="Y1788" s="222"/>
      <c r="Z1788" s="222"/>
      <c r="AA1788" s="222"/>
      <c r="AB1788" s="222"/>
      <c r="AC1788" s="222"/>
      <c r="AD1788" s="222"/>
      <c r="AE1788" s="222"/>
      <c r="AF1788" s="222"/>
      <c r="AG1788" s="222"/>
      <c r="AH1788" s="222"/>
      <c r="AI1788" s="222"/>
      <c r="AJ1788" s="222"/>
      <c r="AK1788" s="222"/>
      <c r="AL1788" s="222"/>
      <c r="AM1788" s="222"/>
      <c r="AN1788" s="222"/>
      <c r="AO1788" s="222"/>
      <c r="AP1788" s="222"/>
      <c r="AQ1788" s="222"/>
      <c r="AR1788" s="222"/>
      <c r="AS1788" s="222"/>
      <c r="AT1788" s="222"/>
      <c r="AU1788" s="222"/>
      <c r="AV1788" s="222"/>
      <c r="AW1788" s="222"/>
      <c r="AX1788" s="222"/>
      <c r="AY1788" s="222"/>
      <c r="AZ1788" s="222"/>
      <c r="BA1788" s="222"/>
    </row>
    <row r="1789" spans="1:53" x14ac:dyDescent="0.25">
      <c r="A1789" s="484" t="s">
        <v>547</v>
      </c>
      <c r="B1789" s="485"/>
      <c r="C1789" s="503"/>
      <c r="D1789" s="503"/>
      <c r="E1789" s="503"/>
      <c r="F1789" s="503"/>
      <c r="G1789" s="282"/>
      <c r="H1789" s="282"/>
      <c r="I1789" s="282"/>
      <c r="J1789" s="246"/>
      <c r="K1789" s="222"/>
      <c r="L1789" s="222"/>
      <c r="M1789" s="222"/>
      <c r="N1789" s="222"/>
      <c r="O1789" s="222"/>
      <c r="P1789" s="222"/>
      <c r="Q1789" s="222"/>
      <c r="R1789" s="222"/>
      <c r="S1789" s="222"/>
      <c r="T1789" s="222"/>
      <c r="U1789" s="222"/>
      <c r="V1789" s="222"/>
      <c r="W1789" s="222"/>
      <c r="X1789" s="222"/>
      <c r="Y1789" s="222"/>
      <c r="Z1789" s="222"/>
      <c r="AA1789" s="222"/>
      <c r="AB1789" s="222"/>
      <c r="AC1789" s="222"/>
      <c r="AD1789" s="222"/>
      <c r="AE1789" s="222"/>
      <c r="AF1789" s="222"/>
      <c r="AG1789" s="222"/>
      <c r="AH1789" s="222"/>
      <c r="AI1789" s="222"/>
      <c r="AJ1789" s="222"/>
      <c r="AK1789" s="222"/>
      <c r="AL1789" s="222"/>
      <c r="AM1789" s="222"/>
      <c r="AN1789" s="222"/>
      <c r="AO1789" s="222"/>
      <c r="AP1789" s="222"/>
      <c r="AQ1789" s="222"/>
      <c r="AR1789" s="222"/>
      <c r="AS1789" s="222"/>
      <c r="AT1789" s="222"/>
      <c r="AU1789" s="222"/>
      <c r="AV1789" s="222"/>
      <c r="AW1789" s="222"/>
      <c r="AX1789" s="222"/>
      <c r="AY1789" s="222"/>
      <c r="AZ1789" s="222"/>
      <c r="BA1789" s="222"/>
    </row>
    <row r="1790" spans="1:53" x14ac:dyDescent="0.25">
      <c r="A1790" s="487" t="s">
        <v>128</v>
      </c>
      <c r="B1790" s="459"/>
      <c r="C1790" s="459"/>
      <c r="D1790" s="459"/>
      <c r="E1790" s="459"/>
      <c r="F1790" s="459"/>
      <c r="G1790" s="222"/>
      <c r="H1790" s="222"/>
      <c r="I1790" s="222"/>
      <c r="J1790" s="223"/>
      <c r="K1790" s="222"/>
      <c r="L1790" s="222"/>
      <c r="M1790" s="222"/>
      <c r="N1790" s="222"/>
      <c r="O1790" s="222"/>
      <c r="P1790" s="222"/>
      <c r="Q1790" s="222"/>
      <c r="R1790" s="222"/>
      <c r="S1790" s="222"/>
      <c r="T1790" s="222"/>
      <c r="U1790" s="222"/>
      <c r="V1790" s="222"/>
      <c r="W1790" s="222"/>
      <c r="X1790" s="222"/>
      <c r="Y1790" s="222"/>
      <c r="Z1790" s="222"/>
      <c r="AA1790" s="222"/>
      <c r="AB1790" s="222"/>
      <c r="AC1790" s="222"/>
      <c r="AD1790" s="222"/>
      <c r="AE1790" s="222"/>
      <c r="AF1790" s="222"/>
      <c r="AG1790" s="222"/>
      <c r="AH1790" s="222"/>
      <c r="AI1790" s="222"/>
      <c r="AJ1790" s="222"/>
      <c r="AK1790" s="222"/>
      <c r="AL1790" s="222"/>
      <c r="AM1790" s="222"/>
      <c r="AN1790" s="222"/>
      <c r="AO1790" s="222"/>
      <c r="AP1790" s="222"/>
      <c r="AQ1790" s="222"/>
      <c r="AR1790" s="222"/>
      <c r="AS1790" s="222"/>
      <c r="AT1790" s="222"/>
      <c r="AU1790" s="222"/>
      <c r="AV1790" s="222"/>
      <c r="AW1790" s="222"/>
      <c r="AX1790" s="222"/>
      <c r="AY1790" s="222"/>
      <c r="AZ1790" s="222"/>
      <c r="BA1790" s="222"/>
    </row>
    <row r="1791" spans="1:53" x14ac:dyDescent="0.25">
      <c r="A1791" s="487" t="s">
        <v>129</v>
      </c>
      <c r="B1791" s="459"/>
      <c r="C1791" s="459"/>
      <c r="D1791" s="459"/>
      <c r="E1791" s="459"/>
      <c r="F1791" s="459"/>
      <c r="G1791" s="222"/>
      <c r="H1791" s="222"/>
      <c r="I1791" s="222"/>
      <c r="J1791" s="223"/>
      <c r="K1791" s="222"/>
      <c r="L1791" s="222"/>
      <c r="M1791" s="222"/>
      <c r="N1791" s="222"/>
      <c r="O1791" s="222"/>
      <c r="P1791" s="222"/>
      <c r="Q1791" s="222"/>
      <c r="R1791" s="222"/>
      <c r="S1791" s="222"/>
      <c r="T1791" s="222"/>
      <c r="U1791" s="222"/>
      <c r="V1791" s="222"/>
      <c r="W1791" s="222"/>
      <c r="X1791" s="222"/>
      <c r="Y1791" s="222"/>
      <c r="Z1791" s="222"/>
      <c r="AA1791" s="222"/>
      <c r="AB1791" s="222"/>
      <c r="AC1791" s="222"/>
      <c r="AD1791" s="222"/>
      <c r="AE1791" s="222"/>
      <c r="AF1791" s="222"/>
      <c r="AG1791" s="222"/>
      <c r="AH1791" s="222"/>
      <c r="AI1791" s="222"/>
      <c r="AJ1791" s="222"/>
      <c r="AK1791" s="222"/>
      <c r="AL1791" s="222"/>
      <c r="AM1791" s="222"/>
      <c r="AN1791" s="222"/>
      <c r="AO1791" s="222"/>
      <c r="AP1791" s="222"/>
      <c r="AQ1791" s="222"/>
      <c r="AR1791" s="222"/>
      <c r="AS1791" s="222"/>
      <c r="AT1791" s="222"/>
      <c r="AU1791" s="222"/>
      <c r="AV1791" s="222"/>
      <c r="AW1791" s="222"/>
      <c r="AX1791" s="222"/>
      <c r="AY1791" s="222"/>
      <c r="AZ1791" s="222"/>
      <c r="BA1791" s="222"/>
    </row>
    <row r="1792" spans="1:53" x14ac:dyDescent="0.25">
      <c r="A1792" s="487" t="s">
        <v>130</v>
      </c>
      <c r="B1792" s="459"/>
      <c r="C1792" s="459"/>
      <c r="D1792" s="459"/>
      <c r="E1792" s="459"/>
      <c r="F1792" s="459"/>
      <c r="G1792" s="222"/>
      <c r="H1792" s="222"/>
      <c r="I1792" s="222"/>
      <c r="J1792" s="223"/>
      <c r="K1792" s="222"/>
      <c r="L1792" s="222"/>
      <c r="M1792" s="222"/>
      <c r="N1792" s="222"/>
      <c r="O1792" s="222"/>
      <c r="P1792" s="222"/>
      <c r="Q1792" s="222"/>
      <c r="R1792" s="222"/>
      <c r="S1792" s="222"/>
      <c r="T1792" s="222"/>
      <c r="U1792" s="222"/>
      <c r="V1792" s="222"/>
      <c r="W1792" s="222"/>
      <c r="X1792" s="222"/>
      <c r="Y1792" s="222"/>
      <c r="Z1792" s="222"/>
      <c r="AA1792" s="222"/>
      <c r="AB1792" s="222"/>
      <c r="AC1792" s="222"/>
      <c r="AD1792" s="222"/>
      <c r="AE1792" s="222"/>
      <c r="AF1792" s="222"/>
      <c r="AG1792" s="222"/>
      <c r="AH1792" s="222"/>
      <c r="AI1792" s="222"/>
      <c r="AJ1792" s="222"/>
      <c r="AK1792" s="222"/>
      <c r="AL1792" s="222"/>
      <c r="AM1792" s="222"/>
      <c r="AN1792" s="222"/>
      <c r="AO1792" s="222"/>
      <c r="AP1792" s="222"/>
      <c r="AQ1792" s="222"/>
      <c r="AR1792" s="222"/>
      <c r="AS1792" s="222"/>
      <c r="AT1792" s="222"/>
      <c r="AU1792" s="222"/>
      <c r="AV1792" s="222"/>
      <c r="AW1792" s="222"/>
      <c r="AX1792" s="222"/>
      <c r="AY1792" s="222"/>
      <c r="AZ1792" s="222"/>
      <c r="BA1792" s="222"/>
    </row>
    <row r="1793" spans="1:53" x14ac:dyDescent="0.25">
      <c r="A1793" s="487" t="s">
        <v>131</v>
      </c>
      <c r="B1793" s="459"/>
      <c r="C1793" s="459"/>
      <c r="D1793" s="459"/>
      <c r="E1793" s="459"/>
      <c r="F1793" s="459"/>
      <c r="G1793" s="222"/>
      <c r="H1793" s="222"/>
      <c r="I1793" s="222"/>
      <c r="J1793" s="223"/>
      <c r="K1793" s="222"/>
      <c r="L1793" s="222"/>
      <c r="M1793" s="222"/>
      <c r="N1793" s="222"/>
      <c r="O1793" s="222"/>
      <c r="P1793" s="222"/>
      <c r="Q1793" s="222"/>
      <c r="R1793" s="222"/>
      <c r="S1793" s="222"/>
      <c r="T1793" s="222"/>
      <c r="U1793" s="222"/>
      <c r="V1793" s="222"/>
      <c r="W1793" s="222"/>
      <c r="X1793" s="222"/>
      <c r="Y1793" s="222"/>
      <c r="Z1793" s="222"/>
      <c r="AA1793" s="222"/>
      <c r="AB1793" s="222"/>
      <c r="AC1793" s="222"/>
      <c r="AD1793" s="222"/>
      <c r="AE1793" s="222"/>
      <c r="AF1793" s="222"/>
      <c r="AG1793" s="222"/>
      <c r="AH1793" s="222"/>
      <c r="AI1793" s="222"/>
      <c r="AJ1793" s="222"/>
      <c r="AK1793" s="222"/>
      <c r="AL1793" s="222"/>
      <c r="AM1793" s="222"/>
      <c r="AN1793" s="222"/>
      <c r="AO1793" s="222"/>
      <c r="AP1793" s="222"/>
      <c r="AQ1793" s="222"/>
      <c r="AR1793" s="222"/>
      <c r="AS1793" s="222"/>
      <c r="AT1793" s="222"/>
      <c r="AU1793" s="222"/>
      <c r="AV1793" s="222"/>
      <c r="AW1793" s="222"/>
      <c r="AX1793" s="222"/>
      <c r="AY1793" s="222"/>
      <c r="AZ1793" s="222"/>
      <c r="BA1793" s="222"/>
    </row>
    <row r="1794" spans="1:53" x14ac:dyDescent="0.25">
      <c r="A1794" s="487" t="s">
        <v>305</v>
      </c>
      <c r="B1794" s="459"/>
      <c r="C1794" s="459"/>
      <c r="D1794" s="459"/>
      <c r="E1794" s="459"/>
      <c r="F1794" s="459"/>
      <c r="G1794" s="222"/>
      <c r="H1794" s="222"/>
      <c r="I1794" s="222"/>
      <c r="J1794" s="223"/>
      <c r="K1794" s="222"/>
      <c r="L1794" s="222"/>
      <c r="M1794" s="222"/>
      <c r="N1794" s="222"/>
      <c r="O1794" s="222"/>
      <c r="P1794" s="222"/>
      <c r="Q1794" s="222"/>
      <c r="R1794" s="222"/>
      <c r="S1794" s="222"/>
      <c r="T1794" s="222"/>
      <c r="U1794" s="222"/>
      <c r="V1794" s="222"/>
      <c r="W1794" s="222"/>
      <c r="X1794" s="222"/>
      <c r="Y1794" s="222"/>
      <c r="Z1794" s="222"/>
      <c r="AA1794" s="222"/>
      <c r="AB1794" s="222"/>
      <c r="AC1794" s="222"/>
      <c r="AD1794" s="222"/>
      <c r="AE1794" s="222"/>
      <c r="AF1794" s="222"/>
      <c r="AG1794" s="222"/>
      <c r="AH1794" s="222"/>
      <c r="AI1794" s="222"/>
      <c r="AJ1794" s="222"/>
      <c r="AK1794" s="222"/>
      <c r="AL1794" s="222"/>
      <c r="AM1794" s="222"/>
      <c r="AN1794" s="222"/>
      <c r="AO1794" s="222"/>
      <c r="AP1794" s="222"/>
      <c r="AQ1794" s="222"/>
      <c r="AR1794" s="222"/>
      <c r="AS1794" s="222"/>
      <c r="AT1794" s="222"/>
      <c r="AU1794" s="222"/>
      <c r="AV1794" s="222"/>
      <c r="AW1794" s="222"/>
      <c r="AX1794" s="222"/>
      <c r="AY1794" s="222"/>
      <c r="AZ1794" s="222"/>
      <c r="BA1794" s="222"/>
    </row>
    <row r="1795" spans="1:53" x14ac:dyDescent="0.25">
      <c r="A1795" s="487" t="s">
        <v>546</v>
      </c>
      <c r="B1795" s="459"/>
      <c r="C1795" s="459"/>
      <c r="D1795" s="459"/>
      <c r="E1795" s="459"/>
      <c r="F1795" s="459"/>
      <c r="G1795" s="222"/>
      <c r="H1795" s="222"/>
      <c r="I1795" s="222"/>
      <c r="J1795" s="223"/>
      <c r="K1795" s="222"/>
      <c r="L1795" s="222"/>
      <c r="M1795" s="222"/>
      <c r="N1795" s="222"/>
      <c r="O1795" s="222"/>
      <c r="P1795" s="222"/>
      <c r="Q1795" s="222"/>
      <c r="R1795" s="222"/>
      <c r="S1795" s="222"/>
      <c r="T1795" s="222"/>
      <c r="U1795" s="222"/>
      <c r="V1795" s="222"/>
      <c r="W1795" s="222"/>
      <c r="X1795" s="222"/>
      <c r="Y1795" s="222"/>
      <c r="Z1795" s="222"/>
      <c r="AA1795" s="222"/>
      <c r="AB1795" s="222"/>
      <c r="AC1795" s="222"/>
      <c r="AD1795" s="222"/>
      <c r="AE1795" s="222"/>
      <c r="AF1795" s="222"/>
      <c r="AG1795" s="222"/>
      <c r="AH1795" s="222"/>
      <c r="AI1795" s="222"/>
      <c r="AJ1795" s="222"/>
      <c r="AK1795" s="222"/>
      <c r="AL1795" s="222"/>
      <c r="AM1795" s="222"/>
      <c r="AN1795" s="222"/>
      <c r="AO1795" s="222"/>
      <c r="AP1795" s="222"/>
      <c r="AQ1795" s="222"/>
      <c r="AR1795" s="222"/>
      <c r="AS1795" s="222"/>
      <c r="AT1795" s="222"/>
      <c r="AU1795" s="222"/>
      <c r="AV1795" s="222"/>
      <c r="AW1795" s="222"/>
      <c r="AX1795" s="222"/>
      <c r="AY1795" s="222"/>
      <c r="AZ1795" s="222"/>
      <c r="BA1795" s="222"/>
    </row>
    <row r="1796" spans="1:53" x14ac:dyDescent="0.25">
      <c r="A1796" s="487" t="s">
        <v>692</v>
      </c>
      <c r="B1796" s="459"/>
      <c r="C1796" s="459"/>
      <c r="D1796" s="459"/>
      <c r="E1796" s="459"/>
      <c r="F1796" s="459"/>
      <c r="G1796" s="222"/>
      <c r="H1796" s="222"/>
      <c r="I1796" s="222"/>
      <c r="J1796" s="223"/>
      <c r="K1796" s="222"/>
      <c r="L1796" s="222"/>
      <c r="M1796" s="222"/>
      <c r="N1796" s="222"/>
      <c r="O1796" s="222"/>
      <c r="P1796" s="222"/>
      <c r="Q1796" s="222"/>
      <c r="R1796" s="222"/>
      <c r="S1796" s="222"/>
      <c r="T1796" s="222"/>
      <c r="U1796" s="222"/>
      <c r="V1796" s="222"/>
      <c r="W1796" s="222"/>
      <c r="X1796" s="222"/>
      <c r="Y1796" s="222"/>
      <c r="Z1796" s="222"/>
      <c r="AA1796" s="222"/>
      <c r="AB1796" s="222"/>
      <c r="AC1796" s="222"/>
      <c r="AD1796" s="222"/>
      <c r="AE1796" s="222"/>
      <c r="AF1796" s="222"/>
      <c r="AG1796" s="222"/>
      <c r="AH1796" s="222"/>
      <c r="AI1796" s="222"/>
      <c r="AJ1796" s="222"/>
      <c r="AK1796" s="222"/>
      <c r="AL1796" s="222"/>
      <c r="AM1796" s="222"/>
      <c r="AN1796" s="222"/>
      <c r="AO1796" s="222"/>
      <c r="AP1796" s="222"/>
      <c r="AQ1796" s="222"/>
      <c r="AR1796" s="222"/>
      <c r="AS1796" s="222"/>
      <c r="AT1796" s="222"/>
      <c r="AU1796" s="222"/>
      <c r="AV1796" s="222"/>
      <c r="AW1796" s="222"/>
      <c r="AX1796" s="222"/>
      <c r="AY1796" s="222"/>
      <c r="AZ1796" s="222"/>
      <c r="BA1796" s="222"/>
    </row>
    <row r="1797" spans="1:53" x14ac:dyDescent="0.25">
      <c r="A1797" s="487" t="s">
        <v>941</v>
      </c>
      <c r="B1797" s="459"/>
      <c r="C1797" s="459"/>
      <c r="D1797" s="459"/>
      <c r="E1797" s="459"/>
      <c r="F1797" s="459"/>
      <c r="G1797" s="222"/>
      <c r="H1797" s="222"/>
      <c r="I1797" s="222"/>
      <c r="J1797" s="223"/>
      <c r="K1797" s="222"/>
      <c r="L1797" s="222"/>
      <c r="M1797" s="222"/>
      <c r="N1797" s="222"/>
      <c r="O1797" s="222"/>
      <c r="P1797" s="222"/>
      <c r="Q1797" s="222"/>
      <c r="R1797" s="222"/>
      <c r="S1797" s="222"/>
      <c r="T1797" s="222"/>
      <c r="U1797" s="222"/>
      <c r="V1797" s="222"/>
      <c r="W1797" s="222"/>
      <c r="X1797" s="222"/>
      <c r="Y1797" s="222"/>
      <c r="Z1797" s="222"/>
      <c r="AA1797" s="222"/>
      <c r="AB1797" s="222"/>
      <c r="AC1797" s="222"/>
      <c r="AD1797" s="222"/>
      <c r="AE1797" s="222"/>
      <c r="AF1797" s="222"/>
      <c r="AG1797" s="222"/>
      <c r="AH1797" s="222"/>
      <c r="AI1797" s="222"/>
      <c r="AJ1797" s="222"/>
      <c r="AK1797" s="222"/>
      <c r="AL1797" s="222"/>
      <c r="AM1797" s="222"/>
      <c r="AN1797" s="222"/>
      <c r="AO1797" s="222"/>
      <c r="AP1797" s="222"/>
      <c r="AQ1797" s="222"/>
      <c r="AR1797" s="222"/>
      <c r="AS1797" s="222"/>
      <c r="AT1797" s="222"/>
      <c r="AU1797" s="222"/>
      <c r="AV1797" s="222"/>
      <c r="AW1797" s="222"/>
      <c r="AX1797" s="222"/>
      <c r="AY1797" s="222"/>
      <c r="AZ1797" s="222"/>
      <c r="BA1797" s="222"/>
    </row>
    <row r="1798" spans="1:53" x14ac:dyDescent="0.25">
      <c r="A1798" s="221" t="s">
        <v>548</v>
      </c>
      <c r="B1798" s="222"/>
      <c r="C1798" s="222"/>
      <c r="D1798" s="222"/>
      <c r="E1798" s="222"/>
      <c r="F1798" s="222"/>
      <c r="G1798" s="222"/>
      <c r="H1798" s="222"/>
      <c r="I1798" s="222"/>
      <c r="J1798" s="223"/>
      <c r="K1798" s="222"/>
      <c r="L1798" s="222"/>
      <c r="M1798" s="222"/>
      <c r="N1798" s="222"/>
      <c r="O1798" s="222"/>
      <c r="P1798" s="222"/>
      <c r="Q1798" s="222"/>
      <c r="R1798" s="222"/>
      <c r="S1798" s="222"/>
      <c r="T1798" s="222"/>
      <c r="U1798" s="222"/>
      <c r="V1798" s="222"/>
      <c r="W1798" s="222"/>
      <c r="X1798" s="222"/>
      <c r="Y1798" s="222"/>
      <c r="Z1798" s="222"/>
      <c r="AA1798" s="222"/>
      <c r="AB1798" s="222"/>
      <c r="AC1798" s="222"/>
      <c r="AD1798" s="222"/>
      <c r="AE1798" s="222"/>
      <c r="AF1798" s="222"/>
      <c r="AG1798" s="222"/>
      <c r="AH1798" s="222"/>
      <c r="AI1798" s="222"/>
      <c r="AJ1798" s="222"/>
      <c r="AK1798" s="222"/>
      <c r="AL1798" s="222"/>
      <c r="AM1798" s="222"/>
      <c r="AN1798" s="222"/>
      <c r="AO1798" s="222"/>
      <c r="AP1798" s="222"/>
      <c r="AQ1798" s="222"/>
      <c r="AR1798" s="222"/>
      <c r="AS1798" s="222"/>
      <c r="AT1798" s="222"/>
      <c r="AU1798" s="222"/>
      <c r="AV1798" s="222"/>
      <c r="AW1798" s="222"/>
      <c r="AX1798" s="222"/>
      <c r="AY1798" s="222"/>
      <c r="AZ1798" s="222"/>
      <c r="BA1798" s="222"/>
    </row>
    <row r="1799" spans="1:53" x14ac:dyDescent="0.25">
      <c r="A1799" s="221" t="s">
        <v>693</v>
      </c>
      <c r="B1799" s="222"/>
      <c r="C1799" s="222"/>
      <c r="D1799" s="222"/>
      <c r="E1799" s="222"/>
      <c r="F1799" s="222"/>
      <c r="G1799" s="222"/>
      <c r="H1799" s="222"/>
      <c r="I1799" s="222"/>
      <c r="J1799" s="223"/>
      <c r="K1799" s="222"/>
      <c r="L1799" s="222"/>
      <c r="M1799" s="222"/>
      <c r="N1799" s="222"/>
      <c r="O1799" s="222"/>
      <c r="P1799" s="222"/>
      <c r="Q1799" s="222"/>
      <c r="R1799" s="222"/>
      <c r="S1799" s="222"/>
      <c r="T1799" s="222"/>
      <c r="U1799" s="222"/>
      <c r="V1799" s="222"/>
      <c r="W1799" s="222"/>
      <c r="X1799" s="222"/>
      <c r="Y1799" s="222"/>
      <c r="Z1799" s="222"/>
      <c r="AA1799" s="222"/>
      <c r="AB1799" s="222"/>
      <c r="AC1799" s="222"/>
      <c r="AD1799" s="222"/>
      <c r="AE1799" s="222"/>
      <c r="AF1799" s="222"/>
      <c r="AG1799" s="222"/>
      <c r="AH1799" s="222"/>
      <c r="AI1799" s="222"/>
      <c r="AJ1799" s="222"/>
      <c r="AK1799" s="222"/>
      <c r="AL1799" s="222"/>
      <c r="AM1799" s="222"/>
      <c r="AN1799" s="222"/>
      <c r="AO1799" s="222"/>
      <c r="AP1799" s="222"/>
      <c r="AQ1799" s="222"/>
      <c r="AR1799" s="222"/>
      <c r="AS1799" s="222"/>
      <c r="AT1799" s="222"/>
      <c r="AU1799" s="222"/>
      <c r="AV1799" s="222"/>
      <c r="AW1799" s="222"/>
      <c r="AX1799" s="222"/>
      <c r="AY1799" s="222"/>
      <c r="AZ1799" s="222"/>
      <c r="BA1799" s="222"/>
    </row>
    <row r="1800" spans="1:53" x14ac:dyDescent="0.25">
      <c r="A1800" s="212" t="s">
        <v>942</v>
      </c>
      <c r="B1800" s="224"/>
      <c r="C1800" s="224"/>
      <c r="D1800" s="224"/>
      <c r="E1800" s="224"/>
      <c r="F1800" s="224"/>
      <c r="G1800" s="224"/>
      <c r="H1800" s="224"/>
      <c r="I1800" s="224"/>
      <c r="J1800" s="225"/>
      <c r="K1800" s="222"/>
      <c r="L1800" s="222"/>
      <c r="M1800" s="222"/>
      <c r="N1800" s="222"/>
      <c r="O1800" s="222"/>
      <c r="P1800" s="222"/>
      <c r="Q1800" s="222"/>
      <c r="R1800" s="222"/>
      <c r="S1800" s="222"/>
      <c r="T1800" s="222"/>
      <c r="U1800" s="222"/>
      <c r="V1800" s="222"/>
      <c r="W1800" s="222"/>
      <c r="X1800" s="222"/>
      <c r="Y1800" s="222"/>
      <c r="Z1800" s="222"/>
      <c r="AA1800" s="222"/>
      <c r="AB1800" s="222"/>
      <c r="AC1800" s="222"/>
      <c r="AD1800" s="222"/>
      <c r="AE1800" s="222"/>
      <c r="AF1800" s="222"/>
      <c r="AG1800" s="222"/>
      <c r="AH1800" s="222"/>
      <c r="AI1800" s="222"/>
      <c r="AJ1800" s="222"/>
      <c r="AK1800" s="222"/>
      <c r="AL1800" s="222"/>
      <c r="AM1800" s="222"/>
      <c r="AN1800" s="222"/>
      <c r="AO1800" s="222"/>
      <c r="AP1800" s="222"/>
      <c r="AQ1800" s="222"/>
      <c r="AR1800" s="222"/>
      <c r="AS1800" s="222"/>
      <c r="AT1800" s="222"/>
      <c r="AU1800" s="222"/>
      <c r="AV1800" s="222"/>
      <c r="AW1800" s="222"/>
      <c r="AX1800" s="222"/>
      <c r="AY1800" s="222"/>
      <c r="AZ1800" s="222"/>
      <c r="BA1800" s="222"/>
    </row>
    <row r="1801" spans="1:53" x14ac:dyDescent="0.25">
      <c r="A1801" s="222"/>
      <c r="B1801" s="222"/>
      <c r="C1801" s="222"/>
      <c r="D1801" s="222"/>
      <c r="E1801" s="222"/>
      <c r="F1801" s="222"/>
      <c r="G1801" s="222"/>
      <c r="H1801" s="222"/>
      <c r="I1801" s="222"/>
      <c r="J1801" s="222"/>
      <c r="K1801" s="222"/>
      <c r="L1801" s="222"/>
      <c r="M1801" s="222"/>
      <c r="N1801" s="222"/>
      <c r="O1801" s="222"/>
      <c r="P1801" s="222"/>
      <c r="Q1801" s="222"/>
      <c r="R1801" s="222"/>
      <c r="S1801" s="222"/>
      <c r="T1801" s="222"/>
      <c r="U1801" s="222"/>
      <c r="V1801" s="222"/>
      <c r="W1801" s="222"/>
      <c r="X1801" s="222"/>
      <c r="Y1801" s="222"/>
      <c r="Z1801" s="222"/>
      <c r="AA1801" s="222"/>
      <c r="AB1801" s="222"/>
      <c r="AC1801" s="222"/>
      <c r="AD1801" s="222"/>
      <c r="AE1801" s="222"/>
      <c r="AF1801" s="222"/>
      <c r="AG1801" s="222"/>
      <c r="AH1801" s="222"/>
      <c r="AI1801" s="222"/>
      <c r="AJ1801" s="222"/>
      <c r="AK1801" s="222"/>
      <c r="AL1801" s="222"/>
      <c r="AM1801" s="222"/>
      <c r="AN1801" s="222"/>
      <c r="AO1801" s="222"/>
      <c r="AP1801" s="222"/>
      <c r="AQ1801" s="222"/>
      <c r="AR1801" s="222"/>
      <c r="AS1801" s="222"/>
      <c r="AT1801" s="222"/>
      <c r="AU1801" s="222"/>
      <c r="AV1801" s="222"/>
      <c r="AW1801" s="222"/>
      <c r="AX1801" s="222"/>
      <c r="AY1801" s="222"/>
      <c r="AZ1801" s="222"/>
      <c r="BA1801" s="222"/>
    </row>
    <row r="1802" spans="1:53" x14ac:dyDescent="0.25">
      <c r="A1802" s="222"/>
      <c r="B1802" s="222"/>
      <c r="C1802" s="222"/>
      <c r="D1802" s="222"/>
      <c r="E1802" s="222"/>
      <c r="F1802" s="222"/>
      <c r="G1802" s="222"/>
      <c r="H1802" s="222"/>
      <c r="I1802" s="222"/>
      <c r="J1802" s="222"/>
      <c r="K1802" s="222"/>
      <c r="L1802" s="222"/>
      <c r="M1802" s="222"/>
      <c r="N1802" s="222"/>
      <c r="O1802" s="222"/>
      <c r="P1802" s="222"/>
      <c r="Q1802" s="222"/>
      <c r="R1802" s="222"/>
      <c r="S1802" s="222"/>
      <c r="T1802" s="222"/>
      <c r="U1802" s="222"/>
      <c r="V1802" s="222"/>
      <c r="W1802" s="222"/>
      <c r="X1802" s="222"/>
      <c r="Y1802" s="222"/>
      <c r="Z1802" s="222"/>
      <c r="AA1802" s="222"/>
      <c r="AB1802" s="222"/>
      <c r="AC1802" s="222"/>
      <c r="AD1802" s="222"/>
      <c r="AE1802" s="222"/>
      <c r="AF1802" s="222"/>
      <c r="AG1802" s="222"/>
      <c r="AH1802" s="222"/>
      <c r="AI1802" s="222"/>
      <c r="AJ1802" s="222"/>
      <c r="AK1802" s="222"/>
      <c r="AL1802" s="222"/>
      <c r="AM1802" s="222"/>
      <c r="AN1802" s="222"/>
      <c r="AO1802" s="222"/>
      <c r="AP1802" s="222"/>
      <c r="AQ1802" s="222"/>
      <c r="AR1802" s="222"/>
      <c r="AS1802" s="222"/>
      <c r="AT1802" s="222"/>
      <c r="AU1802" s="222"/>
      <c r="AV1802" s="222"/>
      <c r="AW1802" s="222"/>
      <c r="AX1802" s="222"/>
      <c r="AY1802" s="222"/>
      <c r="AZ1802" s="222"/>
      <c r="BA1802" s="222"/>
    </row>
    <row r="1803" spans="1:53" x14ac:dyDescent="0.25">
      <c r="A1803" s="559" t="s">
        <v>24</v>
      </c>
      <c r="B1803" s="553" t="s">
        <v>549</v>
      </c>
      <c r="C1803" s="222"/>
      <c r="D1803" s="222"/>
      <c r="E1803" s="222"/>
      <c r="F1803" s="222"/>
      <c r="G1803" s="222"/>
      <c r="H1803" s="222"/>
      <c r="I1803" s="222"/>
      <c r="J1803" s="222"/>
      <c r="K1803" s="222"/>
      <c r="L1803" s="222"/>
      <c r="M1803" s="222"/>
      <c r="N1803" s="222"/>
      <c r="O1803" s="222"/>
      <c r="P1803" s="222"/>
      <c r="Q1803" s="222"/>
      <c r="R1803" s="222"/>
      <c r="S1803" s="222"/>
      <c r="T1803" s="222"/>
      <c r="U1803" s="222"/>
      <c r="V1803" s="222"/>
      <c r="W1803" s="222"/>
      <c r="X1803" s="222"/>
      <c r="Y1803" s="222"/>
      <c r="Z1803" s="222"/>
      <c r="AA1803" s="222"/>
      <c r="AB1803" s="222"/>
      <c r="AC1803" s="222"/>
      <c r="AD1803" s="222"/>
      <c r="AE1803" s="222"/>
      <c r="AF1803" s="222"/>
      <c r="AG1803" s="222"/>
      <c r="AH1803" s="222"/>
      <c r="AI1803" s="222"/>
      <c r="AJ1803" s="222"/>
      <c r="AK1803" s="222"/>
      <c r="AL1803" s="222"/>
      <c r="AM1803" s="222"/>
      <c r="AN1803" s="222"/>
      <c r="AO1803" s="222"/>
      <c r="AP1803" s="222"/>
      <c r="AQ1803" s="222"/>
      <c r="AR1803" s="222"/>
      <c r="AS1803" s="222"/>
      <c r="AT1803" s="222"/>
      <c r="AU1803" s="222"/>
      <c r="AV1803" s="222"/>
      <c r="AW1803" s="222"/>
      <c r="AX1803" s="222"/>
      <c r="AY1803" s="222"/>
      <c r="AZ1803" s="222"/>
      <c r="BA1803" s="222"/>
    </row>
    <row r="1804" spans="1:53" x14ac:dyDescent="0.25">
      <c r="A1804" s="364" t="s">
        <v>14</v>
      </c>
      <c r="B1804" s="365" t="s">
        <v>638</v>
      </c>
      <c r="C1804" s="437" t="s">
        <v>26</v>
      </c>
      <c r="D1804" s="222"/>
      <c r="E1804" s="222"/>
      <c r="F1804" s="222"/>
      <c r="G1804" s="222"/>
      <c r="H1804" s="222"/>
      <c r="I1804" s="222"/>
      <c r="J1804" s="222"/>
      <c r="K1804" s="222"/>
      <c r="L1804" s="222"/>
      <c r="M1804" s="222"/>
      <c r="N1804" s="222"/>
      <c r="O1804" s="222"/>
      <c r="P1804" s="222"/>
      <c r="Q1804" s="222"/>
      <c r="R1804" s="222"/>
      <c r="S1804" s="222"/>
      <c r="T1804" s="222"/>
      <c r="U1804" s="222"/>
      <c r="V1804" s="222"/>
      <c r="W1804" s="222"/>
      <c r="X1804" s="222"/>
      <c r="Y1804" s="222"/>
      <c r="Z1804" s="222"/>
      <c r="AA1804" s="222"/>
      <c r="AB1804" s="222"/>
      <c r="AC1804" s="222"/>
      <c r="AD1804" s="222"/>
      <c r="AE1804" s="222"/>
      <c r="AF1804" s="222"/>
      <c r="AG1804" s="222"/>
      <c r="AH1804" s="222"/>
      <c r="AI1804" s="222"/>
      <c r="AJ1804" s="222"/>
      <c r="AK1804" s="222"/>
      <c r="AL1804" s="222"/>
      <c r="AM1804" s="222"/>
      <c r="AN1804" s="222"/>
      <c r="AO1804" s="222"/>
      <c r="AP1804" s="222"/>
      <c r="AQ1804" s="222"/>
      <c r="AR1804" s="222"/>
      <c r="AS1804" s="222"/>
      <c r="AT1804" s="222"/>
      <c r="AU1804" s="222"/>
      <c r="AV1804" s="222"/>
      <c r="AW1804" s="222"/>
      <c r="AX1804" s="222"/>
      <c r="AY1804" s="222"/>
      <c r="AZ1804" s="222"/>
      <c r="BA1804" s="222"/>
    </row>
    <row r="1805" spans="1:53" x14ac:dyDescent="0.25">
      <c r="A1805" s="438" t="s">
        <v>27</v>
      </c>
      <c r="B1805" s="345">
        <v>2016</v>
      </c>
      <c r="C1805" s="213">
        <v>2017</v>
      </c>
      <c r="D1805" s="427">
        <v>2018</v>
      </c>
      <c r="E1805" s="213">
        <v>2019</v>
      </c>
      <c r="F1805" s="213">
        <v>2020</v>
      </c>
      <c r="G1805" s="213">
        <v>2021</v>
      </c>
      <c r="H1805" s="213">
        <v>2022</v>
      </c>
      <c r="I1805" s="213">
        <v>2023</v>
      </c>
      <c r="J1805" s="222"/>
      <c r="K1805" s="222"/>
      <c r="L1805" s="222"/>
      <c r="M1805" s="222"/>
      <c r="N1805" s="222"/>
      <c r="O1805" s="222"/>
      <c r="P1805" s="222"/>
      <c r="Q1805" s="222"/>
      <c r="R1805" s="222"/>
      <c r="S1805" s="222"/>
      <c r="T1805" s="222"/>
      <c r="U1805" s="222"/>
      <c r="V1805" s="222"/>
      <c r="W1805" s="222"/>
      <c r="X1805" s="222"/>
      <c r="Y1805" s="222"/>
      <c r="Z1805" s="222"/>
      <c r="AA1805" s="222"/>
      <c r="AB1805" s="222"/>
      <c r="AC1805" s="222"/>
      <c r="AD1805" s="222"/>
      <c r="AE1805" s="222"/>
      <c r="AF1805" s="222"/>
      <c r="AG1805" s="222"/>
      <c r="AH1805" s="222"/>
      <c r="AI1805" s="222"/>
      <c r="AJ1805" s="222"/>
      <c r="AK1805" s="222"/>
      <c r="AL1805" s="222"/>
      <c r="AM1805" s="222"/>
      <c r="AN1805" s="222"/>
      <c r="AO1805" s="222"/>
      <c r="AP1805" s="222"/>
      <c r="AQ1805" s="222"/>
      <c r="AR1805" s="222"/>
      <c r="AS1805" s="222"/>
      <c r="AT1805" s="222"/>
      <c r="AU1805" s="222"/>
      <c r="AV1805" s="222"/>
      <c r="AW1805" s="222"/>
      <c r="AX1805" s="222"/>
      <c r="AY1805" s="222"/>
      <c r="AZ1805" s="222"/>
      <c r="BA1805" s="222"/>
    </row>
    <row r="1806" spans="1:53" x14ac:dyDescent="0.25">
      <c r="A1806" s="227" t="s">
        <v>28</v>
      </c>
      <c r="B1806" s="327">
        <v>250</v>
      </c>
      <c r="C1806" s="327">
        <v>250</v>
      </c>
      <c r="D1806" s="327">
        <v>300</v>
      </c>
      <c r="E1806" s="327">
        <v>300</v>
      </c>
      <c r="F1806" s="216">
        <v>300</v>
      </c>
      <c r="G1806" s="227">
        <v>337.5</v>
      </c>
      <c r="H1806" s="227">
        <v>337.5</v>
      </c>
      <c r="I1806" s="227">
        <v>337.5</v>
      </c>
      <c r="J1806" s="222"/>
      <c r="K1806" s="222"/>
      <c r="L1806" s="222"/>
      <c r="M1806" s="222"/>
      <c r="N1806" s="222"/>
      <c r="O1806" s="222"/>
      <c r="P1806" s="222"/>
      <c r="Q1806" s="222"/>
      <c r="R1806" s="222"/>
      <c r="S1806" s="222"/>
      <c r="T1806" s="222"/>
      <c r="U1806" s="222"/>
      <c r="V1806" s="222"/>
      <c r="W1806" s="222"/>
      <c r="X1806" s="222"/>
      <c r="Y1806" s="222"/>
      <c r="Z1806" s="222"/>
      <c r="AA1806" s="222"/>
      <c r="AB1806" s="222"/>
      <c r="AC1806" s="222"/>
      <c r="AD1806" s="222"/>
      <c r="AE1806" s="222"/>
      <c r="AF1806" s="222"/>
      <c r="AG1806" s="222"/>
      <c r="AH1806" s="222"/>
      <c r="AI1806" s="222"/>
      <c r="AJ1806" s="222"/>
      <c r="AK1806" s="222"/>
      <c r="AL1806" s="222"/>
      <c r="AM1806" s="222"/>
      <c r="AN1806" s="222"/>
      <c r="AO1806" s="222"/>
      <c r="AP1806" s="222"/>
      <c r="AQ1806" s="222"/>
      <c r="AR1806" s="222"/>
      <c r="AS1806" s="222"/>
      <c r="AT1806" s="222"/>
      <c r="AU1806" s="222"/>
      <c r="AV1806" s="222"/>
      <c r="AW1806" s="222"/>
      <c r="AX1806" s="222"/>
      <c r="AY1806" s="222"/>
      <c r="AZ1806" s="222"/>
      <c r="BA1806" s="222"/>
    </row>
    <row r="1807" spans="1:53" x14ac:dyDescent="0.25">
      <c r="A1807" s="227" t="s">
        <v>29</v>
      </c>
      <c r="B1807" s="327">
        <v>-415.21000000000004</v>
      </c>
      <c r="C1807" s="327">
        <f>B1810+C1806+60+150+114</f>
        <v>-128.19000000000005</v>
      </c>
      <c r="D1807" s="327">
        <f>C1810+D1806</f>
        <v>-129.54000000000008</v>
      </c>
      <c r="E1807" s="327">
        <f>E1806+D1810</f>
        <v>5.0099999999999341</v>
      </c>
      <c r="F1807" s="327">
        <f>E1810+F1806</f>
        <v>84.089999999999947</v>
      </c>
      <c r="G1807" s="327">
        <f>G1806+F1810</f>
        <v>175.66999999999996</v>
      </c>
      <c r="H1807" s="327">
        <f>H1806+G1810</f>
        <v>214.65699999999998</v>
      </c>
      <c r="I1807" s="327">
        <f>I1806+H1810</f>
        <v>234.81599999999997</v>
      </c>
      <c r="J1807" s="222"/>
      <c r="K1807" s="222"/>
      <c r="L1807" s="222"/>
      <c r="M1807" s="222"/>
      <c r="N1807" s="222"/>
      <c r="O1807" s="222"/>
      <c r="P1807" s="222"/>
      <c r="Q1807" s="222"/>
      <c r="R1807" s="222"/>
      <c r="S1807" s="222"/>
      <c r="T1807" s="222"/>
      <c r="U1807" s="222"/>
      <c r="V1807" s="222"/>
      <c r="W1807" s="222"/>
      <c r="X1807" s="222"/>
      <c r="Y1807" s="222"/>
      <c r="Z1807" s="222"/>
      <c r="AA1807" s="222"/>
      <c r="AB1807" s="222"/>
      <c r="AC1807" s="222"/>
      <c r="AD1807" s="222"/>
      <c r="AE1807" s="222"/>
      <c r="AF1807" s="222"/>
      <c r="AG1807" s="222"/>
      <c r="AH1807" s="222"/>
      <c r="AI1807" s="222"/>
      <c r="AJ1807" s="222"/>
      <c r="AK1807" s="222"/>
      <c r="AL1807" s="222"/>
      <c r="AM1807" s="222"/>
      <c r="AN1807" s="222"/>
      <c r="AO1807" s="222"/>
      <c r="AP1807" s="222"/>
      <c r="AQ1807" s="222"/>
      <c r="AR1807" s="222"/>
      <c r="AS1807" s="222"/>
      <c r="AT1807" s="222"/>
      <c r="AU1807" s="222"/>
      <c r="AV1807" s="222"/>
      <c r="AW1807" s="222"/>
      <c r="AX1807" s="222"/>
      <c r="AY1807" s="222"/>
      <c r="AZ1807" s="222"/>
      <c r="BA1807" s="222"/>
    </row>
    <row r="1808" spans="1:53" x14ac:dyDescent="0.25">
      <c r="A1808" s="227" t="s">
        <v>30</v>
      </c>
      <c r="B1808" s="439"/>
      <c r="C1808" s="504" t="s">
        <v>552</v>
      </c>
      <c r="D1808" s="439" t="s">
        <v>553</v>
      </c>
      <c r="E1808" s="439" t="s">
        <v>554</v>
      </c>
      <c r="F1808" s="439" t="s">
        <v>557</v>
      </c>
      <c r="G1808" s="439" t="s">
        <v>559</v>
      </c>
      <c r="H1808" s="439" t="s">
        <v>719</v>
      </c>
      <c r="I1808" s="439" t="s">
        <v>917</v>
      </c>
      <c r="J1808" s="222"/>
      <c r="K1808" s="222"/>
      <c r="L1808" s="222"/>
      <c r="M1808" s="222"/>
      <c r="N1808" s="222"/>
      <c r="O1808" s="222"/>
      <c r="P1808" s="222"/>
      <c r="Q1808" s="222"/>
      <c r="R1808" s="222"/>
      <c r="S1808" s="222"/>
      <c r="T1808" s="222"/>
      <c r="U1808" s="222"/>
      <c r="V1808" s="222"/>
      <c r="W1808" s="222"/>
      <c r="X1808" s="222"/>
      <c r="Y1808" s="222"/>
      <c r="Z1808" s="222"/>
      <c r="AA1808" s="222"/>
      <c r="AB1808" s="222"/>
      <c r="AC1808" s="222"/>
      <c r="AD1808" s="222"/>
      <c r="AE1808" s="222"/>
      <c r="AF1808" s="222"/>
      <c r="AG1808" s="222"/>
      <c r="AH1808" s="222"/>
      <c r="AI1808" s="222"/>
      <c r="AJ1808" s="222"/>
      <c r="AK1808" s="222"/>
      <c r="AL1808" s="222"/>
      <c r="AM1808" s="222"/>
      <c r="AN1808" s="222"/>
      <c r="AO1808" s="222"/>
      <c r="AP1808" s="222"/>
      <c r="AQ1808" s="222"/>
      <c r="AR1808" s="222"/>
      <c r="AS1808" s="222"/>
      <c r="AT1808" s="222"/>
      <c r="AU1808" s="222"/>
      <c r="AV1808" s="222"/>
      <c r="AW1808" s="222"/>
      <c r="AX1808" s="222"/>
      <c r="AY1808" s="222"/>
      <c r="AZ1808" s="222"/>
      <c r="BA1808" s="222"/>
    </row>
    <row r="1809" spans="1:53" x14ac:dyDescent="0.25">
      <c r="A1809" s="227" t="s">
        <v>31</v>
      </c>
      <c r="B1809" s="327">
        <v>286.98</v>
      </c>
      <c r="C1809" s="327">
        <v>301.35000000000002</v>
      </c>
      <c r="D1809" s="327">
        <v>165.45</v>
      </c>
      <c r="E1809" s="327">
        <v>220.92</v>
      </c>
      <c r="F1809" s="216">
        <v>245.92</v>
      </c>
      <c r="G1809" s="227">
        <v>298.51299999999998</v>
      </c>
      <c r="H1809" s="227">
        <v>317.34100000000001</v>
      </c>
      <c r="I1809" s="227"/>
      <c r="J1809" s="222"/>
      <c r="K1809" s="222"/>
      <c r="L1809" s="222"/>
      <c r="M1809" s="222"/>
      <c r="N1809" s="222"/>
      <c r="O1809" s="222"/>
      <c r="P1809" s="222"/>
      <c r="Q1809" s="222"/>
      <c r="R1809" s="222"/>
      <c r="S1809" s="222"/>
      <c r="T1809" s="222"/>
      <c r="U1809" s="222"/>
      <c r="V1809" s="222"/>
      <c r="W1809" s="222"/>
      <c r="X1809" s="222"/>
      <c r="Y1809" s="222"/>
      <c r="Z1809" s="222"/>
      <c r="AA1809" s="222"/>
      <c r="AB1809" s="222"/>
      <c r="AC1809" s="222"/>
      <c r="AD1809" s="222"/>
      <c r="AE1809" s="222"/>
      <c r="AF1809" s="222"/>
      <c r="AG1809" s="222"/>
      <c r="AH1809" s="222"/>
      <c r="AI1809" s="222"/>
      <c r="AJ1809" s="222"/>
      <c r="AK1809" s="222"/>
      <c r="AL1809" s="222"/>
      <c r="AM1809" s="222"/>
      <c r="AN1809" s="222"/>
      <c r="AO1809" s="222"/>
      <c r="AP1809" s="222"/>
      <c r="AQ1809" s="222"/>
      <c r="AR1809" s="222"/>
      <c r="AS1809" s="222"/>
      <c r="AT1809" s="222"/>
      <c r="AU1809" s="222"/>
      <c r="AV1809" s="222"/>
      <c r="AW1809" s="222"/>
      <c r="AX1809" s="222"/>
      <c r="AY1809" s="222"/>
      <c r="AZ1809" s="222"/>
      <c r="BA1809" s="222"/>
    </row>
    <row r="1810" spans="1:53" x14ac:dyDescent="0.25">
      <c r="A1810" s="227" t="s">
        <v>32</v>
      </c>
      <c r="B1810" s="327">
        <f>B1807-B1809</f>
        <v>-702.19</v>
      </c>
      <c r="C1810" s="327">
        <f t="shared" ref="C1810:D1810" si="73">C1807-C1809</f>
        <v>-429.54000000000008</v>
      </c>
      <c r="D1810" s="327">
        <f t="shared" si="73"/>
        <v>-294.99000000000007</v>
      </c>
      <c r="E1810" s="327">
        <f>E1807-E1809</f>
        <v>-215.91000000000005</v>
      </c>
      <c r="F1810" s="327">
        <f>F1807-F1809</f>
        <v>-161.83000000000004</v>
      </c>
      <c r="G1810" s="216">
        <f>G1807-G1809</f>
        <v>-122.84300000000002</v>
      </c>
      <c r="H1810" s="216">
        <f>H1807-H1809</f>
        <v>-102.68400000000003</v>
      </c>
      <c r="I1810" s="227"/>
      <c r="J1810" s="222"/>
      <c r="K1810" s="222"/>
      <c r="L1810" s="222"/>
      <c r="M1810" s="222"/>
      <c r="N1810" s="222"/>
      <c r="O1810" s="222"/>
      <c r="P1810" s="222"/>
      <c r="Q1810" s="222"/>
      <c r="R1810" s="222"/>
      <c r="S1810" s="222"/>
      <c r="T1810" s="222"/>
      <c r="U1810" s="222"/>
      <c r="V1810" s="222"/>
      <c r="W1810" s="222"/>
      <c r="X1810" s="222"/>
      <c r="Y1810" s="222"/>
      <c r="Z1810" s="222"/>
      <c r="AA1810" s="222"/>
      <c r="AB1810" s="222"/>
      <c r="AC1810" s="222"/>
      <c r="AD1810" s="222"/>
      <c r="AE1810" s="222"/>
      <c r="AF1810" s="222"/>
      <c r="AG1810" s="222"/>
      <c r="AH1810" s="222"/>
      <c r="AI1810" s="222"/>
      <c r="AJ1810" s="222"/>
      <c r="AK1810" s="222"/>
      <c r="AL1810" s="222"/>
      <c r="AM1810" s="222"/>
      <c r="AN1810" s="222"/>
      <c r="AO1810" s="222"/>
      <c r="AP1810" s="222"/>
      <c r="AQ1810" s="222"/>
      <c r="AR1810" s="222"/>
      <c r="AS1810" s="222"/>
      <c r="AT1810" s="222"/>
      <c r="AU1810" s="222"/>
      <c r="AV1810" s="222"/>
      <c r="AW1810" s="222"/>
      <c r="AX1810" s="222"/>
      <c r="AY1810" s="222"/>
      <c r="AZ1810" s="222"/>
      <c r="BA1810" s="222"/>
    </row>
    <row r="1811" spans="1:53" x14ac:dyDescent="0.25">
      <c r="A1811" s="219" t="s">
        <v>33</v>
      </c>
      <c r="B1811" s="245">
        <v>2018</v>
      </c>
      <c r="C1811" s="245">
        <v>2018</v>
      </c>
      <c r="D1811" s="245">
        <v>2019</v>
      </c>
      <c r="E1811" s="245">
        <v>2020</v>
      </c>
      <c r="F1811" s="245">
        <v>2021</v>
      </c>
      <c r="G1811" s="245">
        <v>2022</v>
      </c>
      <c r="H1811" s="245">
        <v>2023</v>
      </c>
      <c r="I1811" s="245">
        <v>2024</v>
      </c>
      <c r="J1811" s="222"/>
      <c r="K1811" s="222"/>
      <c r="L1811" s="222"/>
      <c r="M1811" s="222"/>
      <c r="N1811" s="222"/>
      <c r="O1811" s="222"/>
      <c r="P1811" s="222"/>
      <c r="Q1811" s="222"/>
      <c r="R1811" s="222"/>
      <c r="S1811" s="222"/>
      <c r="T1811" s="222"/>
      <c r="U1811" s="222"/>
      <c r="V1811" s="222"/>
      <c r="W1811" s="222"/>
      <c r="X1811" s="222"/>
      <c r="Y1811" s="222"/>
      <c r="Z1811" s="222"/>
      <c r="AA1811" s="222"/>
      <c r="AB1811" s="222"/>
      <c r="AC1811" s="222"/>
      <c r="AD1811" s="222"/>
      <c r="AE1811" s="222"/>
      <c r="AF1811" s="222"/>
      <c r="AG1811" s="222"/>
      <c r="AH1811" s="222"/>
      <c r="AI1811" s="222"/>
      <c r="AJ1811" s="222"/>
      <c r="AK1811" s="222"/>
      <c r="AL1811" s="222"/>
      <c r="AM1811" s="222"/>
      <c r="AN1811" s="222"/>
      <c r="AO1811" s="222"/>
      <c r="AP1811" s="222"/>
      <c r="AQ1811" s="222"/>
      <c r="AR1811" s="222"/>
      <c r="AS1811" s="222"/>
      <c r="AT1811" s="222"/>
      <c r="AU1811" s="222"/>
      <c r="AV1811" s="222"/>
      <c r="AW1811" s="222"/>
      <c r="AX1811" s="222"/>
      <c r="AY1811" s="222"/>
      <c r="AZ1811" s="222"/>
      <c r="BA1811" s="222"/>
    </row>
    <row r="1812" spans="1:53" x14ac:dyDescent="0.25">
      <c r="A1812" s="219" t="s">
        <v>551</v>
      </c>
      <c r="B1812" s="282"/>
      <c r="C1812" s="282"/>
      <c r="D1812" s="282"/>
      <c r="E1812" s="282"/>
      <c r="F1812" s="282"/>
      <c r="G1812" s="220"/>
      <c r="H1812" s="218"/>
      <c r="I1812" s="218"/>
      <c r="J1812" s="222"/>
      <c r="K1812" s="222"/>
      <c r="L1812" s="222"/>
      <c r="M1812" s="222"/>
      <c r="N1812" s="222"/>
      <c r="O1812" s="222"/>
      <c r="P1812" s="222"/>
      <c r="Q1812" s="222"/>
      <c r="R1812" s="222"/>
      <c r="S1812" s="222"/>
      <c r="T1812" s="222"/>
      <c r="U1812" s="222"/>
      <c r="V1812" s="222"/>
      <c r="W1812" s="222"/>
      <c r="X1812" s="222"/>
      <c r="Y1812" s="222"/>
      <c r="Z1812" s="222"/>
      <c r="AA1812" s="222"/>
      <c r="AB1812" s="222"/>
      <c r="AC1812" s="222"/>
      <c r="AD1812" s="222"/>
      <c r="AE1812" s="222"/>
      <c r="AF1812" s="222"/>
      <c r="AG1812" s="222"/>
      <c r="AH1812" s="222"/>
      <c r="AI1812" s="222"/>
      <c r="AJ1812" s="222"/>
      <c r="AK1812" s="222"/>
      <c r="AL1812" s="222"/>
      <c r="AM1812" s="222"/>
      <c r="AN1812" s="222"/>
      <c r="AO1812" s="222"/>
      <c r="AP1812" s="222"/>
      <c r="AQ1812" s="222"/>
      <c r="AR1812" s="222"/>
      <c r="AS1812" s="222"/>
      <c r="AT1812" s="222"/>
      <c r="AU1812" s="222"/>
      <c r="AV1812" s="222"/>
      <c r="AW1812" s="222"/>
      <c r="AX1812" s="222"/>
      <c r="AY1812" s="222"/>
      <c r="AZ1812" s="222"/>
      <c r="BA1812" s="222"/>
    </row>
    <row r="1813" spans="1:53" x14ac:dyDescent="0.25">
      <c r="A1813" s="221" t="s">
        <v>555</v>
      </c>
      <c r="B1813" s="440"/>
      <c r="C1813" s="440"/>
      <c r="D1813" s="440"/>
      <c r="E1813" s="440"/>
      <c r="F1813" s="440"/>
      <c r="G1813" s="222"/>
      <c r="H1813" s="223"/>
      <c r="I1813" s="223"/>
      <c r="J1813" s="222"/>
      <c r="K1813" s="222"/>
      <c r="L1813" s="222"/>
      <c r="M1813" s="222"/>
      <c r="N1813" s="222"/>
      <c r="O1813" s="222"/>
      <c r="P1813" s="222"/>
      <c r="Q1813" s="222"/>
      <c r="R1813" s="222"/>
      <c r="S1813" s="222"/>
      <c r="T1813" s="222"/>
      <c r="U1813" s="222"/>
      <c r="V1813" s="222"/>
      <c r="W1813" s="222"/>
      <c r="X1813" s="222"/>
      <c r="Y1813" s="222"/>
      <c r="Z1813" s="222"/>
      <c r="AA1813" s="222"/>
      <c r="AB1813" s="222"/>
      <c r="AC1813" s="222"/>
      <c r="AD1813" s="222"/>
      <c r="AE1813" s="222"/>
      <c r="AF1813" s="222"/>
      <c r="AG1813" s="222"/>
      <c r="AH1813" s="222"/>
      <c r="AI1813" s="222"/>
      <c r="AJ1813" s="222"/>
      <c r="AK1813" s="222"/>
      <c r="AL1813" s="222"/>
      <c r="AM1813" s="222"/>
      <c r="AN1813" s="222"/>
      <c r="AO1813" s="222"/>
      <c r="AP1813" s="222"/>
      <c r="AQ1813" s="222"/>
      <c r="AR1813" s="222"/>
      <c r="AS1813" s="222"/>
      <c r="AT1813" s="222"/>
      <c r="AU1813" s="222"/>
      <c r="AV1813" s="222"/>
      <c r="AW1813" s="222"/>
      <c r="AX1813" s="222"/>
      <c r="AY1813" s="222"/>
      <c r="AZ1813" s="222"/>
      <c r="BA1813" s="222"/>
    </row>
    <row r="1814" spans="1:53" x14ac:dyDescent="0.25">
      <c r="A1814" s="221" t="s">
        <v>556</v>
      </c>
      <c r="B1814" s="440"/>
      <c r="C1814" s="440"/>
      <c r="D1814" s="440"/>
      <c r="E1814" s="440"/>
      <c r="F1814" s="440"/>
      <c r="G1814" s="222"/>
      <c r="H1814" s="223"/>
      <c r="I1814" s="223"/>
      <c r="J1814" s="222"/>
      <c r="K1814" s="222"/>
      <c r="L1814" s="222"/>
      <c r="M1814" s="222"/>
      <c r="N1814" s="222"/>
      <c r="O1814" s="222"/>
      <c r="P1814" s="222"/>
      <c r="Q1814" s="222"/>
      <c r="R1814" s="222"/>
      <c r="S1814" s="222"/>
      <c r="T1814" s="222"/>
      <c r="U1814" s="222"/>
      <c r="V1814" s="222"/>
      <c r="W1814" s="222"/>
      <c r="X1814" s="222"/>
      <c r="Y1814" s="222"/>
      <c r="Z1814" s="222"/>
      <c r="AA1814" s="222"/>
      <c r="AB1814" s="222"/>
      <c r="AC1814" s="222"/>
      <c r="AD1814" s="222"/>
      <c r="AE1814" s="222"/>
      <c r="AF1814" s="222"/>
      <c r="AG1814" s="222"/>
      <c r="AH1814" s="222"/>
      <c r="AI1814" s="222"/>
      <c r="AJ1814" s="222"/>
      <c r="AK1814" s="222"/>
      <c r="AL1814" s="222"/>
      <c r="AM1814" s="222"/>
      <c r="AN1814" s="222"/>
      <c r="AO1814" s="222"/>
      <c r="AP1814" s="222"/>
      <c r="AQ1814" s="222"/>
      <c r="AR1814" s="222"/>
      <c r="AS1814" s="222"/>
      <c r="AT1814" s="222"/>
      <c r="AU1814" s="222"/>
      <c r="AV1814" s="222"/>
      <c r="AW1814" s="222"/>
      <c r="AX1814" s="222"/>
      <c r="AY1814" s="222"/>
      <c r="AZ1814" s="222"/>
      <c r="BA1814" s="222"/>
    </row>
    <row r="1815" spans="1:53" x14ac:dyDescent="0.25">
      <c r="A1815" s="221" t="s">
        <v>558</v>
      </c>
      <c r="B1815" s="440"/>
      <c r="C1815" s="440"/>
      <c r="D1815" s="440"/>
      <c r="E1815" s="440"/>
      <c r="F1815" s="440"/>
      <c r="G1815" s="222"/>
      <c r="H1815" s="223"/>
      <c r="I1815" s="223"/>
      <c r="J1815" s="222"/>
      <c r="K1815" s="222"/>
      <c r="L1815" s="222"/>
      <c r="M1815" s="222"/>
      <c r="N1815" s="222"/>
      <c r="O1815" s="222"/>
      <c r="P1815" s="222"/>
      <c r="Q1815" s="222"/>
      <c r="R1815" s="222"/>
      <c r="S1815" s="222"/>
      <c r="T1815" s="222"/>
      <c r="U1815" s="222"/>
      <c r="V1815" s="222"/>
      <c r="W1815" s="222"/>
      <c r="X1815" s="222"/>
      <c r="Y1815" s="222"/>
      <c r="Z1815" s="222"/>
      <c r="AA1815" s="222"/>
      <c r="AB1815" s="222"/>
      <c r="AC1815" s="222"/>
      <c r="AD1815" s="222"/>
      <c r="AE1815" s="222"/>
      <c r="AF1815" s="222"/>
      <c r="AG1815" s="222"/>
      <c r="AH1815" s="222"/>
      <c r="AI1815" s="222"/>
      <c r="AJ1815" s="222"/>
      <c r="AK1815" s="222"/>
      <c r="AL1815" s="222"/>
      <c r="AM1815" s="222"/>
      <c r="AN1815" s="222"/>
      <c r="AO1815" s="222"/>
      <c r="AP1815" s="222"/>
      <c r="AQ1815" s="222"/>
      <c r="AR1815" s="222"/>
      <c r="AS1815" s="222"/>
      <c r="AT1815" s="222"/>
      <c r="AU1815" s="222"/>
      <c r="AV1815" s="222"/>
      <c r="AW1815" s="222"/>
      <c r="AX1815" s="222"/>
      <c r="AY1815" s="222"/>
      <c r="AZ1815" s="222"/>
      <c r="BA1815" s="222"/>
    </row>
    <row r="1816" spans="1:53" x14ac:dyDescent="0.25">
      <c r="A1816" s="221" t="s">
        <v>560</v>
      </c>
      <c r="B1816" s="440"/>
      <c r="C1816" s="440"/>
      <c r="D1816" s="440"/>
      <c r="E1816" s="440"/>
      <c r="F1816" s="440"/>
      <c r="G1816" s="222"/>
      <c r="H1816" s="223"/>
      <c r="I1816" s="223"/>
      <c r="J1816" s="222"/>
      <c r="K1816" s="222"/>
      <c r="L1816" s="222"/>
      <c r="M1816" s="222"/>
      <c r="N1816" s="222"/>
      <c r="O1816" s="222"/>
      <c r="P1816" s="222"/>
      <c r="Q1816" s="222"/>
      <c r="R1816" s="222"/>
      <c r="S1816" s="222"/>
      <c r="T1816" s="222"/>
      <c r="U1816" s="222"/>
      <c r="V1816" s="222"/>
      <c r="W1816" s="222"/>
      <c r="X1816" s="222"/>
      <c r="Y1816" s="222"/>
      <c r="Z1816" s="222"/>
      <c r="AA1816" s="222"/>
      <c r="AB1816" s="222"/>
      <c r="AC1816" s="222"/>
      <c r="AD1816" s="222"/>
      <c r="AE1816" s="222"/>
      <c r="AF1816" s="222"/>
      <c r="AG1816" s="222"/>
      <c r="AH1816" s="222"/>
      <c r="AI1816" s="222"/>
      <c r="AJ1816" s="222"/>
      <c r="AK1816" s="222"/>
      <c r="AL1816" s="222"/>
      <c r="AM1816" s="222"/>
      <c r="AN1816" s="222"/>
      <c r="AO1816" s="222"/>
      <c r="AP1816" s="222"/>
      <c r="AQ1816" s="222"/>
      <c r="AR1816" s="222"/>
      <c r="AS1816" s="222"/>
      <c r="AT1816" s="222"/>
      <c r="AU1816" s="222"/>
      <c r="AV1816" s="222"/>
      <c r="AW1816" s="222"/>
      <c r="AX1816" s="222"/>
      <c r="AY1816" s="222"/>
      <c r="AZ1816" s="222"/>
      <c r="BA1816" s="222"/>
    </row>
    <row r="1817" spans="1:53" x14ac:dyDescent="0.25">
      <c r="A1817" s="221" t="s">
        <v>720</v>
      </c>
      <c r="B1817" s="440"/>
      <c r="C1817" s="440"/>
      <c r="D1817" s="440"/>
      <c r="E1817" s="440"/>
      <c r="F1817" s="440"/>
      <c r="G1817" s="222"/>
      <c r="H1817" s="223"/>
      <c r="I1817" s="223"/>
      <c r="J1817" s="222"/>
      <c r="K1817" s="222"/>
      <c r="L1817" s="222"/>
      <c r="M1817" s="222"/>
      <c r="N1817" s="222"/>
      <c r="O1817" s="222"/>
      <c r="P1817" s="222"/>
      <c r="Q1817" s="222"/>
      <c r="R1817" s="222"/>
      <c r="S1817" s="222"/>
      <c r="T1817" s="222"/>
      <c r="U1817" s="222"/>
      <c r="V1817" s="222"/>
      <c r="W1817" s="222"/>
      <c r="X1817" s="222"/>
      <c r="Y1817" s="222"/>
      <c r="Z1817" s="222"/>
      <c r="AA1817" s="222"/>
      <c r="AB1817" s="222"/>
      <c r="AC1817" s="222"/>
      <c r="AD1817" s="222"/>
      <c r="AE1817" s="222"/>
      <c r="AF1817" s="222"/>
      <c r="AG1817" s="222"/>
      <c r="AH1817" s="222"/>
      <c r="AI1817" s="222"/>
      <c r="AJ1817" s="222"/>
      <c r="AK1817" s="222"/>
      <c r="AL1817" s="222"/>
      <c r="AM1817" s="222"/>
      <c r="AN1817" s="222"/>
      <c r="AO1817" s="222"/>
      <c r="AP1817" s="222"/>
      <c r="AQ1817" s="222"/>
      <c r="AR1817" s="222"/>
      <c r="AS1817" s="222"/>
      <c r="AT1817" s="222"/>
      <c r="AU1817" s="222"/>
      <c r="AV1817" s="222"/>
      <c r="AW1817" s="222"/>
      <c r="AX1817" s="222"/>
      <c r="AY1817" s="222"/>
      <c r="AZ1817" s="222"/>
      <c r="BA1817" s="222"/>
    </row>
    <row r="1818" spans="1:53" x14ac:dyDescent="0.25">
      <c r="A1818" s="221" t="s">
        <v>918</v>
      </c>
      <c r="B1818" s="440"/>
      <c r="C1818" s="440"/>
      <c r="D1818" s="440"/>
      <c r="E1818" s="440"/>
      <c r="F1818" s="440"/>
      <c r="G1818" s="222"/>
      <c r="H1818" s="223"/>
      <c r="I1818" s="223"/>
      <c r="J1818" s="222"/>
      <c r="K1818" s="222"/>
      <c r="L1818" s="222"/>
      <c r="M1818" s="222"/>
      <c r="N1818" s="222"/>
      <c r="O1818" s="222"/>
      <c r="P1818" s="222"/>
      <c r="Q1818" s="222"/>
      <c r="R1818" s="222"/>
      <c r="S1818" s="222"/>
      <c r="T1818" s="222"/>
      <c r="U1818" s="222"/>
      <c r="V1818" s="222"/>
      <c r="W1818" s="222"/>
      <c r="X1818" s="222"/>
      <c r="Y1818" s="222"/>
      <c r="Z1818" s="222"/>
      <c r="AA1818" s="222"/>
      <c r="AB1818" s="222"/>
      <c r="AC1818" s="222"/>
      <c r="AD1818" s="222"/>
      <c r="AE1818" s="222"/>
      <c r="AF1818" s="222"/>
      <c r="AG1818" s="222"/>
      <c r="AH1818" s="222"/>
      <c r="AI1818" s="222"/>
      <c r="AJ1818" s="222"/>
      <c r="AK1818" s="222"/>
      <c r="AL1818" s="222"/>
      <c r="AM1818" s="222"/>
      <c r="AN1818" s="222"/>
      <c r="AO1818" s="222"/>
      <c r="AP1818" s="222"/>
      <c r="AQ1818" s="222"/>
      <c r="AR1818" s="222"/>
      <c r="AS1818" s="222"/>
      <c r="AT1818" s="222"/>
      <c r="AU1818" s="222"/>
      <c r="AV1818" s="222"/>
      <c r="AW1818" s="222"/>
      <c r="AX1818" s="222"/>
      <c r="AY1818" s="222"/>
      <c r="AZ1818" s="222"/>
      <c r="BA1818" s="222"/>
    </row>
    <row r="1819" spans="1:53" x14ac:dyDescent="0.25">
      <c r="A1819" s="212" t="s">
        <v>550</v>
      </c>
      <c r="B1819" s="505"/>
      <c r="C1819" s="505"/>
      <c r="D1819" s="505"/>
      <c r="E1819" s="505"/>
      <c r="F1819" s="505"/>
      <c r="G1819" s="224"/>
      <c r="H1819" s="225"/>
      <c r="I1819" s="225"/>
      <c r="J1819" s="222"/>
      <c r="K1819" s="222"/>
      <c r="L1819" s="222"/>
      <c r="M1819" s="222"/>
      <c r="N1819" s="222"/>
      <c r="O1819" s="222"/>
      <c r="P1819" s="222"/>
      <c r="Q1819" s="222"/>
      <c r="R1819" s="222"/>
      <c r="S1819" s="222"/>
      <c r="T1819" s="222"/>
      <c r="U1819" s="222"/>
      <c r="V1819" s="222"/>
      <c r="W1819" s="222"/>
      <c r="X1819" s="222"/>
      <c r="Y1819" s="222"/>
      <c r="Z1819" s="222"/>
      <c r="AA1819" s="222"/>
      <c r="AB1819" s="222"/>
      <c r="AC1819" s="222"/>
      <c r="AD1819" s="222"/>
      <c r="AE1819" s="222"/>
      <c r="AF1819" s="222"/>
      <c r="AG1819" s="222"/>
      <c r="AH1819" s="222"/>
      <c r="AI1819" s="222"/>
      <c r="AJ1819" s="222"/>
      <c r="AK1819" s="222"/>
      <c r="AL1819" s="222"/>
      <c r="AM1819" s="222"/>
      <c r="AN1819" s="222"/>
      <c r="AO1819" s="222"/>
      <c r="AP1819" s="222"/>
      <c r="AQ1819" s="222"/>
      <c r="AR1819" s="222"/>
      <c r="AS1819" s="222"/>
      <c r="AT1819" s="222"/>
      <c r="AU1819" s="222"/>
      <c r="AV1819" s="222"/>
      <c r="AW1819" s="222"/>
      <c r="AX1819" s="222"/>
      <c r="AY1819" s="222"/>
      <c r="AZ1819" s="222"/>
      <c r="BA1819" s="222"/>
    </row>
    <row r="1820" spans="1:53" x14ac:dyDescent="0.25">
      <c r="A1820" s="363"/>
      <c r="B1820" s="363"/>
      <c r="C1820" s="222"/>
      <c r="D1820" s="222"/>
      <c r="E1820" s="222"/>
      <c r="F1820" s="222"/>
      <c r="G1820" s="222"/>
      <c r="H1820" s="222"/>
      <c r="I1820" s="222"/>
      <c r="J1820" s="222"/>
      <c r="K1820" s="222"/>
      <c r="L1820" s="222"/>
      <c r="M1820" s="222"/>
      <c r="N1820" s="222"/>
      <c r="O1820" s="222"/>
      <c r="P1820" s="222"/>
      <c r="Q1820" s="222"/>
      <c r="R1820" s="222"/>
      <c r="S1820" s="222"/>
      <c r="T1820" s="222"/>
      <c r="U1820" s="222"/>
      <c r="V1820" s="222"/>
      <c r="W1820" s="222"/>
      <c r="X1820" s="222"/>
      <c r="Y1820" s="222"/>
      <c r="Z1820" s="222"/>
      <c r="AA1820" s="222"/>
      <c r="AB1820" s="222"/>
      <c r="AC1820" s="222"/>
      <c r="AD1820" s="222"/>
      <c r="AE1820" s="222"/>
      <c r="AF1820" s="222"/>
      <c r="AG1820" s="222"/>
      <c r="AH1820" s="222"/>
      <c r="AI1820" s="222"/>
      <c r="AJ1820" s="222"/>
      <c r="AK1820" s="222"/>
      <c r="AL1820" s="222"/>
      <c r="AM1820" s="222"/>
      <c r="AN1820" s="222"/>
      <c r="AO1820" s="222"/>
      <c r="AP1820" s="222"/>
      <c r="AQ1820" s="222"/>
      <c r="AR1820" s="222"/>
      <c r="AS1820" s="222"/>
      <c r="AT1820" s="222"/>
      <c r="AU1820" s="222"/>
      <c r="AV1820" s="222"/>
      <c r="AW1820" s="222"/>
      <c r="AX1820" s="222"/>
      <c r="AY1820" s="222"/>
      <c r="AZ1820" s="222"/>
      <c r="BA1820" s="222"/>
    </row>
    <row r="1821" spans="1:53" x14ac:dyDescent="0.25">
      <c r="A1821" s="262" t="s">
        <v>14</v>
      </c>
      <c r="B1821" s="276" t="s">
        <v>637</v>
      </c>
      <c r="C1821" s="437" t="s">
        <v>26</v>
      </c>
      <c r="D1821" s="222"/>
      <c r="E1821" s="222"/>
      <c r="F1821" s="222"/>
      <c r="G1821" s="222"/>
      <c r="H1821" s="222"/>
      <c r="I1821" s="222"/>
      <c r="J1821" s="222"/>
      <c r="K1821" s="222"/>
      <c r="L1821" s="222"/>
      <c r="M1821" s="222"/>
      <c r="N1821" s="222"/>
      <c r="O1821" s="222"/>
      <c r="P1821" s="222"/>
      <c r="Q1821" s="222"/>
      <c r="R1821" s="222"/>
      <c r="S1821" s="222"/>
      <c r="T1821" s="222"/>
      <c r="U1821" s="222"/>
      <c r="V1821" s="222"/>
      <c r="W1821" s="222"/>
      <c r="X1821" s="222"/>
      <c r="Y1821" s="222"/>
      <c r="Z1821" s="222"/>
      <c r="AA1821" s="222"/>
      <c r="AB1821" s="222"/>
      <c r="AC1821" s="222"/>
      <c r="AD1821" s="222"/>
      <c r="AE1821" s="222"/>
      <c r="AF1821" s="222"/>
      <c r="AG1821" s="222"/>
      <c r="AH1821" s="222"/>
      <c r="AI1821" s="222"/>
      <c r="AJ1821" s="222"/>
      <c r="AK1821" s="222"/>
      <c r="AL1821" s="222"/>
      <c r="AM1821" s="222"/>
      <c r="AN1821" s="222"/>
      <c r="AO1821" s="222"/>
      <c r="AP1821" s="222"/>
      <c r="AQ1821" s="222"/>
      <c r="AR1821" s="222"/>
      <c r="AS1821" s="222"/>
      <c r="AT1821" s="222"/>
      <c r="AU1821" s="222"/>
      <c r="AV1821" s="222"/>
      <c r="AW1821" s="222"/>
      <c r="AX1821" s="222"/>
      <c r="AY1821" s="222"/>
      <c r="AZ1821" s="222"/>
      <c r="BA1821" s="222"/>
    </row>
    <row r="1822" spans="1:53" x14ac:dyDescent="0.25">
      <c r="A1822" s="438" t="s">
        <v>27</v>
      </c>
      <c r="B1822" s="213">
        <v>2016</v>
      </c>
      <c r="C1822" s="213">
        <v>2017</v>
      </c>
      <c r="D1822" s="427">
        <v>2018</v>
      </c>
      <c r="E1822" s="213">
        <v>2019</v>
      </c>
      <c r="F1822" s="213">
        <v>2020</v>
      </c>
      <c r="G1822" s="213">
        <v>2021</v>
      </c>
      <c r="H1822" s="213">
        <v>2022</v>
      </c>
      <c r="I1822" s="213">
        <v>2023</v>
      </c>
      <c r="J1822" s="222"/>
      <c r="K1822" s="222"/>
      <c r="L1822" s="222"/>
      <c r="M1822" s="222"/>
      <c r="N1822" s="222"/>
      <c r="O1822" s="222"/>
      <c r="P1822" s="222"/>
      <c r="Q1822" s="222"/>
      <c r="R1822" s="222"/>
      <c r="S1822" s="222"/>
      <c r="T1822" s="222"/>
      <c r="U1822" s="222"/>
      <c r="V1822" s="222"/>
      <c r="W1822" s="222"/>
      <c r="X1822" s="222"/>
      <c r="Y1822" s="222"/>
      <c r="Z1822" s="222"/>
      <c r="AA1822" s="222"/>
      <c r="AB1822" s="222"/>
      <c r="AC1822" s="222"/>
      <c r="AD1822" s="222"/>
      <c r="AE1822" s="222"/>
      <c r="AF1822" s="222"/>
      <c r="AG1822" s="222"/>
      <c r="AH1822" s="222"/>
      <c r="AI1822" s="222"/>
      <c r="AJ1822" s="222"/>
      <c r="AK1822" s="222"/>
      <c r="AL1822" s="222"/>
      <c r="AM1822" s="222"/>
      <c r="AN1822" s="222"/>
      <c r="AO1822" s="222"/>
      <c r="AP1822" s="222"/>
      <c r="AQ1822" s="222"/>
      <c r="AR1822" s="222"/>
      <c r="AS1822" s="222"/>
      <c r="AT1822" s="222"/>
      <c r="AU1822" s="222"/>
      <c r="AV1822" s="222"/>
      <c r="AW1822" s="222"/>
      <c r="AX1822" s="222"/>
      <c r="AY1822" s="222"/>
      <c r="AZ1822" s="222"/>
      <c r="BA1822" s="222"/>
    </row>
    <row r="1823" spans="1:53" x14ac:dyDescent="0.25">
      <c r="A1823" s="227" t="s">
        <v>28</v>
      </c>
      <c r="B1823" s="327">
        <v>85</v>
      </c>
      <c r="C1823" s="327">
        <v>85</v>
      </c>
      <c r="D1823" s="327">
        <v>85</v>
      </c>
      <c r="E1823" s="327">
        <v>85</v>
      </c>
      <c r="F1823" s="216">
        <v>85</v>
      </c>
      <c r="G1823" s="216">
        <v>85</v>
      </c>
      <c r="H1823" s="216">
        <v>85</v>
      </c>
      <c r="I1823" s="216">
        <v>85</v>
      </c>
      <c r="J1823" s="222"/>
      <c r="K1823" s="222"/>
      <c r="L1823" s="222"/>
      <c r="M1823" s="222"/>
      <c r="N1823" s="222"/>
      <c r="O1823" s="222"/>
      <c r="P1823" s="222"/>
      <c r="Q1823" s="222"/>
      <c r="R1823" s="222"/>
      <c r="S1823" s="222"/>
      <c r="T1823" s="222"/>
      <c r="U1823" s="222"/>
      <c r="V1823" s="222"/>
      <c r="W1823" s="222"/>
      <c r="X1823" s="222"/>
      <c r="Y1823" s="222"/>
      <c r="Z1823" s="222"/>
      <c r="AA1823" s="222"/>
      <c r="AB1823" s="222"/>
      <c r="AC1823" s="222"/>
      <c r="AD1823" s="222"/>
      <c r="AE1823" s="222"/>
      <c r="AF1823" s="222"/>
      <c r="AG1823" s="222"/>
      <c r="AH1823" s="222"/>
      <c r="AI1823" s="222"/>
      <c r="AJ1823" s="222"/>
      <c r="AK1823" s="222"/>
      <c r="AL1823" s="222"/>
      <c r="AM1823" s="222"/>
      <c r="AN1823" s="222"/>
      <c r="AO1823" s="222"/>
      <c r="AP1823" s="222"/>
      <c r="AQ1823" s="222"/>
      <c r="AR1823" s="222"/>
      <c r="AS1823" s="222"/>
      <c r="AT1823" s="222"/>
      <c r="AU1823" s="222"/>
      <c r="AV1823" s="222"/>
      <c r="AW1823" s="222"/>
      <c r="AX1823" s="222"/>
      <c r="AY1823" s="222"/>
      <c r="AZ1823" s="222"/>
      <c r="BA1823" s="222"/>
    </row>
    <row r="1824" spans="1:53" x14ac:dyDescent="0.25">
      <c r="A1824" s="227" t="s">
        <v>29</v>
      </c>
      <c r="B1824" s="327">
        <f>B1823*1.5</f>
        <v>127.5</v>
      </c>
      <c r="C1824" s="327">
        <f>C1823+0.5*B1823-12.75</f>
        <v>114.75</v>
      </c>
      <c r="D1824" s="327">
        <f>D1823+0.4*B1823-12.75</f>
        <v>106.25</v>
      </c>
      <c r="E1824" s="327">
        <f>E1823+0.4*C1823</f>
        <v>119</v>
      </c>
      <c r="F1824" s="327">
        <f>F1823+0.4*D1823</f>
        <v>119</v>
      </c>
      <c r="G1824" s="327">
        <f>G1823+0.4*E1823</f>
        <v>119</v>
      </c>
      <c r="H1824" s="327">
        <f>H1823+0.4*F1823</f>
        <v>119</v>
      </c>
      <c r="I1824" s="327">
        <f>I1823+0.4*G1823</f>
        <v>119</v>
      </c>
      <c r="J1824" s="222"/>
      <c r="K1824" s="222"/>
      <c r="L1824" s="222"/>
      <c r="M1824" s="222"/>
      <c r="N1824" s="222"/>
      <c r="O1824" s="222"/>
      <c r="P1824" s="222"/>
      <c r="Q1824" s="222"/>
      <c r="R1824" s="222"/>
      <c r="S1824" s="222"/>
      <c r="T1824" s="222"/>
      <c r="U1824" s="222"/>
      <c r="V1824" s="222"/>
      <c r="W1824" s="222"/>
      <c r="X1824" s="222"/>
      <c r="Y1824" s="222"/>
      <c r="Z1824" s="222"/>
      <c r="AA1824" s="222"/>
      <c r="AB1824" s="222"/>
      <c r="AC1824" s="222"/>
      <c r="AD1824" s="222"/>
      <c r="AE1824" s="222"/>
      <c r="AF1824" s="222"/>
      <c r="AG1824" s="222"/>
      <c r="AH1824" s="222"/>
      <c r="AI1824" s="222"/>
      <c r="AJ1824" s="222"/>
      <c r="AK1824" s="222"/>
      <c r="AL1824" s="222"/>
      <c r="AM1824" s="222"/>
      <c r="AN1824" s="222"/>
      <c r="AO1824" s="222"/>
      <c r="AP1824" s="222"/>
      <c r="AQ1824" s="222"/>
      <c r="AR1824" s="222"/>
      <c r="AS1824" s="222"/>
      <c r="AT1824" s="222"/>
      <c r="AU1824" s="222"/>
      <c r="AV1824" s="222"/>
      <c r="AW1824" s="222"/>
      <c r="AX1824" s="222"/>
      <c r="AY1824" s="222"/>
      <c r="AZ1824" s="222"/>
      <c r="BA1824" s="222"/>
    </row>
    <row r="1825" spans="1:53" x14ac:dyDescent="0.25">
      <c r="A1825" s="227" t="s">
        <v>30</v>
      </c>
      <c r="B1825" s="330" t="s">
        <v>561</v>
      </c>
      <c r="C1825" s="330" t="s">
        <v>564</v>
      </c>
      <c r="D1825" s="330" t="s">
        <v>565</v>
      </c>
      <c r="E1825" s="330" t="s">
        <v>566</v>
      </c>
      <c r="F1825" s="330" t="s">
        <v>566</v>
      </c>
      <c r="G1825" s="330" t="s">
        <v>566</v>
      </c>
      <c r="H1825" s="330" t="s">
        <v>566</v>
      </c>
      <c r="I1825" s="330" t="s">
        <v>566</v>
      </c>
      <c r="J1825" s="222"/>
      <c r="K1825" s="222"/>
      <c r="L1825" s="222"/>
      <c r="M1825" s="222"/>
      <c r="N1825" s="222"/>
      <c r="O1825" s="222"/>
      <c r="P1825" s="222"/>
      <c r="Q1825" s="222"/>
      <c r="R1825" s="222"/>
      <c r="S1825" s="222"/>
      <c r="T1825" s="222"/>
      <c r="U1825" s="222"/>
      <c r="V1825" s="222"/>
      <c r="W1825" s="222"/>
      <c r="X1825" s="222"/>
      <c r="Y1825" s="222"/>
      <c r="Z1825" s="222"/>
      <c r="AA1825" s="222"/>
      <c r="AB1825" s="222"/>
      <c r="AC1825" s="222"/>
      <c r="AD1825" s="222"/>
      <c r="AE1825" s="222"/>
      <c r="AF1825" s="222"/>
      <c r="AG1825" s="222"/>
      <c r="AH1825" s="222"/>
      <c r="AI1825" s="222"/>
      <c r="AJ1825" s="222"/>
      <c r="AK1825" s="222"/>
      <c r="AL1825" s="222"/>
      <c r="AM1825" s="222"/>
      <c r="AN1825" s="222"/>
      <c r="AO1825" s="222"/>
      <c r="AP1825" s="222"/>
      <c r="AQ1825" s="222"/>
      <c r="AR1825" s="222"/>
      <c r="AS1825" s="222"/>
      <c r="AT1825" s="222"/>
      <c r="AU1825" s="222"/>
      <c r="AV1825" s="222"/>
      <c r="AW1825" s="222"/>
      <c r="AX1825" s="222"/>
      <c r="AY1825" s="222"/>
      <c r="AZ1825" s="222"/>
      <c r="BA1825" s="222"/>
    </row>
    <row r="1826" spans="1:53" x14ac:dyDescent="0.25">
      <c r="A1826" s="227" t="s">
        <v>31</v>
      </c>
      <c r="B1826" s="327">
        <v>52.75</v>
      </c>
      <c r="C1826" s="327">
        <v>52.26</v>
      </c>
      <c r="D1826" s="327">
        <v>30.79</v>
      </c>
      <c r="E1826" s="327">
        <v>31.39</v>
      </c>
      <c r="F1826" s="216">
        <v>14.36</v>
      </c>
      <c r="G1826" s="216">
        <v>13.391</v>
      </c>
      <c r="H1826" s="216"/>
      <c r="I1826" s="216"/>
      <c r="J1826" s="222"/>
      <c r="K1826" s="222"/>
      <c r="L1826" s="222"/>
      <c r="M1826" s="222"/>
      <c r="N1826" s="222"/>
      <c r="O1826" s="222"/>
      <c r="P1826" s="222"/>
      <c r="Q1826" s="222"/>
      <c r="R1826" s="222"/>
      <c r="S1826" s="222"/>
      <c r="T1826" s="222"/>
      <c r="U1826" s="222"/>
      <c r="V1826" s="222"/>
      <c r="W1826" s="222"/>
      <c r="X1826" s="222"/>
      <c r="Y1826" s="222"/>
      <c r="Z1826" s="222"/>
      <c r="AA1826" s="222"/>
      <c r="AB1826" s="222"/>
      <c r="AC1826" s="222"/>
      <c r="AD1826" s="222"/>
      <c r="AE1826" s="222"/>
      <c r="AF1826" s="222"/>
      <c r="AG1826" s="222"/>
      <c r="AH1826" s="222"/>
      <c r="AI1826" s="222"/>
      <c r="AJ1826" s="222"/>
      <c r="AK1826" s="222"/>
      <c r="AL1826" s="222"/>
      <c r="AM1826" s="222"/>
      <c r="AN1826" s="222"/>
      <c r="AO1826" s="222"/>
      <c r="AP1826" s="222"/>
      <c r="AQ1826" s="222"/>
      <c r="AR1826" s="222"/>
      <c r="AS1826" s="222"/>
      <c r="AT1826" s="222"/>
      <c r="AU1826" s="222"/>
      <c r="AV1826" s="222"/>
      <c r="AW1826" s="222"/>
      <c r="AX1826" s="222"/>
      <c r="AY1826" s="222"/>
      <c r="AZ1826" s="222"/>
      <c r="BA1826" s="222"/>
    </row>
    <row r="1827" spans="1:53" x14ac:dyDescent="0.25">
      <c r="A1827" s="227" t="s">
        <v>32</v>
      </c>
      <c r="B1827" s="327">
        <f t="shared" ref="B1827:D1827" si="74">B1824-B1826</f>
        <v>74.75</v>
      </c>
      <c r="C1827" s="327">
        <f t="shared" si="74"/>
        <v>62.49</v>
      </c>
      <c r="D1827" s="327">
        <f t="shared" si="74"/>
        <v>75.460000000000008</v>
      </c>
      <c r="E1827" s="327">
        <f>E1824-E1826</f>
        <v>87.61</v>
      </c>
      <c r="F1827" s="327">
        <f>F1824-F1826</f>
        <v>104.64</v>
      </c>
      <c r="G1827" s="216">
        <f>G1824-G1826</f>
        <v>105.60899999999999</v>
      </c>
      <c r="H1827" s="216"/>
      <c r="I1827" s="216"/>
      <c r="J1827" s="222"/>
      <c r="K1827" s="222"/>
      <c r="L1827" s="222"/>
      <c r="M1827" s="222"/>
      <c r="N1827" s="222"/>
      <c r="O1827" s="222"/>
      <c r="P1827" s="222"/>
      <c r="Q1827" s="222"/>
      <c r="R1827" s="222"/>
      <c r="S1827" s="222"/>
      <c r="T1827" s="222"/>
      <c r="U1827" s="222"/>
      <c r="V1827" s="222"/>
      <c r="W1827" s="222"/>
      <c r="X1827" s="222"/>
      <c r="Y1827" s="222"/>
      <c r="Z1827" s="222"/>
      <c r="AA1827" s="222"/>
      <c r="AB1827" s="222"/>
      <c r="AC1827" s="222"/>
      <c r="AD1827" s="222"/>
      <c r="AE1827" s="222"/>
      <c r="AF1827" s="222"/>
      <c r="AG1827" s="222"/>
      <c r="AH1827" s="222"/>
      <c r="AI1827" s="222"/>
      <c r="AJ1827" s="222"/>
      <c r="AK1827" s="222"/>
      <c r="AL1827" s="222"/>
      <c r="AM1827" s="222"/>
      <c r="AN1827" s="222"/>
      <c r="AO1827" s="222"/>
      <c r="AP1827" s="222"/>
      <c r="AQ1827" s="222"/>
      <c r="AR1827" s="222"/>
      <c r="AS1827" s="222"/>
      <c r="AT1827" s="222"/>
      <c r="AU1827" s="222"/>
      <c r="AV1827" s="222"/>
      <c r="AW1827" s="222"/>
      <c r="AX1827" s="222"/>
      <c r="AY1827" s="222"/>
      <c r="AZ1827" s="222"/>
      <c r="BA1827" s="222"/>
    </row>
    <row r="1828" spans="1:53" x14ac:dyDescent="0.25">
      <c r="A1828" s="219" t="s">
        <v>33</v>
      </c>
      <c r="B1828" s="245">
        <v>2018</v>
      </c>
      <c r="C1828" s="245">
        <v>2019</v>
      </c>
      <c r="D1828" s="431">
        <v>2020</v>
      </c>
      <c r="E1828" s="245">
        <v>2021</v>
      </c>
      <c r="F1828" s="245">
        <v>2022</v>
      </c>
      <c r="G1828" s="245">
        <v>2023</v>
      </c>
      <c r="H1828" s="245">
        <v>2024</v>
      </c>
      <c r="I1828" s="245">
        <v>2025</v>
      </c>
      <c r="J1828" s="222"/>
      <c r="K1828" s="222"/>
      <c r="L1828" s="222"/>
      <c r="M1828" s="222"/>
      <c r="N1828" s="222"/>
      <c r="O1828" s="222"/>
      <c r="P1828" s="222"/>
      <c r="Q1828" s="222"/>
      <c r="R1828" s="222"/>
      <c r="S1828" s="222"/>
      <c r="T1828" s="222"/>
      <c r="U1828" s="222"/>
      <c r="V1828" s="222"/>
      <c r="W1828" s="222"/>
      <c r="X1828" s="222"/>
      <c r="Y1828" s="222"/>
      <c r="Z1828" s="222"/>
      <c r="AA1828" s="222"/>
      <c r="AB1828" s="222"/>
      <c r="AC1828" s="222"/>
      <c r="AD1828" s="222"/>
      <c r="AE1828" s="222"/>
      <c r="AF1828" s="222"/>
      <c r="AG1828" s="222"/>
      <c r="AH1828" s="222"/>
      <c r="AI1828" s="222"/>
      <c r="AJ1828" s="222"/>
      <c r="AK1828" s="222"/>
      <c r="AL1828" s="222"/>
      <c r="AM1828" s="222"/>
      <c r="AN1828" s="222"/>
      <c r="AO1828" s="222"/>
      <c r="AP1828" s="222"/>
      <c r="AQ1828" s="222"/>
      <c r="AR1828" s="222"/>
      <c r="AS1828" s="222"/>
      <c r="AT1828" s="222"/>
      <c r="AU1828" s="222"/>
      <c r="AV1828" s="222"/>
      <c r="AW1828" s="222"/>
      <c r="AX1828" s="222"/>
      <c r="AY1828" s="222"/>
      <c r="AZ1828" s="222"/>
      <c r="BA1828" s="222"/>
    </row>
    <row r="1829" spans="1:53" ht="13.2" customHeight="1" x14ac:dyDescent="0.25">
      <c r="A1829" s="219" t="s">
        <v>510</v>
      </c>
      <c r="B1829" s="382"/>
      <c r="C1829" s="382"/>
      <c r="D1829" s="382"/>
      <c r="E1829" s="382"/>
      <c r="F1829" s="382"/>
      <c r="G1829" s="382"/>
      <c r="H1829" s="383"/>
      <c r="I1829" s="383"/>
      <c r="J1829" s="371"/>
      <c r="K1829" s="222"/>
      <c r="L1829" s="222"/>
      <c r="M1829" s="222"/>
      <c r="N1829" s="222"/>
      <c r="O1829" s="222"/>
      <c r="P1829" s="222"/>
      <c r="Q1829" s="222"/>
      <c r="R1829" s="222"/>
      <c r="S1829" s="222"/>
      <c r="T1829" s="222"/>
      <c r="U1829" s="222"/>
      <c r="V1829" s="222"/>
      <c r="W1829" s="222"/>
      <c r="X1829" s="222"/>
      <c r="Y1829" s="222"/>
      <c r="Z1829" s="222"/>
      <c r="AA1829" s="222"/>
      <c r="AB1829" s="222"/>
      <c r="AC1829" s="222"/>
      <c r="AD1829" s="222"/>
      <c r="AE1829" s="222"/>
      <c r="AF1829" s="222"/>
      <c r="AG1829" s="222"/>
      <c r="AH1829" s="222"/>
      <c r="AI1829" s="222"/>
      <c r="AJ1829" s="222"/>
      <c r="AK1829" s="222"/>
      <c r="AL1829" s="222"/>
      <c r="AM1829" s="222"/>
      <c r="AN1829" s="222"/>
      <c r="AO1829" s="222"/>
      <c r="AP1829" s="222"/>
      <c r="AQ1829" s="222"/>
      <c r="AR1829" s="222"/>
      <c r="AS1829" s="222"/>
      <c r="AT1829" s="222"/>
      <c r="AU1829" s="222"/>
      <c r="AV1829" s="222"/>
      <c r="AW1829" s="222"/>
      <c r="AX1829" s="222"/>
      <c r="AY1829" s="222"/>
      <c r="AZ1829" s="222"/>
      <c r="BA1829" s="222"/>
    </row>
    <row r="1830" spans="1:53" x14ac:dyDescent="0.25">
      <c r="A1830" s="275" t="s">
        <v>511</v>
      </c>
      <c r="B1830" s="512"/>
      <c r="C1830" s="512"/>
      <c r="D1830" s="512"/>
      <c r="E1830" s="512"/>
      <c r="F1830" s="512"/>
      <c r="G1830" s="512"/>
      <c r="H1830" s="570"/>
      <c r="I1830" s="570"/>
      <c r="J1830" s="512"/>
      <c r="K1830" s="222"/>
      <c r="L1830" s="222"/>
      <c r="M1830" s="222"/>
      <c r="N1830" s="222"/>
      <c r="O1830" s="222"/>
      <c r="P1830" s="222"/>
      <c r="Q1830" s="222"/>
      <c r="R1830" s="222"/>
      <c r="S1830" s="222"/>
      <c r="T1830" s="222"/>
      <c r="U1830" s="222"/>
      <c r="V1830" s="222"/>
      <c r="W1830" s="222"/>
      <c r="X1830" s="222"/>
      <c r="Y1830" s="222"/>
      <c r="Z1830" s="222"/>
      <c r="AA1830" s="222"/>
      <c r="AB1830" s="222"/>
      <c r="AC1830" s="222"/>
      <c r="AD1830" s="222"/>
      <c r="AE1830" s="222"/>
      <c r="AF1830" s="222"/>
      <c r="AG1830" s="222"/>
      <c r="AH1830" s="222"/>
      <c r="AI1830" s="222"/>
      <c r="AJ1830" s="222"/>
      <c r="AK1830" s="222"/>
      <c r="AL1830" s="222"/>
      <c r="AM1830" s="222"/>
      <c r="AN1830" s="222"/>
      <c r="AO1830" s="222"/>
      <c r="AP1830" s="222"/>
      <c r="AQ1830" s="222"/>
      <c r="AR1830" s="222"/>
      <c r="AS1830" s="222"/>
      <c r="AT1830" s="222"/>
      <c r="AU1830" s="222"/>
      <c r="AV1830" s="222"/>
      <c r="AW1830" s="222"/>
      <c r="AX1830" s="222"/>
      <c r="AY1830" s="222"/>
      <c r="AZ1830" s="222"/>
      <c r="BA1830" s="222"/>
    </row>
    <row r="1831" spans="1:53" x14ac:dyDescent="0.25">
      <c r="A1831" s="221" t="s">
        <v>562</v>
      </c>
      <c r="B1831" s="222"/>
      <c r="C1831" s="222"/>
      <c r="D1831" s="222"/>
      <c r="E1831" s="222"/>
      <c r="F1831" s="222"/>
      <c r="G1831" s="222"/>
      <c r="H1831" s="223"/>
      <c r="I1831" s="223"/>
      <c r="J1831" s="222"/>
      <c r="K1831" s="222"/>
      <c r="L1831" s="222"/>
      <c r="M1831" s="222"/>
      <c r="N1831" s="222"/>
      <c r="O1831" s="222"/>
      <c r="P1831" s="222"/>
      <c r="Q1831" s="222"/>
      <c r="R1831" s="222"/>
      <c r="S1831" s="222"/>
      <c r="T1831" s="222"/>
      <c r="U1831" s="222"/>
      <c r="V1831" s="222"/>
      <c r="W1831" s="222"/>
      <c r="X1831" s="222"/>
      <c r="Y1831" s="222"/>
      <c r="Z1831" s="222"/>
      <c r="AA1831" s="222"/>
      <c r="AB1831" s="222"/>
      <c r="AC1831" s="222"/>
      <c r="AD1831" s="222"/>
      <c r="AE1831" s="222"/>
      <c r="AF1831" s="222"/>
      <c r="AG1831" s="222"/>
      <c r="AH1831" s="222"/>
      <c r="AI1831" s="222"/>
      <c r="AJ1831" s="222"/>
      <c r="AK1831" s="222"/>
      <c r="AL1831" s="222"/>
      <c r="AM1831" s="222"/>
      <c r="AN1831" s="222"/>
      <c r="AO1831" s="222"/>
      <c r="AP1831" s="222"/>
      <c r="AQ1831" s="222"/>
      <c r="AR1831" s="222"/>
      <c r="AS1831" s="222"/>
      <c r="AT1831" s="222"/>
      <c r="AU1831" s="222"/>
      <c r="AV1831" s="222"/>
      <c r="AW1831" s="222"/>
      <c r="AX1831" s="222"/>
      <c r="AY1831" s="222"/>
      <c r="AZ1831" s="222"/>
      <c r="BA1831" s="222"/>
    </row>
    <row r="1832" spans="1:53" x14ac:dyDescent="0.25">
      <c r="A1832" s="212" t="s">
        <v>563</v>
      </c>
      <c r="B1832" s="224"/>
      <c r="C1832" s="224"/>
      <c r="D1832" s="224"/>
      <c r="E1832" s="224"/>
      <c r="F1832" s="224"/>
      <c r="G1832" s="224"/>
      <c r="H1832" s="225"/>
      <c r="I1832" s="225"/>
      <c r="J1832" s="222"/>
      <c r="K1832" s="222"/>
      <c r="L1832" s="222"/>
      <c r="M1832" s="222"/>
      <c r="N1832" s="222"/>
      <c r="O1832" s="222"/>
      <c r="P1832" s="222"/>
      <c r="Q1832" s="222"/>
      <c r="R1832" s="222"/>
      <c r="S1832" s="222"/>
      <c r="T1832" s="222"/>
      <c r="U1832" s="222"/>
      <c r="V1832" s="222"/>
      <c r="W1832" s="222"/>
      <c r="X1832" s="222"/>
      <c r="Y1832" s="222"/>
      <c r="Z1832" s="222"/>
      <c r="AA1832" s="222"/>
      <c r="AB1832" s="222"/>
      <c r="AC1832" s="222"/>
      <c r="AD1832" s="222"/>
      <c r="AE1832" s="222"/>
      <c r="AF1832" s="222"/>
      <c r="AG1832" s="222"/>
      <c r="AH1832" s="222"/>
      <c r="AI1832" s="222"/>
      <c r="AJ1832" s="222"/>
      <c r="AK1832" s="222"/>
      <c r="AL1832" s="222"/>
      <c r="AM1832" s="222"/>
      <c r="AN1832" s="222"/>
      <c r="AO1832" s="222"/>
      <c r="AP1832" s="222"/>
      <c r="AQ1832" s="222"/>
      <c r="AR1832" s="222"/>
      <c r="AS1832" s="222"/>
      <c r="AT1832" s="222"/>
      <c r="AU1832" s="222"/>
      <c r="AV1832" s="222"/>
      <c r="AW1832" s="222"/>
      <c r="AX1832" s="222"/>
      <c r="AY1832" s="222"/>
      <c r="AZ1832" s="222"/>
      <c r="BA1832" s="222"/>
    </row>
    <row r="1833" spans="1:53" x14ac:dyDescent="0.25">
      <c r="A1833" s="222"/>
      <c r="B1833" s="222"/>
      <c r="C1833" s="222"/>
      <c r="D1833" s="222"/>
      <c r="E1833" s="222"/>
      <c r="F1833" s="222"/>
      <c r="G1833" s="222"/>
      <c r="H1833" s="222"/>
      <c r="I1833" s="222"/>
      <c r="J1833" s="222"/>
      <c r="K1833" s="222"/>
      <c r="L1833" s="222"/>
      <c r="M1833" s="222"/>
      <c r="N1833" s="222"/>
      <c r="O1833" s="222"/>
      <c r="P1833" s="222"/>
      <c r="Q1833" s="222"/>
      <c r="R1833" s="222"/>
      <c r="S1833" s="222"/>
      <c r="T1833" s="222"/>
      <c r="U1833" s="222"/>
      <c r="V1833" s="222"/>
      <c r="W1833" s="222"/>
      <c r="X1833" s="222"/>
      <c r="Y1833" s="222"/>
      <c r="Z1833" s="222"/>
      <c r="AA1833" s="222"/>
      <c r="AB1833" s="222"/>
      <c r="AC1833" s="222"/>
      <c r="AD1833" s="222"/>
      <c r="AE1833" s="222"/>
      <c r="AF1833" s="222"/>
      <c r="AG1833" s="222"/>
      <c r="AH1833" s="222"/>
      <c r="AI1833" s="222"/>
      <c r="AJ1833" s="222"/>
      <c r="AK1833" s="222"/>
      <c r="AL1833" s="222"/>
      <c r="AM1833" s="222"/>
      <c r="AN1833" s="222"/>
      <c r="AO1833" s="222"/>
      <c r="AP1833" s="222"/>
      <c r="AQ1833" s="222"/>
      <c r="AR1833" s="222"/>
      <c r="AS1833" s="222"/>
      <c r="AT1833" s="222"/>
      <c r="AU1833" s="222"/>
      <c r="AV1833" s="222"/>
      <c r="AW1833" s="222"/>
      <c r="AX1833" s="222"/>
      <c r="AY1833" s="222"/>
      <c r="AZ1833" s="222"/>
      <c r="BA1833" s="222"/>
    </row>
    <row r="1834" spans="1:53" x14ac:dyDescent="0.25">
      <c r="A1834" s="262" t="s">
        <v>14</v>
      </c>
      <c r="B1834" s="276" t="s">
        <v>74</v>
      </c>
      <c r="C1834" s="437" t="s">
        <v>26</v>
      </c>
      <c r="D1834" s="222"/>
      <c r="E1834" s="222"/>
      <c r="F1834" s="222"/>
      <c r="G1834" s="222"/>
      <c r="H1834" s="222"/>
      <c r="I1834" s="222"/>
      <c r="J1834" s="222"/>
      <c r="K1834" s="222"/>
      <c r="L1834" s="222"/>
      <c r="M1834" s="222"/>
      <c r="N1834" s="222"/>
      <c r="O1834" s="222"/>
      <c r="P1834" s="222"/>
      <c r="Q1834" s="222"/>
      <c r="R1834" s="222"/>
      <c r="S1834" s="222"/>
      <c r="T1834" s="222"/>
      <c r="U1834" s="222"/>
      <c r="V1834" s="222"/>
      <c r="W1834" s="222"/>
      <c r="X1834" s="222"/>
      <c r="Y1834" s="222"/>
      <c r="Z1834" s="222"/>
      <c r="AA1834" s="222"/>
      <c r="AB1834" s="222"/>
      <c r="AC1834" s="222"/>
      <c r="AD1834" s="222"/>
      <c r="AE1834" s="222"/>
      <c r="AF1834" s="222"/>
      <c r="AG1834" s="222"/>
      <c r="AH1834" s="222"/>
      <c r="AI1834" s="222"/>
      <c r="AJ1834" s="222"/>
      <c r="AK1834" s="222"/>
      <c r="AL1834" s="222"/>
      <c r="AM1834" s="222"/>
      <c r="AN1834" s="222"/>
      <c r="AO1834" s="222"/>
      <c r="AP1834" s="222"/>
      <c r="AQ1834" s="222"/>
      <c r="AR1834" s="222"/>
      <c r="AS1834" s="222"/>
      <c r="AT1834" s="222"/>
      <c r="AU1834" s="222"/>
      <c r="AV1834" s="222"/>
      <c r="AW1834" s="222"/>
      <c r="AX1834" s="222"/>
      <c r="AY1834" s="222"/>
      <c r="AZ1834" s="222"/>
      <c r="BA1834" s="222"/>
    </row>
    <row r="1835" spans="1:53" x14ac:dyDescent="0.25">
      <c r="A1835" s="438" t="s">
        <v>27</v>
      </c>
      <c r="B1835" s="213">
        <v>2016</v>
      </c>
      <c r="C1835" s="213">
        <v>2017</v>
      </c>
      <c r="D1835" s="427">
        <v>2018</v>
      </c>
      <c r="E1835" s="213">
        <v>2019</v>
      </c>
      <c r="F1835" s="213">
        <v>2020</v>
      </c>
      <c r="G1835" s="213">
        <v>2021</v>
      </c>
      <c r="H1835" s="213">
        <v>2022</v>
      </c>
      <c r="I1835" s="213">
        <v>2023</v>
      </c>
      <c r="J1835" s="222"/>
      <c r="K1835" s="222"/>
      <c r="L1835" s="222"/>
      <c r="M1835" s="222"/>
      <c r="N1835" s="222"/>
      <c r="O1835" s="222"/>
      <c r="P1835" s="222"/>
      <c r="Q1835" s="222"/>
      <c r="R1835" s="222"/>
      <c r="S1835" s="222"/>
      <c r="T1835" s="222"/>
      <c r="U1835" s="222"/>
      <c r="V1835" s="222"/>
      <c r="W1835" s="222"/>
      <c r="X1835" s="222"/>
      <c r="Y1835" s="222"/>
      <c r="Z1835" s="222"/>
      <c r="AA1835" s="222"/>
      <c r="AB1835" s="222"/>
      <c r="AC1835" s="222"/>
      <c r="AD1835" s="222"/>
      <c r="AE1835" s="222"/>
      <c r="AF1835" s="222"/>
      <c r="AG1835" s="222"/>
      <c r="AH1835" s="222"/>
      <c r="AI1835" s="222"/>
      <c r="AJ1835" s="222"/>
      <c r="AK1835" s="222"/>
      <c r="AL1835" s="222"/>
      <c r="AM1835" s="222"/>
      <c r="AN1835" s="222"/>
      <c r="AO1835" s="222"/>
      <c r="AP1835" s="222"/>
      <c r="AQ1835" s="222"/>
      <c r="AR1835" s="222"/>
      <c r="AS1835" s="222"/>
      <c r="AT1835" s="222"/>
      <c r="AU1835" s="222"/>
      <c r="AV1835" s="222"/>
      <c r="AW1835" s="222"/>
      <c r="AX1835" s="222"/>
      <c r="AY1835" s="222"/>
      <c r="AZ1835" s="222"/>
      <c r="BA1835" s="222"/>
    </row>
    <row r="1836" spans="1:53" x14ac:dyDescent="0.25">
      <c r="A1836" s="227" t="s">
        <v>28</v>
      </c>
      <c r="B1836" s="327">
        <v>100</v>
      </c>
      <c r="C1836" s="327">
        <v>100</v>
      </c>
      <c r="D1836" s="327">
        <v>100</v>
      </c>
      <c r="E1836" s="327">
        <v>100</v>
      </c>
      <c r="F1836" s="216">
        <v>84.1</v>
      </c>
      <c r="G1836" s="216">
        <v>84.1</v>
      </c>
      <c r="H1836" s="216">
        <v>84.1</v>
      </c>
      <c r="I1836" s="216">
        <v>84.1</v>
      </c>
      <c r="J1836" s="222"/>
      <c r="K1836" s="222"/>
      <c r="L1836" s="222"/>
      <c r="M1836" s="222"/>
      <c r="N1836" s="222"/>
      <c r="O1836" s="222"/>
      <c r="P1836" s="222"/>
      <c r="Q1836" s="222"/>
      <c r="R1836" s="222"/>
      <c r="S1836" s="222"/>
      <c r="T1836" s="222"/>
      <c r="U1836" s="222"/>
      <c r="V1836" s="222"/>
      <c r="W1836" s="222"/>
      <c r="X1836" s="222"/>
      <c r="Y1836" s="222"/>
      <c r="Z1836" s="222"/>
      <c r="AA1836" s="222"/>
      <c r="AB1836" s="222"/>
      <c r="AC1836" s="222"/>
      <c r="AD1836" s="222"/>
      <c r="AE1836" s="222"/>
      <c r="AF1836" s="222"/>
      <c r="AG1836" s="222"/>
      <c r="AH1836" s="222"/>
      <c r="AI1836" s="222"/>
      <c r="AJ1836" s="222"/>
      <c r="AK1836" s="222"/>
      <c r="AL1836" s="222"/>
      <c r="AM1836" s="222"/>
      <c r="AN1836" s="222"/>
      <c r="AO1836" s="222"/>
      <c r="AP1836" s="222"/>
      <c r="AQ1836" s="222"/>
      <c r="AR1836" s="222"/>
      <c r="AS1836" s="222"/>
      <c r="AT1836" s="222"/>
      <c r="AU1836" s="222"/>
      <c r="AV1836" s="222"/>
      <c r="AW1836" s="222"/>
      <c r="AX1836" s="222"/>
      <c r="AY1836" s="222"/>
      <c r="AZ1836" s="222"/>
      <c r="BA1836" s="222"/>
    </row>
    <row r="1837" spans="1:53" x14ac:dyDescent="0.25">
      <c r="A1837" s="227" t="s">
        <v>29</v>
      </c>
      <c r="B1837" s="327">
        <f>B1836*1.1</f>
        <v>110.00000000000001</v>
      </c>
      <c r="C1837" s="327">
        <f>C1836*1.1-30</f>
        <v>80.000000000000014</v>
      </c>
      <c r="D1837" s="327">
        <f>D1836+C1840+0.1*B1836</f>
        <v>92.590000000000018</v>
      </c>
      <c r="E1837" s="327">
        <v>100</v>
      </c>
      <c r="F1837" s="327">
        <f t="shared" ref="F1837:G1837" si="75">F1836+0.1*D1836</f>
        <v>94.1</v>
      </c>
      <c r="G1837" s="327">
        <f t="shared" si="75"/>
        <v>94.1</v>
      </c>
      <c r="H1837" s="327"/>
      <c r="I1837" s="327"/>
      <c r="J1837" s="222"/>
      <c r="K1837" s="222"/>
      <c r="L1837" s="222"/>
      <c r="M1837" s="222"/>
      <c r="N1837" s="222"/>
      <c r="O1837" s="222"/>
      <c r="P1837" s="222"/>
      <c r="Q1837" s="222"/>
      <c r="R1837" s="222"/>
      <c r="S1837" s="222"/>
      <c r="T1837" s="222"/>
      <c r="U1837" s="222"/>
      <c r="V1837" s="222"/>
      <c r="W1837" s="222"/>
      <c r="X1837" s="222"/>
      <c r="Y1837" s="222"/>
      <c r="Z1837" s="222"/>
      <c r="AA1837" s="222"/>
      <c r="AB1837" s="222"/>
      <c r="AC1837" s="222"/>
      <c r="AD1837" s="222"/>
      <c r="AE1837" s="222"/>
      <c r="AF1837" s="222"/>
      <c r="AG1837" s="222"/>
      <c r="AH1837" s="222"/>
      <c r="AI1837" s="222"/>
      <c r="AJ1837" s="222"/>
      <c r="AK1837" s="222"/>
      <c r="AL1837" s="222"/>
      <c r="AM1837" s="222"/>
      <c r="AN1837" s="222"/>
      <c r="AO1837" s="222"/>
      <c r="AP1837" s="222"/>
      <c r="AQ1837" s="222"/>
      <c r="AR1837" s="222"/>
      <c r="AS1837" s="222"/>
      <c r="AT1837" s="222"/>
      <c r="AU1837" s="222"/>
      <c r="AV1837" s="222"/>
      <c r="AW1837" s="222"/>
      <c r="AX1837" s="222"/>
      <c r="AY1837" s="222"/>
      <c r="AZ1837" s="222"/>
      <c r="BA1837" s="222"/>
    </row>
    <row r="1838" spans="1:53" x14ac:dyDescent="0.25">
      <c r="A1838" s="227" t="s">
        <v>30</v>
      </c>
      <c r="B1838" s="330" t="s">
        <v>568</v>
      </c>
      <c r="C1838" s="330" t="s">
        <v>569</v>
      </c>
      <c r="D1838" s="623" t="s">
        <v>552</v>
      </c>
      <c r="E1838" s="330"/>
      <c r="F1838" s="330" t="s">
        <v>571</v>
      </c>
      <c r="G1838" s="330" t="s">
        <v>571</v>
      </c>
      <c r="H1838" s="330"/>
      <c r="I1838" s="330"/>
      <c r="J1838" s="222"/>
      <c r="K1838" s="222"/>
      <c r="L1838" s="222"/>
      <c r="M1838" s="222"/>
      <c r="N1838" s="222"/>
      <c r="O1838" s="222"/>
      <c r="P1838" s="222"/>
      <c r="Q1838" s="222"/>
      <c r="R1838" s="222"/>
      <c r="S1838" s="222"/>
      <c r="T1838" s="222"/>
      <c r="U1838" s="222"/>
      <c r="V1838" s="222"/>
      <c r="W1838" s="222"/>
      <c r="X1838" s="222"/>
      <c r="Y1838" s="222"/>
      <c r="Z1838" s="222"/>
      <c r="AA1838" s="222"/>
      <c r="AB1838" s="222"/>
      <c r="AC1838" s="222"/>
      <c r="AD1838" s="222"/>
      <c r="AE1838" s="222"/>
      <c r="AF1838" s="222"/>
      <c r="AG1838" s="222"/>
      <c r="AH1838" s="222"/>
      <c r="AI1838" s="222"/>
      <c r="AJ1838" s="222"/>
      <c r="AK1838" s="222"/>
      <c r="AL1838" s="222"/>
      <c r="AM1838" s="222"/>
      <c r="AN1838" s="222"/>
      <c r="AO1838" s="222"/>
      <c r="AP1838" s="222"/>
      <c r="AQ1838" s="222"/>
      <c r="AR1838" s="222"/>
      <c r="AS1838" s="222"/>
      <c r="AT1838" s="222"/>
      <c r="AU1838" s="222"/>
      <c r="AV1838" s="222"/>
      <c r="AW1838" s="222"/>
      <c r="AX1838" s="222"/>
      <c r="AY1838" s="222"/>
      <c r="AZ1838" s="222"/>
      <c r="BA1838" s="222"/>
    </row>
    <row r="1839" spans="1:53" x14ac:dyDescent="0.25">
      <c r="A1839" s="227" t="s">
        <v>31</v>
      </c>
      <c r="B1839" s="327">
        <v>82.51</v>
      </c>
      <c r="C1839" s="327">
        <v>97.41</v>
      </c>
      <c r="D1839" s="327">
        <v>61.54</v>
      </c>
      <c r="E1839" s="327">
        <v>60.49</v>
      </c>
      <c r="F1839" s="216">
        <v>42.46</v>
      </c>
      <c r="G1839" s="216">
        <v>42.97</v>
      </c>
      <c r="H1839" s="216">
        <v>71.760000000000005</v>
      </c>
      <c r="I1839" s="216"/>
      <c r="J1839" s="222"/>
      <c r="K1839" s="222"/>
      <c r="L1839" s="222"/>
      <c r="M1839" s="222"/>
      <c r="N1839" s="222"/>
      <c r="O1839" s="222"/>
      <c r="P1839" s="222"/>
      <c r="Q1839" s="222"/>
      <c r="R1839" s="222"/>
      <c r="S1839" s="222"/>
      <c r="T1839" s="222"/>
      <c r="U1839" s="222"/>
      <c r="V1839" s="222"/>
      <c r="W1839" s="222"/>
      <c r="X1839" s="222"/>
      <c r="Y1839" s="222"/>
      <c r="Z1839" s="222"/>
      <c r="AA1839" s="222"/>
      <c r="AB1839" s="222"/>
      <c r="AC1839" s="222"/>
      <c r="AD1839" s="222"/>
      <c r="AE1839" s="222"/>
      <c r="AF1839" s="222"/>
      <c r="AG1839" s="222"/>
      <c r="AH1839" s="222"/>
      <c r="AI1839" s="222"/>
      <c r="AJ1839" s="222"/>
      <c r="AK1839" s="222"/>
      <c r="AL1839" s="222"/>
      <c r="AM1839" s="222"/>
      <c r="AN1839" s="222"/>
      <c r="AO1839" s="222"/>
      <c r="AP1839" s="222"/>
      <c r="AQ1839" s="222"/>
      <c r="AR1839" s="222"/>
      <c r="AS1839" s="222"/>
      <c r="AT1839" s="222"/>
      <c r="AU1839" s="222"/>
      <c r="AV1839" s="222"/>
      <c r="AW1839" s="222"/>
      <c r="AX1839" s="222"/>
      <c r="AY1839" s="222"/>
      <c r="AZ1839" s="222"/>
      <c r="BA1839" s="222"/>
    </row>
    <row r="1840" spans="1:53" x14ac:dyDescent="0.25">
      <c r="A1840" s="227" t="s">
        <v>32</v>
      </c>
      <c r="B1840" s="327">
        <f t="shared" ref="B1840:D1840" si="76">B1837-B1839</f>
        <v>27.490000000000009</v>
      </c>
      <c r="C1840" s="327">
        <f t="shared" si="76"/>
        <v>-17.409999999999982</v>
      </c>
      <c r="D1840" s="327">
        <f t="shared" si="76"/>
        <v>31.050000000000018</v>
      </c>
      <c r="E1840" s="327">
        <f>E1837-E1839</f>
        <v>39.51</v>
      </c>
      <c r="F1840" s="327">
        <f>F1837-F1839</f>
        <v>51.639999999999993</v>
      </c>
      <c r="G1840" s="216">
        <f>G1837-G1839</f>
        <v>51.129999999999995</v>
      </c>
      <c r="H1840" s="216">
        <f>H1836-H1839</f>
        <v>12.339999999999989</v>
      </c>
      <c r="I1840" s="216"/>
      <c r="J1840" s="222"/>
      <c r="K1840" s="222"/>
      <c r="L1840" s="222"/>
      <c r="M1840" s="222"/>
      <c r="N1840" s="222"/>
      <c r="O1840" s="222"/>
      <c r="P1840" s="222"/>
      <c r="Q1840" s="222"/>
      <c r="R1840" s="222"/>
      <c r="S1840" s="222"/>
      <c r="T1840" s="222"/>
      <c r="U1840" s="222"/>
      <c r="V1840" s="222"/>
      <c r="W1840" s="222"/>
      <c r="X1840" s="222"/>
      <c r="Y1840" s="222"/>
      <c r="Z1840" s="222"/>
      <c r="AA1840" s="222"/>
      <c r="AB1840" s="222"/>
      <c r="AC1840" s="222"/>
      <c r="AD1840" s="222"/>
      <c r="AE1840" s="222"/>
      <c r="AF1840" s="222"/>
      <c r="AG1840" s="222"/>
      <c r="AH1840" s="222"/>
      <c r="AI1840" s="222"/>
      <c r="AJ1840" s="222"/>
      <c r="AK1840" s="222"/>
      <c r="AL1840" s="222"/>
      <c r="AM1840" s="222"/>
      <c r="AN1840" s="222"/>
      <c r="AO1840" s="222"/>
      <c r="AP1840" s="222"/>
      <c r="AQ1840" s="222"/>
      <c r="AR1840" s="222"/>
      <c r="AS1840" s="222"/>
      <c r="AT1840" s="222"/>
      <c r="AU1840" s="222"/>
      <c r="AV1840" s="222"/>
      <c r="AW1840" s="222"/>
      <c r="AX1840" s="222"/>
      <c r="AY1840" s="222"/>
      <c r="AZ1840" s="222"/>
      <c r="BA1840" s="222"/>
    </row>
    <row r="1841" spans="1:53" x14ac:dyDescent="0.25">
      <c r="A1841" s="219" t="s">
        <v>33</v>
      </c>
      <c r="B1841" s="245">
        <v>2018</v>
      </c>
      <c r="C1841" s="245">
        <v>2018</v>
      </c>
      <c r="D1841" s="431">
        <v>2020</v>
      </c>
      <c r="E1841" s="245">
        <v>2021</v>
      </c>
      <c r="F1841" s="245"/>
      <c r="G1841" s="245"/>
      <c r="H1841" s="245"/>
      <c r="I1841" s="245"/>
      <c r="J1841" s="222"/>
      <c r="K1841" s="222"/>
      <c r="L1841" s="222"/>
      <c r="M1841" s="222"/>
      <c r="N1841" s="222"/>
      <c r="O1841" s="222"/>
      <c r="P1841" s="222"/>
      <c r="Q1841" s="222"/>
      <c r="R1841" s="222"/>
      <c r="S1841" s="222"/>
      <c r="T1841" s="222"/>
      <c r="U1841" s="222"/>
      <c r="V1841" s="222"/>
      <c r="W1841" s="222"/>
      <c r="X1841" s="222"/>
      <c r="Y1841" s="222"/>
      <c r="Z1841" s="222"/>
      <c r="AA1841" s="222"/>
      <c r="AB1841" s="222"/>
      <c r="AC1841" s="222"/>
      <c r="AD1841" s="222"/>
      <c r="AE1841" s="222"/>
      <c r="AF1841" s="222"/>
      <c r="AG1841" s="222"/>
      <c r="AH1841" s="222"/>
      <c r="AI1841" s="222"/>
      <c r="AJ1841" s="222"/>
      <c r="AK1841" s="222"/>
      <c r="AL1841" s="222"/>
      <c r="AM1841" s="222"/>
      <c r="AN1841" s="222"/>
      <c r="AO1841" s="222"/>
      <c r="AP1841" s="222"/>
      <c r="AQ1841" s="222"/>
      <c r="AR1841" s="222"/>
      <c r="AS1841" s="222"/>
      <c r="AT1841" s="222"/>
      <c r="AU1841" s="222"/>
      <c r="AV1841" s="222"/>
      <c r="AW1841" s="222"/>
      <c r="AX1841" s="222"/>
      <c r="AY1841" s="222"/>
      <c r="AZ1841" s="222"/>
      <c r="BA1841" s="222"/>
    </row>
    <row r="1842" spans="1:53" x14ac:dyDescent="0.25">
      <c r="A1842" s="219" t="s">
        <v>567</v>
      </c>
      <c r="B1842" s="382"/>
      <c r="C1842" s="382"/>
      <c r="D1842" s="382"/>
      <c r="E1842" s="382"/>
      <c r="F1842" s="382"/>
      <c r="G1842" s="382"/>
      <c r="H1842" s="382"/>
      <c r="I1842" s="383"/>
      <c r="J1842" s="222"/>
      <c r="K1842" s="222"/>
      <c r="L1842" s="222"/>
      <c r="M1842" s="222"/>
      <c r="N1842" s="222"/>
      <c r="O1842" s="222"/>
      <c r="P1842" s="222"/>
      <c r="Q1842" s="222"/>
      <c r="R1842" s="222"/>
      <c r="S1842" s="222"/>
      <c r="T1842" s="222"/>
      <c r="U1842" s="222"/>
      <c r="V1842" s="222"/>
      <c r="W1842" s="222"/>
      <c r="X1842" s="222"/>
      <c r="Y1842" s="222"/>
      <c r="Z1842" s="222"/>
      <c r="AA1842" s="222"/>
      <c r="AB1842" s="222"/>
      <c r="AC1842" s="222"/>
      <c r="AD1842" s="222"/>
      <c r="AE1842" s="222"/>
      <c r="AF1842" s="222"/>
      <c r="AG1842" s="222"/>
      <c r="AH1842" s="222"/>
      <c r="AI1842" s="222"/>
      <c r="AJ1842" s="222"/>
      <c r="AK1842" s="222"/>
      <c r="AL1842" s="222"/>
      <c r="AM1842" s="222"/>
      <c r="AN1842" s="222"/>
      <c r="AO1842" s="222"/>
      <c r="AP1842" s="222"/>
      <c r="AQ1842" s="222"/>
      <c r="AR1842" s="222"/>
      <c r="AS1842" s="222"/>
      <c r="AT1842" s="222"/>
      <c r="AU1842" s="222"/>
      <c r="AV1842" s="222"/>
      <c r="AW1842" s="222"/>
      <c r="AX1842" s="222"/>
      <c r="AY1842" s="222"/>
      <c r="AZ1842" s="222"/>
      <c r="BA1842" s="222"/>
    </row>
    <row r="1843" spans="1:53" x14ac:dyDescent="0.25">
      <c r="A1843" s="221" t="s">
        <v>572</v>
      </c>
      <c r="B1843" s="371"/>
      <c r="C1843" s="371"/>
      <c r="D1843" s="371"/>
      <c r="E1843" s="371"/>
      <c r="F1843" s="371"/>
      <c r="G1843" s="371"/>
      <c r="H1843" s="371"/>
      <c r="I1843" s="384"/>
      <c r="J1843" s="222"/>
      <c r="K1843" s="222"/>
      <c r="L1843" s="222"/>
      <c r="M1843" s="222"/>
      <c r="N1843" s="222"/>
      <c r="O1843" s="222"/>
      <c r="P1843" s="222"/>
      <c r="Q1843" s="222"/>
      <c r="R1843" s="222"/>
      <c r="S1843" s="222"/>
      <c r="T1843" s="222"/>
      <c r="U1843" s="222"/>
      <c r="V1843" s="222"/>
      <c r="W1843" s="222"/>
      <c r="X1843" s="222"/>
      <c r="Y1843" s="222"/>
      <c r="Z1843" s="222"/>
      <c r="AA1843" s="222"/>
      <c r="AB1843" s="222"/>
      <c r="AC1843" s="222"/>
      <c r="AD1843" s="222"/>
      <c r="AE1843" s="222"/>
      <c r="AF1843" s="222"/>
      <c r="AG1843" s="222"/>
      <c r="AH1843" s="222"/>
      <c r="AI1843" s="222"/>
      <c r="AJ1843" s="222"/>
      <c r="AK1843" s="222"/>
      <c r="AL1843" s="222"/>
      <c r="AM1843" s="222"/>
      <c r="AN1843" s="222"/>
      <c r="AO1843" s="222"/>
      <c r="AP1843" s="222"/>
      <c r="AQ1843" s="222"/>
      <c r="AR1843" s="222"/>
      <c r="AS1843" s="222"/>
      <c r="AT1843" s="222"/>
      <c r="AU1843" s="222"/>
      <c r="AV1843" s="222"/>
      <c r="AW1843" s="222"/>
      <c r="AX1843" s="222"/>
      <c r="AY1843" s="222"/>
      <c r="AZ1843" s="222"/>
      <c r="BA1843" s="222"/>
    </row>
    <row r="1844" spans="1:53" x14ac:dyDescent="0.25">
      <c r="A1844" s="212" t="s">
        <v>570</v>
      </c>
      <c r="B1844" s="224"/>
      <c r="C1844" s="224"/>
      <c r="D1844" s="224"/>
      <c r="E1844" s="224"/>
      <c r="F1844" s="224"/>
      <c r="G1844" s="224"/>
      <c r="H1844" s="224"/>
      <c r="I1844" s="225"/>
      <c r="J1844" s="222"/>
      <c r="K1844" s="222"/>
      <c r="L1844" s="222"/>
      <c r="M1844" s="222"/>
      <c r="N1844" s="222"/>
      <c r="O1844" s="222"/>
      <c r="P1844" s="222"/>
      <c r="Q1844" s="222"/>
      <c r="R1844" s="222"/>
      <c r="S1844" s="222"/>
      <c r="T1844" s="222"/>
      <c r="U1844" s="222"/>
      <c r="V1844" s="222"/>
      <c r="W1844" s="222"/>
      <c r="X1844" s="222"/>
      <c r="Y1844" s="222"/>
      <c r="Z1844" s="222"/>
      <c r="AA1844" s="222"/>
      <c r="AB1844" s="222"/>
      <c r="AC1844" s="222"/>
      <c r="AD1844" s="222"/>
      <c r="AE1844" s="222"/>
      <c r="AF1844" s="222"/>
      <c r="AG1844" s="222"/>
      <c r="AH1844" s="222"/>
      <c r="AI1844" s="222"/>
      <c r="AJ1844" s="222"/>
      <c r="AK1844" s="222"/>
      <c r="AL1844" s="222"/>
      <c r="AM1844" s="222"/>
      <c r="AN1844" s="222"/>
      <c r="AO1844" s="222"/>
      <c r="AP1844" s="222"/>
      <c r="AQ1844" s="222"/>
      <c r="AR1844" s="222"/>
      <c r="AS1844" s="222"/>
      <c r="AT1844" s="222"/>
      <c r="AU1844" s="222"/>
      <c r="AV1844" s="222"/>
      <c r="AW1844" s="222"/>
      <c r="AX1844" s="222"/>
      <c r="AY1844" s="222"/>
      <c r="AZ1844" s="222"/>
      <c r="BA1844" s="222"/>
    </row>
    <row r="1845" spans="1:53" x14ac:dyDescent="0.25">
      <c r="A1845" s="222"/>
      <c r="B1845" s="222"/>
      <c r="C1845" s="222"/>
      <c r="D1845" s="222"/>
      <c r="E1845" s="222"/>
      <c r="F1845" s="222"/>
      <c r="G1845" s="222"/>
      <c r="H1845" s="222"/>
      <c r="I1845" s="222"/>
      <c r="J1845" s="222"/>
      <c r="K1845" s="222"/>
      <c r="L1845" s="222"/>
      <c r="M1845" s="222"/>
      <c r="N1845" s="222"/>
      <c r="O1845" s="222"/>
      <c r="P1845" s="222"/>
      <c r="Q1845" s="222"/>
      <c r="R1845" s="222"/>
      <c r="S1845" s="222"/>
      <c r="T1845" s="222"/>
      <c r="U1845" s="222"/>
      <c r="V1845" s="222"/>
      <c r="W1845" s="222"/>
      <c r="X1845" s="222"/>
      <c r="Y1845" s="222"/>
      <c r="Z1845" s="222"/>
      <c r="AA1845" s="222"/>
      <c r="AB1845" s="222"/>
      <c r="AC1845" s="222"/>
      <c r="AD1845" s="222"/>
      <c r="AE1845" s="222"/>
      <c r="AF1845" s="222"/>
      <c r="AG1845" s="222"/>
      <c r="AH1845" s="222"/>
      <c r="AI1845" s="222"/>
      <c r="AJ1845" s="222"/>
      <c r="AK1845" s="222"/>
      <c r="AL1845" s="222"/>
      <c r="AM1845" s="222"/>
      <c r="AN1845" s="222"/>
      <c r="AO1845" s="222"/>
      <c r="AP1845" s="222"/>
      <c r="AQ1845" s="222"/>
      <c r="AR1845" s="222"/>
      <c r="AS1845" s="222"/>
      <c r="AT1845" s="222"/>
      <c r="AU1845" s="222"/>
      <c r="AV1845" s="222"/>
      <c r="AW1845" s="222"/>
      <c r="AX1845" s="222"/>
      <c r="AY1845" s="222"/>
      <c r="AZ1845" s="222"/>
      <c r="BA1845" s="222"/>
    </row>
    <row r="1846" spans="1:53" x14ac:dyDescent="0.25">
      <c r="A1846" s="262" t="s">
        <v>14</v>
      </c>
      <c r="B1846" s="276" t="s">
        <v>79</v>
      </c>
      <c r="C1846" s="437" t="s">
        <v>26</v>
      </c>
      <c r="D1846" s="222"/>
      <c r="E1846" s="222"/>
      <c r="F1846" s="222"/>
      <c r="G1846" s="222"/>
      <c r="H1846" s="222"/>
      <c r="I1846" s="222"/>
      <c r="J1846" s="222"/>
      <c r="K1846" s="222"/>
      <c r="L1846" s="222"/>
      <c r="M1846" s="222"/>
      <c r="N1846" s="222"/>
      <c r="O1846" s="222"/>
      <c r="P1846" s="222"/>
      <c r="Q1846" s="222"/>
      <c r="R1846" s="222"/>
      <c r="S1846" s="222"/>
      <c r="T1846" s="222"/>
      <c r="U1846" s="222"/>
      <c r="V1846" s="222"/>
      <c r="W1846" s="222"/>
      <c r="X1846" s="222"/>
      <c r="Y1846" s="222"/>
      <c r="Z1846" s="222"/>
      <c r="AA1846" s="222"/>
      <c r="AB1846" s="222"/>
      <c r="AC1846" s="222"/>
      <c r="AD1846" s="222"/>
      <c r="AE1846" s="222"/>
      <c r="AF1846" s="222"/>
      <c r="AG1846" s="222"/>
      <c r="AH1846" s="222"/>
      <c r="AI1846" s="222"/>
      <c r="AJ1846" s="222"/>
      <c r="AK1846" s="222"/>
      <c r="AL1846" s="222"/>
      <c r="AM1846" s="222"/>
      <c r="AN1846" s="222"/>
      <c r="AO1846" s="222"/>
      <c r="AP1846" s="222"/>
      <c r="AQ1846" s="222"/>
      <c r="AR1846" s="222"/>
      <c r="AS1846" s="222"/>
      <c r="AT1846" s="222"/>
      <c r="AU1846" s="222"/>
      <c r="AV1846" s="222"/>
      <c r="AW1846" s="222"/>
      <c r="AX1846" s="222"/>
      <c r="AY1846" s="222"/>
      <c r="AZ1846" s="222"/>
      <c r="BA1846" s="222"/>
    </row>
    <row r="1847" spans="1:53" x14ac:dyDescent="0.25">
      <c r="A1847" s="438" t="s">
        <v>27</v>
      </c>
      <c r="B1847" s="213">
        <v>2016</v>
      </c>
      <c r="C1847" s="213">
        <v>2017</v>
      </c>
      <c r="D1847" s="427">
        <v>2018</v>
      </c>
      <c r="E1847" s="213">
        <v>2019</v>
      </c>
      <c r="F1847" s="213">
        <v>2020</v>
      </c>
      <c r="G1847" s="213">
        <v>2021</v>
      </c>
      <c r="H1847" s="213">
        <v>2022</v>
      </c>
      <c r="I1847" s="213">
        <v>2023</v>
      </c>
      <c r="J1847" s="222"/>
      <c r="K1847" s="222"/>
      <c r="L1847" s="222"/>
      <c r="M1847" s="222"/>
      <c r="N1847" s="222"/>
      <c r="O1847" s="222"/>
      <c r="P1847" s="222"/>
      <c r="Q1847" s="222"/>
      <c r="R1847" s="222"/>
      <c r="S1847" s="222"/>
      <c r="T1847" s="222"/>
      <c r="U1847" s="222"/>
      <c r="V1847" s="222"/>
      <c r="W1847" s="222"/>
      <c r="X1847" s="222"/>
      <c r="Y1847" s="222"/>
      <c r="Z1847" s="222"/>
      <c r="AA1847" s="222"/>
      <c r="AB1847" s="222"/>
      <c r="AC1847" s="222"/>
      <c r="AD1847" s="222"/>
      <c r="AE1847" s="222"/>
      <c r="AF1847" s="222"/>
      <c r="AG1847" s="222"/>
      <c r="AH1847" s="222"/>
      <c r="AI1847" s="222"/>
      <c r="AJ1847" s="222"/>
      <c r="AK1847" s="222"/>
      <c r="AL1847" s="222"/>
      <c r="AM1847" s="222"/>
      <c r="AN1847" s="222"/>
      <c r="AO1847" s="222"/>
      <c r="AP1847" s="222"/>
      <c r="AQ1847" s="222"/>
      <c r="AR1847" s="222"/>
      <c r="AS1847" s="222"/>
      <c r="AT1847" s="222"/>
      <c r="AU1847" s="222"/>
      <c r="AV1847" s="222"/>
      <c r="AW1847" s="222"/>
      <c r="AX1847" s="222"/>
      <c r="AY1847" s="222"/>
      <c r="AZ1847" s="222"/>
      <c r="BA1847" s="222"/>
    </row>
    <row r="1848" spans="1:53" x14ac:dyDescent="0.25">
      <c r="A1848" s="227" t="s">
        <v>28</v>
      </c>
      <c r="B1848" s="327">
        <v>50</v>
      </c>
      <c r="C1848" s="327">
        <v>50</v>
      </c>
      <c r="D1848" s="327">
        <v>50</v>
      </c>
      <c r="E1848" s="327">
        <v>50</v>
      </c>
      <c r="F1848" s="327">
        <v>50</v>
      </c>
      <c r="G1848" s="327">
        <v>50</v>
      </c>
      <c r="H1848" s="327">
        <v>50</v>
      </c>
      <c r="I1848" s="327">
        <v>50</v>
      </c>
      <c r="J1848" s="222"/>
      <c r="K1848" s="222"/>
      <c r="L1848" s="222"/>
      <c r="M1848" s="222"/>
      <c r="N1848" s="222"/>
      <c r="O1848" s="222"/>
      <c r="P1848" s="222"/>
      <c r="Q1848" s="222"/>
      <c r="R1848" s="222"/>
      <c r="S1848" s="222"/>
      <c r="T1848" s="222"/>
      <c r="U1848" s="222"/>
      <c r="V1848" s="222"/>
      <c r="W1848" s="222"/>
      <c r="X1848" s="222"/>
      <c r="Y1848" s="222"/>
      <c r="Z1848" s="222"/>
      <c r="AA1848" s="222"/>
      <c r="AB1848" s="222"/>
      <c r="AC1848" s="222"/>
      <c r="AD1848" s="222"/>
      <c r="AE1848" s="222"/>
      <c r="AF1848" s="222"/>
      <c r="AG1848" s="222"/>
      <c r="AH1848" s="222"/>
      <c r="AI1848" s="222"/>
      <c r="AJ1848" s="222"/>
      <c r="AK1848" s="222"/>
      <c r="AL1848" s="222"/>
      <c r="AM1848" s="222"/>
      <c r="AN1848" s="222"/>
      <c r="AO1848" s="222"/>
      <c r="AP1848" s="222"/>
      <c r="AQ1848" s="222"/>
      <c r="AR1848" s="222"/>
      <c r="AS1848" s="222"/>
      <c r="AT1848" s="222"/>
      <c r="AU1848" s="222"/>
      <c r="AV1848" s="222"/>
      <c r="AW1848" s="222"/>
      <c r="AX1848" s="222"/>
      <c r="AY1848" s="222"/>
      <c r="AZ1848" s="222"/>
      <c r="BA1848" s="222"/>
    </row>
    <row r="1849" spans="1:53" x14ac:dyDescent="0.25">
      <c r="A1849" s="227" t="s">
        <v>29</v>
      </c>
      <c r="B1849" s="327"/>
      <c r="C1849" s="327">
        <f>C1848+B1852</f>
        <v>-57.97999999999999</v>
      </c>
      <c r="D1849" s="327">
        <f>D1848+C1852</f>
        <v>-158.07</v>
      </c>
      <c r="E1849" s="327">
        <f>D1852+E1848</f>
        <v>-175.964</v>
      </c>
      <c r="F1849" s="327">
        <f>E1852+F1848</f>
        <v>-177.393</v>
      </c>
      <c r="G1849" s="327">
        <f>F1852+G1848</f>
        <v>-162.78800000000001</v>
      </c>
      <c r="H1849" s="327">
        <f>G1852+H1848</f>
        <v>-144.55900000000003</v>
      </c>
      <c r="I1849" s="327">
        <f>H1852+I1848</f>
        <v>-137.78000000000003</v>
      </c>
      <c r="J1849" s="222"/>
      <c r="K1849" s="222"/>
      <c r="L1849" s="222"/>
      <c r="M1849" s="222"/>
      <c r="N1849" s="222"/>
      <c r="O1849" s="222"/>
      <c r="P1849" s="222"/>
      <c r="Q1849" s="222"/>
      <c r="R1849" s="222"/>
      <c r="S1849" s="222"/>
      <c r="T1849" s="222"/>
      <c r="U1849" s="222"/>
      <c r="V1849" s="222"/>
      <c r="W1849" s="222"/>
      <c r="X1849" s="222"/>
      <c r="Y1849" s="222"/>
      <c r="Z1849" s="222"/>
      <c r="AA1849" s="222"/>
      <c r="AB1849" s="222"/>
      <c r="AC1849" s="222"/>
      <c r="AD1849" s="222"/>
      <c r="AE1849" s="222"/>
      <c r="AF1849" s="222"/>
      <c r="AG1849" s="222"/>
      <c r="AH1849" s="222"/>
      <c r="AI1849" s="222"/>
      <c r="AJ1849" s="222"/>
      <c r="AK1849" s="222"/>
      <c r="AL1849" s="222"/>
      <c r="AM1849" s="222"/>
      <c r="AN1849" s="222"/>
      <c r="AO1849" s="222"/>
      <c r="AP1849" s="222"/>
      <c r="AQ1849" s="222"/>
      <c r="AR1849" s="222"/>
      <c r="AS1849" s="222"/>
      <c r="AT1849" s="222"/>
      <c r="AU1849" s="222"/>
      <c r="AV1849" s="222"/>
      <c r="AW1849" s="222"/>
      <c r="AX1849" s="222"/>
      <c r="AY1849" s="222"/>
      <c r="AZ1849" s="222"/>
      <c r="BA1849" s="222"/>
    </row>
    <row r="1850" spans="1:53" x14ac:dyDescent="0.25">
      <c r="A1850" s="227" t="s">
        <v>30</v>
      </c>
      <c r="B1850" s="330"/>
      <c r="C1850" s="439" t="s">
        <v>552</v>
      </c>
      <c r="D1850" s="439" t="s">
        <v>553</v>
      </c>
      <c r="E1850" s="439" t="s">
        <v>554</v>
      </c>
      <c r="F1850" s="439" t="s">
        <v>557</v>
      </c>
      <c r="G1850" s="439" t="s">
        <v>559</v>
      </c>
      <c r="H1850" s="439" t="s">
        <v>719</v>
      </c>
      <c r="I1850" s="439" t="s">
        <v>917</v>
      </c>
      <c r="J1850" s="222"/>
      <c r="K1850" s="222"/>
      <c r="L1850" s="222"/>
      <c r="M1850" s="222"/>
      <c r="N1850" s="222"/>
      <c r="O1850" s="222"/>
      <c r="P1850" s="222"/>
      <c r="Q1850" s="222"/>
      <c r="R1850" s="222"/>
      <c r="S1850" s="222"/>
      <c r="T1850" s="222"/>
      <c r="U1850" s="222"/>
      <c r="V1850" s="222"/>
      <c r="W1850" s="222"/>
      <c r="X1850" s="222"/>
      <c r="Y1850" s="222"/>
      <c r="Z1850" s="222"/>
      <c r="AA1850" s="222"/>
      <c r="AB1850" s="222"/>
      <c r="AC1850" s="222"/>
      <c r="AD1850" s="222"/>
      <c r="AE1850" s="222"/>
      <c r="AF1850" s="222"/>
      <c r="AG1850" s="222"/>
      <c r="AH1850" s="222"/>
      <c r="AI1850" s="222"/>
      <c r="AJ1850" s="222"/>
      <c r="AK1850" s="222"/>
      <c r="AL1850" s="222"/>
      <c r="AM1850" s="222"/>
      <c r="AN1850" s="222"/>
      <c r="AO1850" s="222"/>
      <c r="AP1850" s="222"/>
      <c r="AQ1850" s="222"/>
      <c r="AR1850" s="222"/>
      <c r="AS1850" s="222"/>
      <c r="AT1850" s="222"/>
      <c r="AU1850" s="222"/>
      <c r="AV1850" s="222"/>
      <c r="AW1850" s="222"/>
      <c r="AX1850" s="222"/>
      <c r="AY1850" s="222"/>
      <c r="AZ1850" s="222"/>
      <c r="BA1850" s="222"/>
    </row>
    <row r="1851" spans="1:53" x14ac:dyDescent="0.25">
      <c r="A1851" s="227" t="s">
        <v>31</v>
      </c>
      <c r="B1851" s="327">
        <v>157.97999999999999</v>
      </c>
      <c r="C1851" s="327">
        <v>150.09</v>
      </c>
      <c r="D1851" s="327">
        <v>67.894000000000005</v>
      </c>
      <c r="E1851" s="327">
        <v>51.429000000000002</v>
      </c>
      <c r="F1851" s="216">
        <v>35.395000000000003</v>
      </c>
      <c r="G1851" s="216">
        <v>31.771000000000001</v>
      </c>
      <c r="H1851" s="216">
        <v>43.220999999999997</v>
      </c>
      <c r="I1851" s="216"/>
      <c r="J1851" s="222"/>
      <c r="K1851" s="222"/>
      <c r="L1851" s="222"/>
      <c r="M1851" s="222"/>
      <c r="N1851" s="222"/>
      <c r="O1851" s="222"/>
      <c r="P1851" s="222"/>
      <c r="Q1851" s="222"/>
      <c r="R1851" s="222"/>
      <c r="S1851" s="222"/>
      <c r="T1851" s="222"/>
      <c r="U1851" s="222"/>
      <c r="V1851" s="222"/>
      <c r="W1851" s="222"/>
      <c r="X1851" s="222"/>
      <c r="Y1851" s="222"/>
      <c r="Z1851" s="222"/>
      <c r="AA1851" s="222"/>
      <c r="AB1851" s="222"/>
      <c r="AC1851" s="222"/>
      <c r="AD1851" s="222"/>
      <c r="AE1851" s="222"/>
      <c r="AF1851" s="222"/>
      <c r="AG1851" s="222"/>
      <c r="AH1851" s="222"/>
      <c r="AI1851" s="222"/>
      <c r="AJ1851" s="222"/>
      <c r="AK1851" s="222"/>
      <c r="AL1851" s="222"/>
      <c r="AM1851" s="222"/>
      <c r="AN1851" s="222"/>
      <c r="AO1851" s="222"/>
      <c r="AP1851" s="222"/>
      <c r="AQ1851" s="222"/>
      <c r="AR1851" s="222"/>
      <c r="AS1851" s="222"/>
      <c r="AT1851" s="222"/>
      <c r="AU1851" s="222"/>
      <c r="AV1851" s="222"/>
      <c r="AW1851" s="222"/>
      <c r="AX1851" s="222"/>
      <c r="AY1851" s="222"/>
      <c r="AZ1851" s="222"/>
      <c r="BA1851" s="222"/>
    </row>
    <row r="1852" spans="1:53" x14ac:dyDescent="0.25">
      <c r="A1852" s="227" t="s">
        <v>32</v>
      </c>
      <c r="B1852" s="327">
        <f>B1848-B1851</f>
        <v>-107.97999999999999</v>
      </c>
      <c r="C1852" s="327">
        <f t="shared" ref="C1852:H1852" si="77">C1849-C1851</f>
        <v>-208.07</v>
      </c>
      <c r="D1852" s="327">
        <f t="shared" si="77"/>
        <v>-225.964</v>
      </c>
      <c r="E1852" s="327">
        <f t="shared" si="77"/>
        <v>-227.393</v>
      </c>
      <c r="F1852" s="327">
        <f t="shared" si="77"/>
        <v>-212.78800000000001</v>
      </c>
      <c r="G1852" s="327">
        <f t="shared" si="77"/>
        <v>-194.55900000000003</v>
      </c>
      <c r="H1852" s="327">
        <f t="shared" si="77"/>
        <v>-187.78000000000003</v>
      </c>
      <c r="I1852" s="327"/>
      <c r="J1852" s="222"/>
      <c r="K1852" s="222"/>
      <c r="L1852" s="222"/>
      <c r="M1852" s="222"/>
      <c r="N1852" s="222"/>
      <c r="O1852" s="222"/>
      <c r="P1852" s="222"/>
      <c r="Q1852" s="222"/>
      <c r="R1852" s="222"/>
      <c r="S1852" s="222"/>
      <c r="T1852" s="222"/>
      <c r="U1852" s="222"/>
      <c r="V1852" s="222"/>
      <c r="W1852" s="222"/>
      <c r="X1852" s="222"/>
      <c r="Y1852" s="222"/>
      <c r="Z1852" s="222"/>
      <c r="AA1852" s="222"/>
      <c r="AB1852" s="222"/>
      <c r="AC1852" s="222"/>
      <c r="AD1852" s="222"/>
      <c r="AE1852" s="222"/>
      <c r="AF1852" s="222"/>
      <c r="AG1852" s="222"/>
      <c r="AH1852" s="222"/>
      <c r="AI1852" s="222"/>
      <c r="AJ1852" s="222"/>
      <c r="AK1852" s="222"/>
      <c r="AL1852" s="222"/>
      <c r="AM1852" s="222"/>
      <c r="AN1852" s="222"/>
      <c r="AO1852" s="222"/>
      <c r="AP1852" s="222"/>
      <c r="AQ1852" s="222"/>
      <c r="AR1852" s="222"/>
      <c r="AS1852" s="222"/>
      <c r="AT1852" s="222"/>
      <c r="AU1852" s="222"/>
      <c r="AV1852" s="222"/>
      <c r="AW1852" s="222"/>
      <c r="AX1852" s="222"/>
      <c r="AY1852" s="222"/>
      <c r="AZ1852" s="222"/>
      <c r="BA1852" s="222"/>
    </row>
    <row r="1853" spans="1:53" x14ac:dyDescent="0.25">
      <c r="A1853" s="219" t="s">
        <v>33</v>
      </c>
      <c r="B1853" s="245">
        <v>2017</v>
      </c>
      <c r="C1853" s="245">
        <v>2018</v>
      </c>
      <c r="D1853" s="245">
        <v>2019</v>
      </c>
      <c r="E1853" s="245">
        <v>2020</v>
      </c>
      <c r="F1853" s="245">
        <v>2021</v>
      </c>
      <c r="G1853" s="245">
        <v>2022</v>
      </c>
      <c r="H1853" s="245">
        <v>2023</v>
      </c>
      <c r="I1853" s="245">
        <v>2024</v>
      </c>
      <c r="J1853" s="222"/>
      <c r="K1853" s="222"/>
      <c r="L1853" s="222"/>
      <c r="M1853" s="222"/>
      <c r="N1853" s="222"/>
      <c r="O1853" s="222"/>
      <c r="P1853" s="222"/>
      <c r="Q1853" s="222"/>
      <c r="R1853" s="222"/>
      <c r="S1853" s="222"/>
      <c r="T1853" s="222"/>
      <c r="U1853" s="222"/>
      <c r="V1853" s="222"/>
      <c r="W1853" s="222"/>
      <c r="X1853" s="222"/>
      <c r="Y1853" s="222"/>
      <c r="Z1853" s="222"/>
      <c r="AA1853" s="222"/>
      <c r="AB1853" s="222"/>
      <c r="AC1853" s="222"/>
      <c r="AD1853" s="222"/>
      <c r="AE1853" s="222"/>
      <c r="AF1853" s="222"/>
      <c r="AG1853" s="222"/>
      <c r="AH1853" s="222"/>
      <c r="AI1853" s="222"/>
      <c r="AJ1853" s="222"/>
      <c r="AK1853" s="222"/>
      <c r="AL1853" s="222"/>
      <c r="AM1853" s="222"/>
      <c r="AN1853" s="222"/>
      <c r="AO1853" s="222"/>
      <c r="AP1853" s="222"/>
      <c r="AQ1853" s="222"/>
      <c r="AR1853" s="222"/>
      <c r="AS1853" s="222"/>
      <c r="AT1853" s="222"/>
      <c r="AU1853" s="222"/>
      <c r="AV1853" s="222"/>
      <c r="AW1853" s="222"/>
      <c r="AX1853" s="222"/>
      <c r="AY1853" s="222"/>
      <c r="AZ1853" s="222"/>
      <c r="BA1853" s="222"/>
    </row>
    <row r="1854" spans="1:53" x14ac:dyDescent="0.25">
      <c r="A1854" s="219" t="s">
        <v>721</v>
      </c>
      <c r="B1854" s="382"/>
      <c r="C1854" s="382"/>
      <c r="D1854" s="382"/>
      <c r="E1854" s="382"/>
      <c r="F1854" s="382"/>
      <c r="G1854" s="382"/>
      <c r="H1854" s="382"/>
      <c r="I1854" s="383"/>
      <c r="J1854" s="222"/>
      <c r="K1854" s="222"/>
      <c r="L1854" s="222"/>
      <c r="M1854" s="222"/>
      <c r="N1854" s="222"/>
      <c r="O1854" s="222"/>
      <c r="P1854" s="222"/>
      <c r="Q1854" s="222"/>
      <c r="R1854" s="222"/>
      <c r="S1854" s="222"/>
      <c r="T1854" s="222"/>
      <c r="U1854" s="222"/>
      <c r="V1854" s="222"/>
      <c r="W1854" s="222"/>
      <c r="X1854" s="222"/>
      <c r="Y1854" s="222"/>
      <c r="Z1854" s="222"/>
      <c r="AA1854" s="222"/>
      <c r="AB1854" s="222"/>
      <c r="AC1854" s="222"/>
      <c r="AD1854" s="222"/>
      <c r="AE1854" s="222"/>
      <c r="AF1854" s="222"/>
      <c r="AG1854" s="222"/>
      <c r="AH1854" s="222"/>
      <c r="AI1854" s="222"/>
      <c r="AJ1854" s="222"/>
      <c r="AK1854" s="222"/>
      <c r="AL1854" s="222"/>
      <c r="AM1854" s="222"/>
      <c r="AN1854" s="222"/>
      <c r="AO1854" s="222"/>
      <c r="AP1854" s="222"/>
      <c r="AQ1854" s="222"/>
      <c r="AR1854" s="222"/>
      <c r="AS1854" s="222"/>
      <c r="AT1854" s="222"/>
      <c r="AU1854" s="222"/>
      <c r="AV1854" s="222"/>
      <c r="AW1854" s="222"/>
      <c r="AX1854" s="222"/>
      <c r="AY1854" s="222"/>
      <c r="AZ1854" s="222"/>
      <c r="BA1854" s="222"/>
    </row>
    <row r="1855" spans="1:53" x14ac:dyDescent="0.25">
      <c r="A1855" s="221" t="s">
        <v>555</v>
      </c>
      <c r="B1855" s="371"/>
      <c r="C1855" s="371"/>
      <c r="D1855" s="371"/>
      <c r="E1855" s="371"/>
      <c r="F1855" s="371"/>
      <c r="G1855" s="371"/>
      <c r="H1855" s="371"/>
      <c r="I1855" s="384"/>
      <c r="J1855" s="222"/>
      <c r="K1855" s="222"/>
      <c r="L1855" s="222"/>
      <c r="M1855" s="222"/>
      <c r="N1855" s="222"/>
      <c r="O1855" s="222"/>
      <c r="P1855" s="222"/>
      <c r="Q1855" s="222"/>
      <c r="R1855" s="222"/>
      <c r="S1855" s="222"/>
      <c r="T1855" s="222"/>
      <c r="U1855" s="222"/>
      <c r="V1855" s="222"/>
      <c r="W1855" s="222"/>
      <c r="X1855" s="222"/>
      <c r="Y1855" s="222"/>
      <c r="Z1855" s="222"/>
      <c r="AA1855" s="222"/>
      <c r="AB1855" s="222"/>
      <c r="AC1855" s="222"/>
      <c r="AD1855" s="222"/>
      <c r="AE1855" s="222"/>
      <c r="AF1855" s="222"/>
      <c r="AG1855" s="222"/>
      <c r="AH1855" s="222"/>
      <c r="AI1855" s="222"/>
      <c r="AJ1855" s="222"/>
      <c r="AK1855" s="222"/>
      <c r="AL1855" s="222"/>
      <c r="AM1855" s="222"/>
      <c r="AN1855" s="222"/>
      <c r="AO1855" s="222"/>
      <c r="AP1855" s="222"/>
      <c r="AQ1855" s="222"/>
      <c r="AR1855" s="222"/>
      <c r="AS1855" s="222"/>
      <c r="AT1855" s="222"/>
      <c r="AU1855" s="222"/>
      <c r="AV1855" s="222"/>
      <c r="AW1855" s="222"/>
      <c r="AX1855" s="222"/>
      <c r="AY1855" s="222"/>
      <c r="AZ1855" s="222"/>
      <c r="BA1855" s="222"/>
    </row>
    <row r="1856" spans="1:53" x14ac:dyDescent="0.25">
      <c r="A1856" s="221" t="s">
        <v>556</v>
      </c>
      <c r="B1856" s="222"/>
      <c r="C1856" s="222"/>
      <c r="D1856" s="222"/>
      <c r="E1856" s="222"/>
      <c r="F1856" s="222"/>
      <c r="G1856" s="222"/>
      <c r="H1856" s="222"/>
      <c r="I1856" s="223"/>
      <c r="J1856" s="222"/>
      <c r="K1856" s="222"/>
      <c r="L1856" s="222"/>
      <c r="M1856" s="222"/>
      <c r="N1856" s="222"/>
      <c r="O1856" s="222"/>
      <c r="P1856" s="222"/>
      <c r="Q1856" s="222"/>
      <c r="R1856" s="222"/>
      <c r="S1856" s="222"/>
      <c r="T1856" s="222"/>
      <c r="U1856" s="222"/>
      <c r="V1856" s="222"/>
      <c r="W1856" s="222"/>
      <c r="X1856" s="222"/>
      <c r="Y1856" s="222"/>
      <c r="Z1856" s="222"/>
      <c r="AA1856" s="222"/>
      <c r="AB1856" s="222"/>
      <c r="AC1856" s="222"/>
      <c r="AD1856" s="222"/>
      <c r="AE1856" s="222"/>
      <c r="AF1856" s="222"/>
      <c r="AG1856" s="222"/>
      <c r="AH1856" s="222"/>
      <c r="AI1856" s="222"/>
      <c r="AJ1856" s="222"/>
      <c r="AK1856" s="222"/>
      <c r="AL1856" s="222"/>
      <c r="AM1856" s="222"/>
      <c r="AN1856" s="222"/>
      <c r="AO1856" s="222"/>
      <c r="AP1856" s="222"/>
      <c r="AQ1856" s="222"/>
      <c r="AR1856" s="222"/>
      <c r="AS1856" s="222"/>
      <c r="AT1856" s="222"/>
      <c r="AU1856" s="222"/>
      <c r="AV1856" s="222"/>
      <c r="AW1856" s="222"/>
      <c r="AX1856" s="222"/>
      <c r="AY1856" s="222"/>
      <c r="AZ1856" s="222"/>
      <c r="BA1856" s="222"/>
    </row>
    <row r="1857" spans="1:53" x14ac:dyDescent="0.25">
      <c r="A1857" s="221" t="s">
        <v>558</v>
      </c>
      <c r="B1857" s="222"/>
      <c r="C1857" s="222"/>
      <c r="D1857" s="222"/>
      <c r="E1857" s="222"/>
      <c r="F1857" s="222"/>
      <c r="G1857" s="222"/>
      <c r="H1857" s="222"/>
      <c r="I1857" s="223"/>
      <c r="J1857" s="222"/>
      <c r="K1857" s="222"/>
      <c r="L1857" s="222"/>
      <c r="M1857" s="222"/>
      <c r="N1857" s="222"/>
      <c r="O1857" s="222"/>
      <c r="P1857" s="222"/>
      <c r="Q1857" s="222"/>
      <c r="R1857" s="222"/>
      <c r="S1857" s="222"/>
      <c r="T1857" s="222"/>
      <c r="U1857" s="222"/>
      <c r="V1857" s="222"/>
      <c r="W1857" s="222"/>
      <c r="X1857" s="222"/>
      <c r="Y1857" s="222"/>
      <c r="Z1857" s="222"/>
      <c r="AA1857" s="222"/>
      <c r="AB1857" s="222"/>
      <c r="AC1857" s="222"/>
      <c r="AD1857" s="222"/>
      <c r="AE1857" s="222"/>
      <c r="AF1857" s="222"/>
      <c r="AG1857" s="222"/>
      <c r="AH1857" s="222"/>
      <c r="AI1857" s="222"/>
      <c r="AJ1857" s="222"/>
      <c r="AK1857" s="222"/>
      <c r="AL1857" s="222"/>
      <c r="AM1857" s="222"/>
      <c r="AN1857" s="222"/>
      <c r="AO1857" s="222"/>
      <c r="AP1857" s="222"/>
      <c r="AQ1857" s="222"/>
      <c r="AR1857" s="222"/>
      <c r="AS1857" s="222"/>
      <c r="AT1857" s="222"/>
      <c r="AU1857" s="222"/>
      <c r="AV1857" s="222"/>
      <c r="AW1857" s="222"/>
      <c r="AX1857" s="222"/>
      <c r="AY1857" s="222"/>
      <c r="AZ1857" s="222"/>
      <c r="BA1857" s="222"/>
    </row>
    <row r="1858" spans="1:53" x14ac:dyDescent="0.25">
      <c r="A1858" s="221" t="s">
        <v>560</v>
      </c>
      <c r="B1858" s="222"/>
      <c r="C1858" s="222"/>
      <c r="D1858" s="222"/>
      <c r="E1858" s="222"/>
      <c r="F1858" s="222"/>
      <c r="G1858" s="222"/>
      <c r="H1858" s="222"/>
      <c r="I1858" s="223"/>
      <c r="J1858" s="222"/>
      <c r="K1858" s="222"/>
      <c r="L1858" s="222"/>
      <c r="M1858" s="222"/>
      <c r="N1858" s="222"/>
      <c r="O1858" s="222"/>
      <c r="P1858" s="222"/>
      <c r="Q1858" s="222"/>
      <c r="R1858" s="222"/>
      <c r="S1858" s="222"/>
      <c r="T1858" s="222"/>
      <c r="U1858" s="222"/>
      <c r="V1858" s="222"/>
      <c r="W1858" s="222"/>
      <c r="X1858" s="222"/>
      <c r="Y1858" s="222"/>
      <c r="Z1858" s="222"/>
      <c r="AA1858" s="222"/>
      <c r="AB1858" s="222"/>
      <c r="AC1858" s="222"/>
      <c r="AD1858" s="222"/>
      <c r="AE1858" s="222"/>
      <c r="AF1858" s="222"/>
      <c r="AG1858" s="222"/>
      <c r="AH1858" s="222"/>
      <c r="AI1858" s="222"/>
      <c r="AJ1858" s="222"/>
      <c r="AK1858" s="222"/>
      <c r="AL1858" s="222"/>
      <c r="AM1858" s="222"/>
      <c r="AN1858" s="222"/>
      <c r="AO1858" s="222"/>
      <c r="AP1858" s="222"/>
      <c r="AQ1858" s="222"/>
      <c r="AR1858" s="222"/>
      <c r="AS1858" s="222"/>
      <c r="AT1858" s="222"/>
      <c r="AU1858" s="222"/>
      <c r="AV1858" s="222"/>
      <c r="AW1858" s="222"/>
      <c r="AX1858" s="222"/>
      <c r="AY1858" s="222"/>
      <c r="AZ1858" s="222"/>
      <c r="BA1858" s="222"/>
    </row>
    <row r="1859" spans="1:53" x14ac:dyDescent="0.25">
      <c r="A1859" s="221" t="s">
        <v>720</v>
      </c>
      <c r="B1859" s="222"/>
      <c r="C1859" s="222"/>
      <c r="D1859" s="222"/>
      <c r="E1859" s="222"/>
      <c r="F1859" s="222"/>
      <c r="G1859" s="222"/>
      <c r="H1859" s="222"/>
      <c r="I1859" s="223"/>
      <c r="J1859" s="222"/>
      <c r="K1859" s="222"/>
      <c r="L1859" s="222"/>
      <c r="M1859" s="222"/>
      <c r="N1859" s="222"/>
      <c r="O1859" s="222"/>
      <c r="P1859" s="222"/>
      <c r="Q1859" s="222"/>
      <c r="R1859" s="222"/>
      <c r="S1859" s="222"/>
      <c r="T1859" s="222"/>
      <c r="U1859" s="222"/>
      <c r="V1859" s="222"/>
      <c r="W1859" s="222"/>
      <c r="X1859" s="222"/>
      <c r="Y1859" s="222"/>
      <c r="Z1859" s="222"/>
      <c r="AA1859" s="222"/>
      <c r="AB1859" s="222"/>
      <c r="AC1859" s="222"/>
      <c r="AD1859" s="222"/>
      <c r="AE1859" s="222"/>
      <c r="AF1859" s="222"/>
      <c r="AG1859" s="222"/>
      <c r="AH1859" s="222"/>
      <c r="AI1859" s="222"/>
      <c r="AJ1859" s="222"/>
      <c r="AK1859" s="222"/>
      <c r="AL1859" s="222"/>
      <c r="AM1859" s="222"/>
      <c r="AN1859" s="222"/>
      <c r="AO1859" s="222"/>
      <c r="AP1859" s="222"/>
      <c r="AQ1859" s="222"/>
      <c r="AR1859" s="222"/>
      <c r="AS1859" s="222"/>
      <c r="AT1859" s="222"/>
      <c r="AU1859" s="222"/>
      <c r="AV1859" s="222"/>
      <c r="AW1859" s="222"/>
      <c r="AX1859" s="222"/>
      <c r="AY1859" s="222"/>
      <c r="AZ1859" s="222"/>
      <c r="BA1859" s="222"/>
    </row>
    <row r="1860" spans="1:53" x14ac:dyDescent="0.25">
      <c r="A1860" s="212" t="s">
        <v>918</v>
      </c>
      <c r="B1860" s="224"/>
      <c r="C1860" s="224"/>
      <c r="D1860" s="224"/>
      <c r="E1860" s="224"/>
      <c r="F1860" s="224"/>
      <c r="G1860" s="224"/>
      <c r="H1860" s="224"/>
      <c r="I1860" s="225"/>
      <c r="J1860" s="222"/>
      <c r="K1860" s="222"/>
      <c r="L1860" s="222"/>
      <c r="M1860" s="222"/>
      <c r="N1860" s="222"/>
      <c r="O1860" s="222"/>
      <c r="P1860" s="222"/>
      <c r="Q1860" s="222"/>
      <c r="R1860" s="222"/>
      <c r="S1860" s="222"/>
      <c r="T1860" s="222"/>
      <c r="U1860" s="222"/>
      <c r="V1860" s="222"/>
      <c r="W1860" s="222"/>
      <c r="X1860" s="222"/>
      <c r="Y1860" s="222"/>
      <c r="Z1860" s="222"/>
      <c r="AA1860" s="222"/>
      <c r="AB1860" s="222"/>
      <c r="AC1860" s="222"/>
      <c r="AD1860" s="222"/>
      <c r="AE1860" s="222"/>
      <c r="AF1860" s="222"/>
      <c r="AG1860" s="222"/>
      <c r="AH1860" s="222"/>
      <c r="AI1860" s="222"/>
      <c r="AJ1860" s="222"/>
      <c r="AK1860" s="222"/>
      <c r="AL1860" s="222"/>
      <c r="AM1860" s="222"/>
      <c r="AN1860" s="222"/>
      <c r="AO1860" s="222"/>
      <c r="AP1860" s="222"/>
      <c r="AQ1860" s="222"/>
      <c r="AR1860" s="222"/>
      <c r="AS1860" s="222"/>
      <c r="AT1860" s="222"/>
      <c r="AU1860" s="222"/>
      <c r="AV1860" s="222"/>
      <c r="AW1860" s="222"/>
      <c r="AX1860" s="222"/>
      <c r="AY1860" s="222"/>
      <c r="AZ1860" s="222"/>
      <c r="BA1860" s="222"/>
    </row>
    <row r="1861" spans="1:53" x14ac:dyDescent="0.25">
      <c r="A1861" s="222"/>
      <c r="B1861" s="222"/>
      <c r="C1861" s="222"/>
      <c r="D1861" s="222"/>
      <c r="E1861" s="222"/>
      <c r="F1861" s="222"/>
      <c r="G1861" s="222"/>
      <c r="H1861" s="222"/>
      <c r="I1861" s="222"/>
      <c r="J1861" s="222"/>
      <c r="K1861" s="222"/>
      <c r="L1861" s="222"/>
      <c r="M1861" s="222"/>
      <c r="N1861" s="222"/>
      <c r="O1861" s="222"/>
      <c r="P1861" s="222"/>
      <c r="Q1861" s="222"/>
      <c r="R1861" s="222"/>
      <c r="S1861" s="222"/>
      <c r="T1861" s="222"/>
      <c r="U1861" s="222"/>
      <c r="V1861" s="222"/>
      <c r="W1861" s="222"/>
      <c r="X1861" s="222"/>
      <c r="Y1861" s="222"/>
      <c r="Z1861" s="222"/>
      <c r="AA1861" s="222"/>
      <c r="AB1861" s="222"/>
      <c r="AC1861" s="222"/>
      <c r="AD1861" s="222"/>
      <c r="AE1861" s="222"/>
      <c r="AF1861" s="222"/>
      <c r="AG1861" s="222"/>
      <c r="AH1861" s="222"/>
      <c r="AI1861" s="222"/>
      <c r="AJ1861" s="222"/>
      <c r="AK1861" s="222"/>
      <c r="AL1861" s="222"/>
      <c r="AM1861" s="222"/>
      <c r="AN1861" s="222"/>
      <c r="AO1861" s="222"/>
      <c r="AP1861" s="222"/>
      <c r="AQ1861" s="222"/>
      <c r="AR1861" s="222"/>
      <c r="AS1861" s="222"/>
      <c r="AT1861" s="222"/>
      <c r="AU1861" s="222"/>
      <c r="AV1861" s="222"/>
      <c r="AW1861" s="222"/>
      <c r="AX1861" s="222"/>
      <c r="AY1861" s="222"/>
      <c r="AZ1861" s="222"/>
      <c r="BA1861" s="222"/>
    </row>
    <row r="1862" spans="1:53" x14ac:dyDescent="0.25">
      <c r="A1862" s="222"/>
      <c r="B1862" s="222"/>
      <c r="C1862" s="222"/>
      <c r="D1862" s="222"/>
      <c r="E1862" s="222"/>
      <c r="F1862" s="222"/>
      <c r="G1862" s="222"/>
      <c r="H1862" s="222"/>
      <c r="I1862" s="222"/>
      <c r="J1862" s="222"/>
      <c r="K1862" s="222"/>
      <c r="L1862" s="222"/>
      <c r="M1862" s="222"/>
      <c r="N1862" s="222"/>
      <c r="O1862" s="222"/>
      <c r="P1862" s="222"/>
      <c r="Q1862" s="222"/>
      <c r="R1862" s="222"/>
      <c r="S1862" s="222"/>
      <c r="T1862" s="222"/>
      <c r="U1862" s="222"/>
      <c r="V1862" s="222"/>
      <c r="W1862" s="222"/>
      <c r="X1862" s="222"/>
      <c r="Y1862" s="222"/>
      <c r="Z1862" s="222"/>
      <c r="AA1862" s="222"/>
      <c r="AB1862" s="222"/>
      <c r="AC1862" s="222"/>
      <c r="AD1862" s="222"/>
      <c r="AE1862" s="222"/>
      <c r="AF1862" s="222"/>
      <c r="AG1862" s="222"/>
      <c r="AH1862" s="222"/>
      <c r="AI1862" s="222"/>
      <c r="AJ1862" s="222"/>
      <c r="AK1862" s="222"/>
      <c r="AL1862" s="222"/>
      <c r="AM1862" s="222"/>
      <c r="AN1862" s="222"/>
      <c r="AO1862" s="222"/>
      <c r="AP1862" s="222"/>
      <c r="AQ1862" s="222"/>
      <c r="AR1862" s="222"/>
      <c r="AS1862" s="222"/>
      <c r="AT1862" s="222"/>
      <c r="AU1862" s="222"/>
      <c r="AV1862" s="222"/>
      <c r="AW1862" s="222"/>
      <c r="AX1862" s="222"/>
      <c r="AY1862" s="222"/>
      <c r="AZ1862" s="222"/>
      <c r="BA1862" s="222"/>
    </row>
    <row r="1863" spans="1:53" x14ac:dyDescent="0.25">
      <c r="A1863" s="222"/>
      <c r="B1863" s="222"/>
      <c r="C1863" s="222"/>
      <c r="D1863" s="222"/>
      <c r="E1863" s="222"/>
      <c r="F1863" s="222"/>
      <c r="G1863" s="222"/>
      <c r="H1863" s="222"/>
      <c r="I1863" s="222"/>
      <c r="J1863" s="222"/>
      <c r="K1863" s="222"/>
      <c r="L1863" s="222"/>
      <c r="M1863" s="222"/>
      <c r="N1863" s="222"/>
      <c r="O1863" s="222"/>
      <c r="P1863" s="222"/>
      <c r="Q1863" s="222"/>
      <c r="R1863" s="222"/>
      <c r="S1863" s="222"/>
      <c r="T1863" s="222"/>
      <c r="U1863" s="222"/>
      <c r="V1863" s="222"/>
      <c r="W1863" s="222"/>
      <c r="X1863" s="222"/>
      <c r="Y1863" s="222"/>
      <c r="Z1863" s="222"/>
      <c r="AA1863" s="222"/>
      <c r="AB1863" s="222"/>
      <c r="AC1863" s="222"/>
      <c r="AD1863" s="222"/>
      <c r="AE1863" s="222"/>
      <c r="AF1863" s="222"/>
      <c r="AG1863" s="222"/>
      <c r="AH1863" s="222"/>
      <c r="AI1863" s="222"/>
      <c r="AJ1863" s="222"/>
      <c r="AK1863" s="222"/>
      <c r="AL1863" s="222"/>
      <c r="AM1863" s="222"/>
      <c r="AN1863" s="222"/>
      <c r="AO1863" s="222"/>
      <c r="AP1863" s="222"/>
      <c r="AQ1863" s="222"/>
      <c r="AR1863" s="222"/>
      <c r="AS1863" s="222"/>
      <c r="AT1863" s="222"/>
      <c r="AU1863" s="222"/>
      <c r="AV1863" s="222"/>
      <c r="AW1863" s="222"/>
      <c r="AX1863" s="222"/>
      <c r="AY1863" s="222"/>
      <c r="AZ1863" s="222"/>
      <c r="BA1863" s="222"/>
    </row>
    <row r="1864" spans="1:53" x14ac:dyDescent="0.25">
      <c r="A1864" s="222"/>
      <c r="B1864" s="222"/>
      <c r="C1864" s="222"/>
      <c r="D1864" s="222"/>
      <c r="E1864" s="222"/>
      <c r="F1864" s="222"/>
      <c r="G1864" s="222"/>
      <c r="H1864" s="222"/>
      <c r="I1864" s="222"/>
      <c r="J1864" s="222"/>
      <c r="K1864" s="222"/>
      <c r="L1864" s="222"/>
      <c r="M1864" s="222"/>
      <c r="N1864" s="222"/>
      <c r="O1864" s="222"/>
      <c r="P1864" s="222"/>
      <c r="Q1864" s="222"/>
      <c r="R1864" s="222"/>
      <c r="S1864" s="222"/>
      <c r="T1864" s="222"/>
      <c r="U1864" s="222"/>
      <c r="V1864" s="222"/>
      <c r="W1864" s="222"/>
      <c r="X1864" s="222"/>
      <c r="Y1864" s="222"/>
      <c r="Z1864" s="222"/>
      <c r="AA1864" s="222"/>
      <c r="AB1864" s="222"/>
      <c r="AC1864" s="222"/>
      <c r="AD1864" s="222"/>
      <c r="AE1864" s="222"/>
      <c r="AF1864" s="222"/>
      <c r="AG1864" s="222"/>
      <c r="AH1864" s="222"/>
      <c r="AI1864" s="222"/>
      <c r="AJ1864" s="222"/>
      <c r="AK1864" s="222"/>
      <c r="AL1864" s="222"/>
      <c r="AM1864" s="222"/>
      <c r="AN1864" s="222"/>
      <c r="AO1864" s="222"/>
      <c r="AP1864" s="222"/>
      <c r="AQ1864" s="222"/>
      <c r="AR1864" s="222"/>
      <c r="AS1864" s="222"/>
      <c r="AT1864" s="222"/>
      <c r="AU1864" s="222"/>
      <c r="AV1864" s="222"/>
      <c r="AW1864" s="222"/>
      <c r="AX1864" s="222"/>
      <c r="AY1864" s="222"/>
      <c r="AZ1864" s="222"/>
      <c r="BA1864" s="222"/>
    </row>
    <row r="1865" spans="1:53" x14ac:dyDescent="0.25">
      <c r="A1865" s="222"/>
      <c r="B1865" s="222"/>
      <c r="C1865" s="222"/>
      <c r="D1865" s="222"/>
      <c r="E1865" s="222"/>
      <c r="F1865" s="222"/>
      <c r="G1865" s="222"/>
      <c r="H1865" s="222"/>
      <c r="I1865" s="222"/>
      <c r="J1865" s="222"/>
      <c r="K1865" s="222"/>
      <c r="L1865" s="222"/>
      <c r="M1865" s="222"/>
      <c r="N1865" s="222"/>
      <c r="O1865" s="222"/>
      <c r="P1865" s="222"/>
      <c r="Q1865" s="222"/>
      <c r="R1865" s="222"/>
      <c r="S1865" s="222"/>
      <c r="T1865" s="222"/>
      <c r="U1865" s="222"/>
      <c r="V1865" s="222"/>
      <c r="W1865" s="222"/>
      <c r="X1865" s="222"/>
      <c r="Y1865" s="222"/>
      <c r="Z1865" s="222"/>
      <c r="AA1865" s="222"/>
      <c r="AB1865" s="222"/>
      <c r="AC1865" s="222"/>
      <c r="AD1865" s="222"/>
      <c r="AE1865" s="222"/>
      <c r="AF1865" s="222"/>
      <c r="AG1865" s="222"/>
      <c r="AH1865" s="222"/>
      <c r="AI1865" s="222"/>
      <c r="AJ1865" s="222"/>
      <c r="AK1865" s="222"/>
      <c r="AL1865" s="222"/>
      <c r="AM1865" s="222"/>
      <c r="AN1865" s="222"/>
      <c r="AO1865" s="222"/>
      <c r="AP1865" s="222"/>
      <c r="AQ1865" s="222"/>
      <c r="AR1865" s="222"/>
      <c r="AS1865" s="222"/>
      <c r="AT1865" s="222"/>
      <c r="AU1865" s="222"/>
      <c r="AV1865" s="222"/>
      <c r="AW1865" s="222"/>
      <c r="AX1865" s="222"/>
      <c r="AY1865" s="222"/>
      <c r="AZ1865" s="222"/>
      <c r="BA1865" s="222"/>
    </row>
  </sheetData>
  <mergeCells count="57">
    <mergeCell ref="A313:M313"/>
    <mergeCell ref="A279:O279"/>
    <mergeCell ref="A312:O312"/>
    <mergeCell ref="A329:O329"/>
    <mergeCell ref="A345:O345"/>
    <mergeCell ref="A15:E15"/>
    <mergeCell ref="C108:J108"/>
    <mergeCell ref="C123:J123"/>
    <mergeCell ref="C139:J139"/>
    <mergeCell ref="A231:J231"/>
    <mergeCell ref="E90:I90"/>
    <mergeCell ref="A230:F230"/>
    <mergeCell ref="A173:G173"/>
    <mergeCell ref="A94:F94"/>
    <mergeCell ref="A95:F95"/>
    <mergeCell ref="A187:G187"/>
    <mergeCell ref="A198:G198"/>
    <mergeCell ref="A220:J220"/>
    <mergeCell ref="A1245:G1245"/>
    <mergeCell ref="A1613:G1613"/>
    <mergeCell ref="A787:G787"/>
    <mergeCell ref="A1458:G1458"/>
    <mergeCell ref="A1243:G1243"/>
    <mergeCell ref="A1493:F1493"/>
    <mergeCell ref="A1244:G1244"/>
    <mergeCell ref="A1491:F1491"/>
    <mergeCell ref="A1489:F1489"/>
    <mergeCell ref="A1429:D1429"/>
    <mergeCell ref="A1416:H1416"/>
    <mergeCell ref="A1414:H1414"/>
    <mergeCell ref="A1415:H1415"/>
    <mergeCell ref="A788:G788"/>
    <mergeCell ref="A1400:E1400"/>
    <mergeCell ref="A922:N922"/>
    <mergeCell ref="A1242:G1242"/>
    <mergeCell ref="A635:E635"/>
    <mergeCell ref="A784:F784"/>
    <mergeCell ref="A697:J697"/>
    <mergeCell ref="A683:J683"/>
    <mergeCell ref="A786:G786"/>
    <mergeCell ref="A781:F781"/>
    <mergeCell ref="A608:H608"/>
    <mergeCell ref="A783:F783"/>
    <mergeCell ref="A395:G395"/>
    <mergeCell ref="A1492:F1492"/>
    <mergeCell ref="A509:F509"/>
    <mergeCell ref="A446:F446"/>
    <mergeCell ref="A494:F494"/>
    <mergeCell ref="A401:G401"/>
    <mergeCell ref="A623:D623"/>
    <mergeCell ref="A791:G791"/>
    <mergeCell ref="A789:G789"/>
    <mergeCell ref="A1490:F1490"/>
    <mergeCell ref="A412:F412"/>
    <mergeCell ref="A427:F427"/>
    <mergeCell ref="A785:G785"/>
    <mergeCell ref="A1384:E1384"/>
  </mergeCells>
  <phoneticPr fontId="13" type="noConversion"/>
  <pageMargins left="0.7" right="0.7" top="0.75" bottom="0.75" header="0.3" footer="0.3"/>
  <pageSetup paperSize="9" scale="10" orientation="landscape" r:id="rId1"/>
  <ignoredErrors>
    <ignoredError sqref="F1360 K931 E1807:F1807 D605 H1527 H138 I406 I1379" formula="1"/>
    <ignoredError sqref="H1587 I658:K658 I689:J689 H717 H671 H1570 C702 I671:J671" unlockedFormula="1"/>
    <ignoredError sqref="C1423 H603:P603 H18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2023-11-10T13:59:37Z</dcterms:modified>
</cp:coreProperties>
</file>