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V:\2023_SharedDocs\ComplianceTables\COC-304-2023\"/>
    </mc:Choice>
  </mc:AlternateContent>
  <xr:revisionPtr revIDLastSave="0" documentId="13_ncr:1_{EC494BDC-C64D-4EB8-9E00-C44DC0ED4D82}" xr6:coauthVersionLast="47" xr6:coauthVersionMax="47" xr10:uidLastSave="{00000000-0000-0000-0000-000000000000}"/>
  <bookViews>
    <workbookView xWindow="-120" yWindow="-120" windowWidth="29040" windowHeight="17640" xr2:uid="{00000000-000D-0000-FFFF-FFFF00000000}"/>
  </bookViews>
  <sheets>
    <sheet name="Adjustement data" sheetId="1" r:id="rId1"/>
  </sheets>
  <definedNames>
    <definedName name="_xlnm.Print_Area" localSheetId="0">'Adjustement data'!$A$1:$R$1607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02" i="1" l="1"/>
  <c r="I590" i="1"/>
  <c r="J590" i="1"/>
  <c r="I579" i="1"/>
  <c r="J579" i="1"/>
  <c r="J746" i="1"/>
  <c r="J734" i="1"/>
  <c r="K689" i="1"/>
  <c r="K671" i="1"/>
  <c r="K717" i="1" l="1"/>
  <c r="B705" i="1"/>
  <c r="C702" i="1" s="1"/>
  <c r="J406" i="1" l="1"/>
  <c r="I1782" i="1" l="1"/>
  <c r="I1785" i="1" s="1"/>
  <c r="J1782" i="1" s="1"/>
  <c r="H1768" i="1"/>
  <c r="I1765" i="1" s="1"/>
  <c r="H1751" i="1"/>
  <c r="J1728" i="1"/>
  <c r="D1621" i="1"/>
  <c r="C1623" i="1"/>
  <c r="D1620" i="1" s="1"/>
  <c r="E1701" i="1"/>
  <c r="E1690" i="1"/>
  <c r="D1682" i="1"/>
  <c r="F1666" i="1"/>
  <c r="E1666" i="1"/>
  <c r="D1669" i="1"/>
  <c r="D1658" i="1"/>
  <c r="F1655" i="1"/>
  <c r="F1642" i="1"/>
  <c r="H1838" i="1" l="1"/>
  <c r="I1822" i="1"/>
  <c r="H1606" i="1" l="1"/>
  <c r="K1568" i="1" l="1"/>
  <c r="J1556" i="1"/>
  <c r="G1496" i="1" l="1"/>
  <c r="H1496" i="1"/>
  <c r="I1496" i="1"/>
  <c r="J1496" i="1"/>
  <c r="K1496" i="1"/>
  <c r="L1496" i="1"/>
  <c r="M1496" i="1"/>
  <c r="N1496" i="1"/>
  <c r="O1496" i="1"/>
  <c r="F1496" i="1"/>
  <c r="E1499" i="1"/>
  <c r="H1481" i="1"/>
  <c r="G1483" i="1"/>
  <c r="H1464" i="1"/>
  <c r="H1463" i="1" s="1"/>
  <c r="D1423" i="1" l="1"/>
  <c r="L1393" i="1" l="1"/>
  <c r="J1393" i="1"/>
  <c r="F1393" i="1"/>
  <c r="F1396" i="1" s="1"/>
  <c r="G1393" i="1"/>
  <c r="G1396" i="1" s="1"/>
  <c r="H1393" i="1"/>
  <c r="H1396" i="1" s="1"/>
  <c r="I1393" i="1"/>
  <c r="I1396" i="1" s="1"/>
  <c r="K1393" i="1" s="1"/>
  <c r="E1393" i="1"/>
  <c r="E1396" i="1" s="1"/>
  <c r="C1393" i="1"/>
  <c r="C1396" i="1" s="1"/>
  <c r="D1396" i="1"/>
  <c r="J1377" i="1"/>
  <c r="I1377" i="1"/>
  <c r="I1380" i="1" s="1"/>
  <c r="J1193" i="1"/>
  <c r="K1171" i="1"/>
  <c r="J1133" i="1"/>
  <c r="K1110" i="1"/>
  <c r="K168" i="1" l="1"/>
  <c r="E1714" i="1"/>
  <c r="J168" i="1"/>
  <c r="D1714" i="1"/>
  <c r="D1717" i="1" s="1"/>
  <c r="J1525" i="1"/>
  <c r="D1096" i="1" l="1"/>
  <c r="P1075" i="1"/>
  <c r="P1055" i="1"/>
  <c r="P1025" i="1"/>
  <c r="P958" i="1"/>
  <c r="O907" i="1" l="1"/>
  <c r="O886" i="1"/>
  <c r="K1361" i="1" l="1"/>
  <c r="K1345" i="1"/>
  <c r="K1310" i="1"/>
  <c r="I1297" i="1"/>
  <c r="J776" i="1" l="1"/>
  <c r="G756" i="1"/>
  <c r="H756" i="1"/>
  <c r="H759" i="1" s="1"/>
  <c r="I756" i="1"/>
  <c r="I759" i="1" s="1"/>
  <c r="J756" i="1"/>
  <c r="F756" i="1"/>
  <c r="K193" i="1"/>
  <c r="K182" i="1"/>
  <c r="J171" i="1"/>
  <c r="K158" i="1"/>
  <c r="J1449" i="1" l="1"/>
  <c r="F633" i="1" l="1"/>
  <c r="E616" i="1" l="1"/>
  <c r="I520" i="1" l="1"/>
  <c r="I506" i="1"/>
  <c r="I491" i="1"/>
  <c r="J472" i="1"/>
  <c r="J439" i="1"/>
  <c r="J388" i="1"/>
  <c r="N375" i="1" l="1"/>
  <c r="N359" i="1"/>
  <c r="O340" i="1"/>
  <c r="O324" i="1"/>
  <c r="O307" i="1"/>
  <c r="J238" i="1" l="1"/>
  <c r="J138" i="1" l="1"/>
  <c r="J122" i="1"/>
  <c r="J107" i="1"/>
  <c r="D71" i="1" l="1"/>
  <c r="E71" i="1"/>
  <c r="F71" i="1"/>
  <c r="G71" i="1"/>
  <c r="H71" i="1"/>
  <c r="I71" i="1"/>
  <c r="C68" i="1"/>
  <c r="C71" i="1" s="1"/>
  <c r="I52" i="1"/>
  <c r="J49" i="1" s="1"/>
  <c r="G22" i="1"/>
  <c r="F22" i="1"/>
  <c r="F25" i="1" s="1"/>
  <c r="F41" i="1"/>
  <c r="D9" i="1" l="1"/>
  <c r="D12" i="1" s="1"/>
  <c r="C12" i="1"/>
  <c r="H1406" i="1"/>
  <c r="G1406" i="1"/>
  <c r="G1409" i="1" s="1"/>
  <c r="I1234" i="1"/>
  <c r="I817" i="1" l="1"/>
  <c r="E1655" i="1" l="1"/>
  <c r="O290" i="1"/>
  <c r="C258" i="1"/>
  <c r="D255" i="1" s="1"/>
  <c r="D258" i="1" s="1"/>
  <c r="F255" i="1"/>
  <c r="F258" i="1" s="1"/>
  <c r="G255" i="1" s="1"/>
  <c r="G258" i="1" s="1"/>
  <c r="H255" i="1" s="1"/>
  <c r="H258" i="1" s="1"/>
  <c r="I255" i="1" s="1"/>
  <c r="I258" i="1" s="1"/>
  <c r="J255" i="1" s="1"/>
  <c r="E255" i="1"/>
  <c r="E258" i="1" s="1"/>
  <c r="F1319" i="1"/>
  <c r="F1318" i="1" s="1"/>
  <c r="F1321" i="1" s="1"/>
  <c r="G1319" i="1" s="1"/>
  <c r="G1318" i="1" s="1"/>
  <c r="G1321" i="1" s="1"/>
  <c r="H1319" i="1" s="1"/>
  <c r="H1318" i="1" s="1"/>
  <c r="H1321" i="1" s="1"/>
  <c r="I1319" i="1" s="1"/>
  <c r="I1318" i="1" s="1"/>
  <c r="I1321" i="1" s="1"/>
  <c r="J1319" i="1" s="1"/>
  <c r="J1318" i="1" s="1"/>
  <c r="J1321" i="1" s="1"/>
  <c r="K1319" i="1" s="1"/>
  <c r="K1318" i="1" s="1"/>
  <c r="K1321" i="1" s="1"/>
  <c r="L1319" i="1" s="1"/>
  <c r="L1318" i="1" s="1"/>
  <c r="L1321" i="1" s="1"/>
  <c r="M1319" i="1" s="1"/>
  <c r="M1318" i="1" s="1"/>
  <c r="M1321" i="1" s="1"/>
  <c r="N1319" i="1" s="1"/>
  <c r="N1318" i="1" s="1"/>
  <c r="N1321" i="1" s="1"/>
  <c r="O1319" i="1" s="1"/>
  <c r="O1318" i="1" s="1"/>
  <c r="D1319" i="1"/>
  <c r="D1318" i="1" s="1"/>
  <c r="D1321" i="1" s="1"/>
  <c r="E1319" i="1" s="1"/>
  <c r="E1318" i="1" s="1"/>
  <c r="E1321" i="1" s="1"/>
  <c r="B1319" i="1"/>
  <c r="B1318" i="1" s="1"/>
  <c r="B1321" i="1" s="1"/>
  <c r="C1319" i="1" s="1"/>
  <c r="C1318" i="1" s="1"/>
  <c r="C1321" i="1" s="1"/>
  <c r="D207" i="1"/>
  <c r="F204" i="1" s="1"/>
  <c r="J602" i="1"/>
  <c r="K602" i="1"/>
  <c r="L602" i="1"/>
  <c r="M602" i="1"/>
  <c r="N602" i="1"/>
  <c r="O602" i="1"/>
  <c r="P602" i="1"/>
  <c r="I602" i="1"/>
  <c r="H602" i="1"/>
  <c r="H605" i="1" s="1"/>
  <c r="I107" i="1"/>
  <c r="K658" i="1"/>
  <c r="D1499" i="1"/>
  <c r="C1499" i="1"/>
  <c r="C1669" i="1"/>
  <c r="F1483" i="1"/>
  <c r="G1464" i="1"/>
  <c r="G1463" i="1" s="1"/>
  <c r="G1466" i="1" s="1"/>
  <c r="H1449" i="1"/>
  <c r="H1452" i="1" s="1"/>
  <c r="G1452" i="1"/>
  <c r="I1449" i="1" s="1"/>
  <c r="I1452" i="1" s="1"/>
  <c r="C1423" i="1"/>
  <c r="B1850" i="1"/>
  <c r="C1847" i="1" s="1"/>
  <c r="C1850" i="1" s="1"/>
  <c r="D1847" i="1" s="1"/>
  <c r="D1850" i="1" s="1"/>
  <c r="E1847" i="1" s="1"/>
  <c r="E1850" i="1" s="1"/>
  <c r="F1847" i="1" s="1"/>
  <c r="F1850" i="1" s="1"/>
  <c r="G1847" i="1" s="1"/>
  <c r="G1850" i="1" s="1"/>
  <c r="H1847" i="1" s="1"/>
  <c r="H1850" i="1" s="1"/>
  <c r="I1847" i="1" s="1"/>
  <c r="H1822" i="1"/>
  <c r="J1345" i="1"/>
  <c r="J1310" i="1"/>
  <c r="H1297" i="1"/>
  <c r="H1300" i="1" s="1"/>
  <c r="H182" i="1"/>
  <c r="H185" i="1" s="1"/>
  <c r="I182" i="1"/>
  <c r="I185" i="1" s="1"/>
  <c r="J182" i="1"/>
  <c r="J185" i="1" s="1"/>
  <c r="D1701" i="1"/>
  <c r="D1704" i="1" s="1"/>
  <c r="C1704" i="1"/>
  <c r="D1690" i="1"/>
  <c r="D1693" i="1" s="1"/>
  <c r="C1693" i="1"/>
  <c r="C1658" i="1"/>
  <c r="D1642" i="1"/>
  <c r="D1645" i="1" s="1"/>
  <c r="C1641" i="1"/>
  <c r="E1642" i="1" s="1"/>
  <c r="H647" i="1"/>
  <c r="J644" i="1" s="1"/>
  <c r="J647" i="1" s="1"/>
  <c r="I1193" i="1"/>
  <c r="I1171" i="1"/>
  <c r="I1174" i="1" s="1"/>
  <c r="J1171" i="1"/>
  <c r="J1174" i="1" s="1"/>
  <c r="J1154" i="1"/>
  <c r="J1157" i="1" s="1"/>
  <c r="K1154" i="1" s="1"/>
  <c r="H1157" i="1"/>
  <c r="I1154" i="1" s="1"/>
  <c r="I1157" i="1" s="1"/>
  <c r="I1142" i="1"/>
  <c r="I1145" i="1" s="1"/>
  <c r="J1142" i="1"/>
  <c r="J1145" i="1" s="1"/>
  <c r="I1133" i="1"/>
  <c r="I1123" i="1"/>
  <c r="K1120" i="1" s="1"/>
  <c r="I1110" i="1"/>
  <c r="I1113" i="1" s="1"/>
  <c r="G138" i="1"/>
  <c r="G141" i="1" s="1"/>
  <c r="H138" i="1"/>
  <c r="H141" i="1" s="1"/>
  <c r="I138" i="1"/>
  <c r="G122" i="1"/>
  <c r="G125" i="1" s="1"/>
  <c r="I122" i="1"/>
  <c r="G107" i="1"/>
  <c r="G110" i="1" s="1"/>
  <c r="G89" i="1"/>
  <c r="G92" i="1" s="1"/>
  <c r="F92" i="1"/>
  <c r="I89" i="1"/>
  <c r="H1785" i="1"/>
  <c r="H1377" i="1"/>
  <c r="H1380" i="1" s="1"/>
  <c r="H1765" i="1"/>
  <c r="G1751" i="1"/>
  <c r="I1728" i="1"/>
  <c r="I1731" i="1" s="1"/>
  <c r="H1728" i="1"/>
  <c r="H1731" i="1" s="1"/>
  <c r="G1588" i="1"/>
  <c r="H1585" i="1" s="1"/>
  <c r="H1588" i="1" s="1"/>
  <c r="I1585" i="1" s="1"/>
  <c r="I1588" i="1" s="1"/>
  <c r="J1585" i="1" s="1"/>
  <c r="J1568" i="1"/>
  <c r="J1571" i="1" s="1"/>
  <c r="G1571" i="1"/>
  <c r="H1568" i="1" s="1"/>
  <c r="H1571" i="1" s="1"/>
  <c r="I1568" i="1" s="1"/>
  <c r="I1571" i="1" s="1"/>
  <c r="I1556" i="1"/>
  <c r="I1525" i="1"/>
  <c r="I1528" i="1" s="1"/>
  <c r="H1525" i="1"/>
  <c r="H1528" i="1" s="1"/>
  <c r="E1509" i="1"/>
  <c r="E1512" i="1" s="1"/>
  <c r="G1509" i="1" s="1"/>
  <c r="G1512" i="1" s="1"/>
  <c r="I1509" i="1" s="1"/>
  <c r="C871" i="1"/>
  <c r="C874" i="1" s="1"/>
  <c r="D871" i="1" s="1"/>
  <c r="D874" i="1" s="1"/>
  <c r="E871" i="1" s="1"/>
  <c r="E874" i="1" s="1"/>
  <c r="F871" i="1" s="1"/>
  <c r="F874" i="1" s="1"/>
  <c r="G871" i="1" s="1"/>
  <c r="G874" i="1" s="1"/>
  <c r="H871" i="1" s="1"/>
  <c r="H874" i="1" s="1"/>
  <c r="I871" i="1" s="1"/>
  <c r="B864" i="1"/>
  <c r="C861" i="1" s="1"/>
  <c r="C864" i="1" s="1"/>
  <c r="D861" i="1" s="1"/>
  <c r="D864" i="1" s="1"/>
  <c r="E861" i="1" s="1"/>
  <c r="E864" i="1" s="1"/>
  <c r="F861" i="1" s="1"/>
  <c r="C850" i="1"/>
  <c r="C853" i="1" s="1"/>
  <c r="D850" i="1" s="1"/>
  <c r="D853" i="1" s="1"/>
  <c r="E850" i="1" s="1"/>
  <c r="E853" i="1" s="1"/>
  <c r="F850" i="1" s="1"/>
  <c r="F853" i="1" s="1"/>
  <c r="G850" i="1" s="1"/>
  <c r="G853" i="1" s="1"/>
  <c r="H850" i="1" s="1"/>
  <c r="H853" i="1" s="1"/>
  <c r="I850" i="1" s="1"/>
  <c r="B850" i="1"/>
  <c r="D616" i="1"/>
  <c r="D619" i="1" s="1"/>
  <c r="C619" i="1"/>
  <c r="D506" i="1"/>
  <c r="E506" i="1"/>
  <c r="F506" i="1"/>
  <c r="C506" i="1"/>
  <c r="I472" i="1"/>
  <c r="I475" i="1" s="1"/>
  <c r="I457" i="1"/>
  <c r="I440" i="1"/>
  <c r="H442" i="1"/>
  <c r="I439" i="1" s="1"/>
  <c r="I442" i="1" s="1"/>
  <c r="I421" i="1"/>
  <c r="I424" i="1" s="1"/>
  <c r="J193" i="1"/>
  <c r="J196" i="1" s="1"/>
  <c r="I193" i="1"/>
  <c r="I196" i="1" s="1"/>
  <c r="I168" i="1"/>
  <c r="I171" i="1" s="1"/>
  <c r="J158" i="1"/>
  <c r="J161" i="1" s="1"/>
  <c r="I158" i="1"/>
  <c r="I161" i="1" s="1"/>
  <c r="E41" i="1"/>
  <c r="C1096" i="1"/>
  <c r="O1075" i="1"/>
  <c r="O1055" i="1"/>
  <c r="O1025" i="1"/>
  <c r="O1028" i="1" s="1"/>
  <c r="N1008" i="1"/>
  <c r="O1005" i="1" s="1"/>
  <c r="O1008" i="1" s="1"/>
  <c r="P1005" i="1" s="1"/>
  <c r="O958" i="1"/>
  <c r="O961" i="1" s="1"/>
  <c r="N961" i="1"/>
  <c r="N907" i="1"/>
  <c r="P904" i="1" s="1"/>
  <c r="N886" i="1"/>
  <c r="I746" i="1"/>
  <c r="J671" i="1"/>
  <c r="J674" i="1" s="1"/>
  <c r="I671" i="1"/>
  <c r="I674" i="1" s="1"/>
  <c r="B560" i="1"/>
  <c r="C557" i="1" s="1"/>
  <c r="C560" i="1" s="1"/>
  <c r="D557" i="1" s="1"/>
  <c r="D560" i="1" s="1"/>
  <c r="E557" i="1" s="1"/>
  <c r="E560" i="1" s="1"/>
  <c r="F557" i="1" s="1"/>
  <c r="F560" i="1" s="1"/>
  <c r="G557" i="1" s="1"/>
  <c r="G560" i="1" s="1"/>
  <c r="H557" i="1" s="1"/>
  <c r="H560" i="1" s="1"/>
  <c r="I557" i="1" s="1"/>
  <c r="B542" i="1"/>
  <c r="C539" i="1" s="1"/>
  <c r="C542" i="1" s="1"/>
  <c r="D539" i="1" s="1"/>
  <c r="D542" i="1" s="1"/>
  <c r="E539" i="1" s="1"/>
  <c r="E542" i="1" s="1"/>
  <c r="F539" i="1" s="1"/>
  <c r="F542" i="1" s="1"/>
  <c r="G539" i="1" s="1"/>
  <c r="G542" i="1" s="1"/>
  <c r="H539" i="1" s="1"/>
  <c r="H542" i="1" s="1"/>
  <c r="I539" i="1" s="1"/>
  <c r="H520" i="1"/>
  <c r="H523" i="1" s="1"/>
  <c r="G520" i="1"/>
  <c r="G523" i="1" s="1"/>
  <c r="F520" i="1"/>
  <c r="F523" i="1" s="1"/>
  <c r="E520" i="1"/>
  <c r="E523" i="1" s="1"/>
  <c r="D520" i="1"/>
  <c r="D523" i="1" s="1"/>
  <c r="C520" i="1"/>
  <c r="C523" i="1" s="1"/>
  <c r="B520" i="1"/>
  <c r="B523" i="1" s="1"/>
  <c r="N340" i="1"/>
  <c r="N343" i="1" s="1"/>
  <c r="N324" i="1"/>
  <c r="N327" i="1" s="1"/>
  <c r="N274" i="1"/>
  <c r="N277" i="1" s="1"/>
  <c r="I238" i="1"/>
  <c r="I241" i="1" s="1"/>
  <c r="C605" i="1"/>
  <c r="D602" i="1" s="1"/>
  <c r="D605" i="1" s="1"/>
  <c r="E602" i="1" s="1"/>
  <c r="E605" i="1" s="1"/>
  <c r="F602" i="1" s="1"/>
  <c r="F605" i="1" s="1"/>
  <c r="G602" i="1" s="1"/>
  <c r="G605" i="1" s="1"/>
  <c r="B605" i="1"/>
  <c r="C817" i="1"/>
  <c r="C820" i="1" s="1"/>
  <c r="B820" i="1"/>
  <c r="H817" i="1"/>
  <c r="H820" i="1" s="1"/>
  <c r="E817" i="1"/>
  <c r="E820" i="1" s="1"/>
  <c r="G817" i="1" s="1"/>
  <c r="G820" i="1" s="1"/>
  <c r="E633" i="1"/>
  <c r="D633" i="1"/>
  <c r="I776" i="1"/>
  <c r="I779" i="1" s="1"/>
  <c r="F1269" i="1"/>
  <c r="G1266" i="1" s="1"/>
  <c r="G1269" i="1" s="1"/>
  <c r="H1266" i="1" s="1"/>
  <c r="H1249" i="1"/>
  <c r="F1252" i="1"/>
  <c r="H1234" i="1"/>
  <c r="G1603" i="1"/>
  <c r="G1606" i="1" s="1"/>
  <c r="F1606" i="1"/>
  <c r="E1606" i="1"/>
  <c r="N1025" i="1"/>
  <c r="N1028" i="1" s="1"/>
  <c r="I388" i="1"/>
  <c r="I391" i="1" s="1"/>
  <c r="J717" i="1"/>
  <c r="J720" i="1" s="1"/>
  <c r="N290" i="1"/>
  <c r="N293" i="1" s="1"/>
  <c r="J1110" i="1"/>
  <c r="J1113" i="1" s="1"/>
  <c r="H122" i="1"/>
  <c r="H125" i="1" s="1"/>
  <c r="H107" i="1"/>
  <c r="H110" i="1" s="1"/>
  <c r="H89" i="1"/>
  <c r="H92" i="1" s="1"/>
  <c r="G1297" i="1"/>
  <c r="G1300" i="1" s="1"/>
  <c r="F1297" i="1"/>
  <c r="F1300" i="1" s="1"/>
  <c r="E1297" i="1"/>
  <c r="E1300" i="1" s="1"/>
  <c r="D1297" i="1"/>
  <c r="D1300" i="1" s="1"/>
  <c r="C1297" i="1"/>
  <c r="C1300" i="1" s="1"/>
  <c r="B1297" i="1"/>
  <c r="B1300" i="1" s="1"/>
  <c r="E1252" i="1"/>
  <c r="G1249" i="1" s="1"/>
  <c r="G1252" i="1" s="1"/>
  <c r="D1252" i="1"/>
  <c r="C1252" i="1"/>
  <c r="B1252" i="1"/>
  <c r="G1113" i="1"/>
  <c r="H1113" i="1"/>
  <c r="N1075" i="1"/>
  <c r="N1055" i="1"/>
  <c r="M1028" i="1"/>
  <c r="M961" i="1"/>
  <c r="D424" i="1"/>
  <c r="C424" i="1"/>
  <c r="C207" i="1"/>
  <c r="E204" i="1" s="1"/>
  <c r="E207" i="1" s="1"/>
  <c r="C1835" i="1"/>
  <c r="C1838" i="1" s="1"/>
  <c r="D1835" i="1" s="1"/>
  <c r="D1838" i="1" s="1"/>
  <c r="E1838" i="1"/>
  <c r="F1835" i="1"/>
  <c r="F1838" i="1" s="1"/>
  <c r="G1835" i="1"/>
  <c r="G1838" i="1" s="1"/>
  <c r="B1835" i="1"/>
  <c r="B1838" i="1" s="1"/>
  <c r="G1822" i="1"/>
  <c r="G1825" i="1" s="1"/>
  <c r="F1822" i="1"/>
  <c r="F1825" i="1" s="1"/>
  <c r="E1822" i="1"/>
  <c r="E1825" i="1" s="1"/>
  <c r="D1822" i="1"/>
  <c r="D1825" i="1" s="1"/>
  <c r="C1822" i="1"/>
  <c r="C1825" i="1" s="1"/>
  <c r="B1822" i="1"/>
  <c r="B1825" i="1" s="1"/>
  <c r="B1808" i="1"/>
  <c r="C1805" i="1" s="1"/>
  <c r="C1808" i="1" s="1"/>
  <c r="D1805" i="1" s="1"/>
  <c r="D1808" i="1" s="1"/>
  <c r="E1805" i="1" s="1"/>
  <c r="E1808" i="1" s="1"/>
  <c r="F1805" i="1" s="1"/>
  <c r="F1808" i="1" s="1"/>
  <c r="G1805" i="1" s="1"/>
  <c r="G1808" i="1" s="1"/>
  <c r="H1805" i="1" s="1"/>
  <c r="H1808" i="1" s="1"/>
  <c r="I1805" i="1" s="1"/>
  <c r="G1785" i="1"/>
  <c r="E1751" i="1"/>
  <c r="F1751" i="1"/>
  <c r="G1731" i="1"/>
  <c r="H1553" i="1"/>
  <c r="H671" i="1"/>
  <c r="H674" i="1" s="1"/>
  <c r="F1464" i="1"/>
  <c r="F1463" i="1" s="1"/>
  <c r="F1466" i="1" s="1"/>
  <c r="G238" i="1"/>
  <c r="G241" i="1" s="1"/>
  <c r="F1406" i="1"/>
  <c r="F1409" i="1" s="1"/>
  <c r="G1234" i="1"/>
  <c r="G1237" i="1" s="1"/>
  <c r="F1234" i="1"/>
  <c r="F1237" i="1" s="1"/>
  <c r="H1205" i="1"/>
  <c r="G1205" i="1"/>
  <c r="H1193" i="1"/>
  <c r="H1171" i="1"/>
  <c r="H1174" i="1" s="1"/>
  <c r="H1133" i="1"/>
  <c r="H1123" i="1"/>
  <c r="J1120" i="1" s="1"/>
  <c r="J1123" i="1" s="1"/>
  <c r="G759" i="1"/>
  <c r="G779" i="1"/>
  <c r="C705" i="1"/>
  <c r="H746" i="1"/>
  <c r="I731" i="1"/>
  <c r="I734" i="1" s="1"/>
  <c r="H734" i="1"/>
  <c r="D702" i="1"/>
  <c r="D705" i="1" s="1"/>
  <c r="J689" i="1"/>
  <c r="J692" i="1" s="1"/>
  <c r="I689" i="1"/>
  <c r="I692" i="1" s="1"/>
  <c r="H661" i="1"/>
  <c r="J658" i="1"/>
  <c r="J661" i="1" s="1"/>
  <c r="F1525" i="1"/>
  <c r="F1528" i="1" s="1"/>
  <c r="G1525" i="1"/>
  <c r="G1528" i="1" s="1"/>
  <c r="E1525" i="1"/>
  <c r="E1528" i="1" s="1"/>
  <c r="D1525" i="1"/>
  <c r="D1528" i="1" s="1"/>
  <c r="C1525" i="1"/>
  <c r="C1528" i="1" s="1"/>
  <c r="N982" i="1"/>
  <c r="N985" i="1" s="1"/>
  <c r="O982" i="1" s="1"/>
  <c r="O985" i="1" s="1"/>
  <c r="P982" i="1" s="1"/>
  <c r="F1377" i="1"/>
  <c r="F1380" i="1" s="1"/>
  <c r="G1377" i="1"/>
  <c r="G1380" i="1" s="1"/>
  <c r="E1377" i="1"/>
  <c r="E1380" i="1" s="1"/>
  <c r="D1377" i="1"/>
  <c r="D1380" i="1" s="1"/>
  <c r="C1377" i="1"/>
  <c r="C1380" i="1" s="1"/>
  <c r="D1373" i="1"/>
  <c r="C1373" i="1"/>
  <c r="H472" i="1"/>
  <c r="H475" i="1" s="1"/>
  <c r="G442" i="1"/>
  <c r="G391" i="1"/>
  <c r="H388" i="1"/>
  <c r="H391" i="1" s="1"/>
  <c r="H503" i="1"/>
  <c r="H506" i="1" s="1"/>
  <c r="H488" i="1"/>
  <c r="H491" i="1" s="1"/>
  <c r="H457" i="1"/>
  <c r="H460" i="1" s="1"/>
  <c r="H421" i="1"/>
  <c r="H424" i="1" s="1"/>
  <c r="L372" i="1"/>
  <c r="L375" i="1" s="1"/>
  <c r="L356" i="1"/>
  <c r="L359" i="1" s="1"/>
  <c r="L340" i="1"/>
  <c r="L343" i="1" s="1"/>
  <c r="M340" i="1"/>
  <c r="M343" i="1" s="1"/>
  <c r="M324" i="1"/>
  <c r="M327" i="1" s="1"/>
  <c r="L327" i="1"/>
  <c r="L310" i="1"/>
  <c r="N307" i="1" s="1"/>
  <c r="N310" i="1" s="1"/>
  <c r="L293" i="1"/>
  <c r="M274" i="1"/>
  <c r="M277" i="1" s="1"/>
  <c r="O274" i="1" s="1"/>
  <c r="L277" i="1"/>
  <c r="H238" i="1"/>
  <c r="H241" i="1" s="1"/>
  <c r="D25" i="1"/>
  <c r="C25" i="1"/>
  <c r="B871" i="1"/>
  <c r="H193" i="1"/>
  <c r="H196" i="1" s="1"/>
  <c r="H168" i="1"/>
  <c r="H171" i="1" s="1"/>
  <c r="H158" i="1"/>
  <c r="H161" i="1" s="1"/>
  <c r="D41" i="1"/>
  <c r="E22" i="1"/>
  <c r="E25" i="1" s="1"/>
  <c r="G1543" i="1"/>
  <c r="J1359" i="1"/>
  <c r="J1358" i="1" s="1"/>
  <c r="J1361" i="1" s="1"/>
  <c r="I1359" i="1"/>
  <c r="I1358" i="1" s="1"/>
  <c r="I1361" i="1" s="1"/>
  <c r="I1343" i="1"/>
  <c r="I1345" i="1"/>
  <c r="I1310" i="1"/>
  <c r="B1218" i="1"/>
  <c r="C1215" i="1" s="1"/>
  <c r="C1218" i="1" s="1"/>
  <c r="D1215" i="1" s="1"/>
  <c r="D1218" i="1" s="1"/>
  <c r="E1215" i="1" s="1"/>
  <c r="E1218" i="1" s="1"/>
  <c r="F1215" i="1" s="1"/>
  <c r="F1218" i="1" s="1"/>
  <c r="G1215" i="1" s="1"/>
  <c r="G1218" i="1" s="1"/>
  <c r="H1215" i="1" s="1"/>
  <c r="H1218" i="1" s="1"/>
  <c r="I1215" i="1" s="1"/>
  <c r="K930" i="1"/>
  <c r="K933" i="1" s="1"/>
  <c r="L930" i="1" s="1"/>
  <c r="L933" i="1" s="1"/>
  <c r="M930" i="1" s="1"/>
  <c r="M933" i="1" s="1"/>
  <c r="N930" i="1" s="1"/>
  <c r="N933" i="1" s="1"/>
  <c r="O930" i="1" s="1"/>
  <c r="O933" i="1" s="1"/>
  <c r="H930" i="1"/>
  <c r="H933" i="1" s="1"/>
  <c r="I930" i="1" s="1"/>
  <c r="I933" i="1" s="1"/>
  <c r="J930" i="1" s="1"/>
  <c r="J933" i="1" s="1"/>
  <c r="D1449" i="1"/>
  <c r="D1452" i="1" s="1"/>
  <c r="C1449" i="1"/>
  <c r="C1452" i="1" s="1"/>
  <c r="E1449" i="1" s="1"/>
  <c r="E1452" i="1" s="1"/>
  <c r="G158" i="1"/>
  <c r="G161" i="1" s="1"/>
  <c r="F796" i="1"/>
  <c r="F799" i="1" s="1"/>
  <c r="G796" i="1" s="1"/>
  <c r="G799" i="1" s="1"/>
  <c r="H796" i="1" s="1"/>
  <c r="H799" i="1" s="1"/>
  <c r="I796" i="1" s="1"/>
  <c r="I799" i="1" s="1"/>
  <c r="J796" i="1" s="1"/>
  <c r="F779" i="1"/>
  <c r="E779" i="1"/>
  <c r="D779" i="1"/>
  <c r="C776" i="1"/>
  <c r="C779" i="1" s="1"/>
  <c r="B776" i="1"/>
  <c r="B779" i="1" s="1"/>
  <c r="F759" i="1"/>
  <c r="E756" i="1"/>
  <c r="D756" i="1"/>
  <c r="D759" i="1" s="1"/>
  <c r="C756" i="1"/>
  <c r="C759" i="1" s="1"/>
  <c r="B756" i="1"/>
  <c r="B759" i="1" s="1"/>
  <c r="B1359" i="1"/>
  <c r="B1358" i="1" s="1"/>
  <c r="B1343" i="1"/>
  <c r="B1342" i="1" s="1"/>
  <c r="B293" i="1"/>
  <c r="B171" i="1"/>
  <c r="B41" i="1"/>
  <c r="H1142" i="1"/>
  <c r="H1145" i="1" s="1"/>
  <c r="G503" i="1"/>
  <c r="G506" i="1" s="1"/>
  <c r="G488" i="1"/>
  <c r="G491" i="1" s="1"/>
  <c r="F491" i="1"/>
  <c r="F475" i="1"/>
  <c r="G472" i="1"/>
  <c r="G475" i="1" s="1"/>
  <c r="F460" i="1"/>
  <c r="G457" i="1"/>
  <c r="G460" i="1" s="1"/>
  <c r="F424" i="1"/>
  <c r="G421" i="1"/>
  <c r="G424" i="1" s="1"/>
  <c r="G406" i="1"/>
  <c r="G409" i="1" s="1"/>
  <c r="I406" i="1" s="1"/>
  <c r="I409" i="1" s="1"/>
  <c r="F406" i="1"/>
  <c r="F409" i="1" s="1"/>
  <c r="H406" i="1" s="1"/>
  <c r="K375" i="1"/>
  <c r="M372" i="1"/>
  <c r="M375" i="1" s="1"/>
  <c r="K359" i="1"/>
  <c r="M356" i="1" s="1"/>
  <c r="M359" i="1" s="1"/>
  <c r="K343" i="1"/>
  <c r="K327" i="1"/>
  <c r="K307" i="1"/>
  <c r="K310" i="1" s="1"/>
  <c r="M307" i="1" s="1"/>
  <c r="M310" i="1" s="1"/>
  <c r="M290" i="1"/>
  <c r="M293" i="1" s="1"/>
  <c r="J293" i="1"/>
  <c r="C293" i="1"/>
  <c r="D293" i="1"/>
  <c r="E293" i="1"/>
  <c r="F293" i="1"/>
  <c r="G293" i="1"/>
  <c r="I290" i="1" s="1"/>
  <c r="I293" i="1" s="1"/>
  <c r="K290" i="1" s="1"/>
  <c r="K293" i="1" s="1"/>
  <c r="H293" i="1"/>
  <c r="G587" i="1"/>
  <c r="G590" i="1" s="1"/>
  <c r="H587" i="1"/>
  <c r="H590" i="1" s="1"/>
  <c r="F587" i="1"/>
  <c r="F590" i="1" s="1"/>
  <c r="E587" i="1"/>
  <c r="E590" i="1" s="1"/>
  <c r="D587" i="1"/>
  <c r="D590" i="1" s="1"/>
  <c r="C587" i="1"/>
  <c r="C590" i="1" s="1"/>
  <c r="G579" i="1"/>
  <c r="F1509" i="1"/>
  <c r="F1512" i="1" s="1"/>
  <c r="H1509" i="1" s="1"/>
  <c r="H1512" i="1" s="1"/>
  <c r="D1512" i="1"/>
  <c r="G193" i="1"/>
  <c r="G196" i="1" s="1"/>
  <c r="C193" i="1"/>
  <c r="C196" i="1" s="1"/>
  <c r="D193" i="1"/>
  <c r="D196" i="1" s="1"/>
  <c r="E193" i="1"/>
  <c r="E196" i="1" s="1"/>
  <c r="B193" i="1"/>
  <c r="B196" i="1" s="1"/>
  <c r="F193" i="1"/>
  <c r="F196" i="1" s="1"/>
  <c r="C185" i="1"/>
  <c r="D185" i="1"/>
  <c r="B185" i="1"/>
  <c r="G182" i="1"/>
  <c r="G185" i="1" s="1"/>
  <c r="F182" i="1"/>
  <c r="F185" i="1" s="1"/>
  <c r="E182" i="1"/>
  <c r="E185" i="1" s="1"/>
  <c r="G171" i="1"/>
  <c r="F171" i="1"/>
  <c r="E171" i="1"/>
  <c r="D171" i="1"/>
  <c r="C171" i="1"/>
  <c r="D1483" i="1"/>
  <c r="E1481" i="1"/>
  <c r="E1480" i="1" s="1"/>
  <c r="E1483" i="1" s="1"/>
  <c r="E1464" i="1"/>
  <c r="E1463" i="1" s="1"/>
  <c r="E1466" i="1" s="1"/>
  <c r="H1359" i="1"/>
  <c r="H1310" i="1"/>
  <c r="F1785" i="1"/>
  <c r="E1785" i="1"/>
  <c r="D1785" i="1"/>
  <c r="C1785" i="1"/>
  <c r="D1751" i="1"/>
  <c r="F1731" i="1"/>
  <c r="E1731" i="1"/>
  <c r="C41" i="1"/>
  <c r="G1193" i="1"/>
  <c r="G1174" i="1"/>
  <c r="G1145" i="1"/>
  <c r="F1145" i="1"/>
  <c r="G1133" i="1"/>
  <c r="G1123" i="1"/>
  <c r="G746" i="1"/>
  <c r="F746" i="1"/>
  <c r="E746" i="1"/>
  <c r="D734" i="1"/>
  <c r="G734" i="1"/>
  <c r="E734" i="1"/>
  <c r="H717" i="1"/>
  <c r="H720" i="1" s="1"/>
  <c r="G720" i="1"/>
  <c r="I717" i="1" s="1"/>
  <c r="I720" i="1" s="1"/>
  <c r="G661" i="1"/>
  <c r="I658" i="1"/>
  <c r="I661" i="1" s="1"/>
  <c r="G647" i="1"/>
  <c r="I644" i="1" s="1"/>
  <c r="I647" i="1" s="1"/>
  <c r="K644" i="1" s="1"/>
  <c r="D1409" i="1"/>
  <c r="E1406" i="1"/>
  <c r="E1409" i="1" s="1"/>
  <c r="G1556" i="1"/>
  <c r="G1554" i="1"/>
  <c r="F1556" i="1"/>
  <c r="F1554" i="1"/>
  <c r="F1543" i="1"/>
  <c r="F138" i="1"/>
  <c r="F141" i="1" s="1"/>
  <c r="E138" i="1"/>
  <c r="E141" i="1" s="1"/>
  <c r="D141" i="1"/>
  <c r="C141" i="1"/>
  <c r="F122" i="1"/>
  <c r="F125" i="1" s="1"/>
  <c r="E122" i="1"/>
  <c r="E125" i="1" s="1"/>
  <c r="D125" i="1"/>
  <c r="C125" i="1"/>
  <c r="D110" i="1"/>
  <c r="F107" i="1" s="1"/>
  <c r="F110" i="1" s="1"/>
  <c r="E110" i="1"/>
  <c r="C110" i="1"/>
  <c r="D92" i="1"/>
  <c r="C92" i="1"/>
  <c r="E89" i="1" s="1"/>
  <c r="E92" i="1" s="1"/>
  <c r="G1310" i="1"/>
  <c r="F1310" i="1"/>
  <c r="E1310" i="1"/>
  <c r="D1310" i="1"/>
  <c r="F579" i="1"/>
  <c r="H576" i="1" s="1"/>
  <c r="H579" i="1" s="1"/>
  <c r="E579" i="1"/>
  <c r="D579" i="1"/>
  <c r="D1359" i="1"/>
  <c r="D1358" i="1" s="1"/>
  <c r="D1361" i="1" s="1"/>
  <c r="E1359" i="1" s="1"/>
  <c r="E1358" i="1" s="1"/>
  <c r="E1361" i="1" s="1"/>
  <c r="H1358" i="1"/>
  <c r="H1361" i="1" s="1"/>
  <c r="F1358" i="1"/>
  <c r="F1361" i="1" s="1"/>
  <c r="D1345" i="1"/>
  <c r="C1343" i="1"/>
  <c r="C1342" i="1" s="1"/>
  <c r="D472" i="1"/>
  <c r="C1308" i="1"/>
  <c r="C1307" i="1" s="1"/>
  <c r="C1310" i="1" s="1"/>
  <c r="B1308" i="1"/>
  <c r="B1307" i="1" s="1"/>
  <c r="B1310" i="1" s="1"/>
  <c r="C1543" i="1"/>
  <c r="D1543" i="1"/>
  <c r="E1543" i="1"/>
  <c r="C1642" i="1" l="1"/>
  <c r="C1645" i="1" s="1"/>
  <c r="C1345" i="1"/>
  <c r="E1343" i="1" s="1"/>
  <c r="E1342" i="1" s="1"/>
  <c r="E1345" i="1" s="1"/>
  <c r="F1343" i="1" s="1"/>
  <c r="F1342" i="1" s="1"/>
  <c r="F1345" i="1" s="1"/>
  <c r="G1343" i="1" s="1"/>
  <c r="G1342" i="1" s="1"/>
  <c r="G1345" i="1" s="1"/>
  <c r="H1343" i="1" s="1"/>
  <c r="H1342" i="1" s="1"/>
  <c r="H1345" i="1" s="1"/>
  <c r="B1345" i="1"/>
  <c r="D1343" i="1" s="1"/>
  <c r="D817" i="1"/>
  <c r="D820" i="1" s="1"/>
  <c r="F817" i="1" s="1"/>
  <c r="F820" i="1" s="1"/>
</calcChain>
</file>

<file path=xl/sharedStrings.xml><?xml version="1.0" encoding="utf-8"?>
<sst xmlns="http://schemas.openxmlformats.org/spreadsheetml/2006/main" count="2467" uniqueCount="970">
  <si>
    <t>MAROC</t>
  </si>
  <si>
    <t>Stock :</t>
  </si>
  <si>
    <t>Unités: t</t>
  </si>
  <si>
    <t>Année</t>
  </si>
  <si>
    <t>Limite</t>
  </si>
  <si>
    <t>Limite ajustée (A)</t>
  </si>
  <si>
    <t>Formule *</t>
  </si>
  <si>
    <t>Prise (B)</t>
  </si>
  <si>
    <t>Solde (A-B)</t>
  </si>
  <si>
    <t>Année d'ajustement**</t>
  </si>
  <si>
    <t>Décrire la raison utilisée dans l'application de la sur/sous-consommation</t>
  </si>
  <si>
    <t>Pavillon :</t>
  </si>
  <si>
    <t>Flag:</t>
  </si>
  <si>
    <t>SYRIA</t>
  </si>
  <si>
    <t>Stock:</t>
  </si>
  <si>
    <t>Units: t</t>
  </si>
  <si>
    <t>Year</t>
  </si>
  <si>
    <t>Limit</t>
  </si>
  <si>
    <t>Adjusted limit (A)</t>
  </si>
  <si>
    <t>Formula *</t>
  </si>
  <si>
    <t>Catch (B)</t>
  </si>
  <si>
    <t>Balance (A-B)</t>
  </si>
  <si>
    <t>Adjustment year**</t>
  </si>
  <si>
    <t>Describe the rationale used in the application of overage / underage:</t>
  </si>
  <si>
    <t>Pabellón:</t>
  </si>
  <si>
    <t>MEXICO</t>
  </si>
  <si>
    <t>Unidades: t</t>
  </si>
  <si>
    <t>Año</t>
  </si>
  <si>
    <t>Límite</t>
  </si>
  <si>
    <t>Límite ajustado (A)</t>
  </si>
  <si>
    <t>Fórmula *</t>
  </si>
  <si>
    <t>Captura (B)</t>
  </si>
  <si>
    <t>Saldo (A-B)</t>
  </si>
  <si>
    <t>Año de ajuste**</t>
  </si>
  <si>
    <t>Describir la lógica utilizada en la aplicación de los excesos/remanentes:</t>
  </si>
  <si>
    <t>2010=95t+47.5t-(86.5t to Canada for 2011) por Rec. 08-04</t>
  </si>
  <si>
    <t xml:space="preserve">Desembarque </t>
  </si>
  <si>
    <t>Saldo</t>
  </si>
  <si>
    <t>TUNISIE</t>
  </si>
  <si>
    <t>EUROPEAN UNION</t>
  </si>
  <si>
    <t>Limit+Balance 2012-20</t>
  </si>
  <si>
    <t>Limit*1.25</t>
  </si>
  <si>
    <t>Limit+2014 balance</t>
  </si>
  <si>
    <t>Limit 2017 + 25%  2015 limit</t>
  </si>
  <si>
    <t>Limit 2018 +  2016 balance</t>
  </si>
  <si>
    <t>Limit 2019 +   2017 balance</t>
  </si>
  <si>
    <t>Limit 2020 +   2018 balance</t>
  </si>
  <si>
    <t>NA</t>
  </si>
  <si>
    <t>1470+249</t>
  </si>
  <si>
    <t>Limit 2016 + 25%  2014 limit</t>
  </si>
  <si>
    <t>Limit 2018 + 25%  2016 limit</t>
  </si>
  <si>
    <t>Limit 2019 + 25%  2017 limit</t>
  </si>
  <si>
    <t>Limit 2020 + 25%  2018 limit</t>
  </si>
  <si>
    <t>(Limit*1.25)-470-40</t>
  </si>
  <si>
    <t>(Limit*1.25)-450-50</t>
  </si>
  <si>
    <t>(Limit*1.15)-40-295</t>
  </si>
  <si>
    <t>(2017 limit + 0,15*2015 limit)-300</t>
  </si>
  <si>
    <t>(2018 limit + 0,15*2016 limit)-40-300</t>
  </si>
  <si>
    <t>(2019 limit + 0,15*2017 limit)-40-300</t>
  </si>
  <si>
    <t>Limit +2012 balance</t>
  </si>
  <si>
    <t>Limit + 2013 balance</t>
  </si>
  <si>
    <t>Limit + 2014 balance</t>
  </si>
  <si>
    <t>Limit 2017 +  2015 balance</t>
  </si>
  <si>
    <t xml:space="preserve">Limit 2018 + 2016 balance </t>
  </si>
  <si>
    <t xml:space="preserve">Limit 2019 + 2017 balance </t>
  </si>
  <si>
    <t xml:space="preserve">Limit 2020 +  2018 balance </t>
  </si>
  <si>
    <t>BET</t>
  </si>
  <si>
    <t>Limit*1.3</t>
  </si>
  <si>
    <t>Limit 2016+Limit 2014*0.3</t>
  </si>
  <si>
    <t>Limit 2017+Limit 2015*0.15</t>
  </si>
  <si>
    <t>Limit 2018+Limit 2016*0.15</t>
  </si>
  <si>
    <t>Limit 2019 + 2017 balance</t>
  </si>
  <si>
    <t> 2020</t>
  </si>
  <si>
    <t> 2021</t>
  </si>
  <si>
    <t>BUM</t>
  </si>
  <si>
    <t>2016 Limit + Balance 2014</t>
  </si>
  <si>
    <t>2017 limit + 0.5*Balance 2015</t>
  </si>
  <si>
    <t>2018 limit + 0.5*Balance 2015 + 0,1*2016 limit</t>
  </si>
  <si>
    <t>2019 Limit + 0.1*2017 limit</t>
  </si>
  <si>
    <t>WHM</t>
  </si>
  <si>
    <t>2016 limit +0.5*Balance 2014</t>
  </si>
  <si>
    <t>2017 limit +0.5*Balance 2014</t>
  </si>
  <si>
    <t>2018 limit +0.33*Balance 2015</t>
  </si>
  <si>
    <t>2019 limit +0.33 Balance 2015</t>
  </si>
  <si>
    <t>2020 limit + 0,33*Balance 2015 +0.10*limit 2018</t>
  </si>
  <si>
    <t>CHINESE TAIPEI</t>
  </si>
  <si>
    <t>=3271.7*(1+25%)-100-200</t>
    <phoneticPr fontId="2" type="noConversion"/>
  </si>
  <si>
    <t>=3926+655.62-100-200</t>
    <phoneticPr fontId="2" type="noConversion"/>
  </si>
  <si>
    <t>Regarding Rec.17-04 amends para.4 of Rec.16-06, Chinese Taipei is allocated 3926 t as its 2019 initial catch quota.</t>
    <phoneticPr fontId="2" type="noConversion"/>
  </si>
  <si>
    <t>=9400+2106.75</t>
    <phoneticPr fontId="2" type="noConversion"/>
  </si>
  <si>
    <t>=9400+2350</t>
    <phoneticPr fontId="2" type="noConversion"/>
  </si>
  <si>
    <t>2019 adjusted quota is 11750.00 t (=9400+2350), which was approved by the Commission at the 21st Special Meeting.</t>
    <phoneticPr fontId="2" type="noConversion"/>
  </si>
  <si>
    <t>=270*(1+50%)-35</t>
    <phoneticPr fontId="2" type="noConversion"/>
  </si>
  <si>
    <t>=270*(1+40%)-35</t>
    <phoneticPr fontId="2" type="noConversion"/>
  </si>
  <si>
    <t>Regarding Rec.17-02 replacing Rec.16-03, Chinese Taipei may carryover to the maximum of 40% of its 2017 underage in 2019.</t>
    <phoneticPr fontId="2" type="noConversion"/>
  </si>
  <si>
    <t>=459+128.9</t>
    <phoneticPr fontId="2" type="noConversion"/>
  </si>
  <si>
    <t>=459+76.9</t>
    <phoneticPr fontId="2" type="noConversion"/>
  </si>
  <si>
    <t>=459+57.9</t>
    <phoneticPr fontId="2" type="noConversion"/>
  </si>
  <si>
    <t>Regarding Rec.17-03 replaceing Rec.16-04, Chinese Taipei may carryover to the maximum of 20% of its 2018 underage in 2019.</t>
    <phoneticPr fontId="2" type="noConversion"/>
  </si>
  <si>
    <t>=48.76-10</t>
    <phoneticPr fontId="2" type="noConversion"/>
  </si>
  <si>
    <t>=58.28-10</t>
    <phoneticPr fontId="2" type="noConversion"/>
  </si>
  <si>
    <t>=69.97-10</t>
    <phoneticPr fontId="2" type="noConversion"/>
  </si>
  <si>
    <t>=79-50</t>
    <phoneticPr fontId="2" type="noConversion"/>
  </si>
  <si>
    <t>=84-50</t>
    <phoneticPr fontId="2" type="noConversion"/>
  </si>
  <si>
    <t>2019 adjusted quota is 34 t (=84-50) due to a transfer of 50 t to Korea.</t>
    <phoneticPr fontId="2" type="noConversion"/>
  </si>
  <si>
    <t>=15583*(1+30%)-70</t>
    <phoneticPr fontId="2" type="noConversion"/>
  </si>
  <si>
    <t>=11679+(15583*30%)</t>
    <phoneticPr fontId="2" type="noConversion"/>
  </si>
  <si>
    <t>=11679+(15583*15%)</t>
    <phoneticPr fontId="2" type="noConversion"/>
  </si>
  <si>
    <t>=11679*(1+15%)+223</t>
    <phoneticPr fontId="2" type="noConversion"/>
  </si>
  <si>
    <t>2019 adjusted quota is 13653.85 t (=11679+11679*15%+223) due to the underage of 2017 exceeding 15% of 2019 initial catch limit and a transfer of 223 t from Korea.</t>
    <phoneticPr fontId="2" type="noConversion"/>
  </si>
  <si>
    <t>=150*(1+10%)</t>
    <phoneticPr fontId="2" type="noConversion"/>
  </si>
  <si>
    <t>2019 adjusted quota is 165t (=150+150*10%) due to the underage of 2017 exceeding 15% of 2019 initial catch limit.</t>
    <phoneticPr fontId="2" type="noConversion"/>
  </si>
  <si>
    <t>=50*(1+10%)</t>
    <phoneticPr fontId="2" type="noConversion"/>
  </si>
  <si>
    <t>2019 adjusted quota is 55t (=50+50*10%) due to the underage of 2017 exceeding 10% of 2019 initial catch limit.</t>
    <phoneticPr fontId="2" type="noConversion"/>
  </si>
  <si>
    <t>USA</t>
  </si>
  <si>
    <t>* Adjusted limit = initial limit + available balance (not to exceed 25% of initial quota)</t>
  </si>
  <si>
    <t>Adjusted limit for 2016 = 527 +131.75 = 658.75 t</t>
  </si>
  <si>
    <t>Adjusted limit for 2017 = 527 +131.75 = 658.75 t</t>
  </si>
  <si>
    <t>Adjusted limit for 2018 = 632.4 +131.75 = 764.15***</t>
  </si>
  <si>
    <t>Adjusted limit for 2019 = 632.4 +158.1 = 790.5</t>
  </si>
  <si>
    <t>* Adjusted limit = (initial limit) - (any transfers) + (underharvest from previous year (capped at 15% of baseline))</t>
  </si>
  <si>
    <t>Adjusted limit for 2017 = 3907.0 - (25 t to Mauritania) + (0.15)(3907) = 4468.05 t</t>
  </si>
  <si>
    <t>Adjusted limit for 2018 = 3907.0 + (0.15)(3907) = 4493.05 t</t>
  </si>
  <si>
    <t>Adjusted limit for 2019 = 3907.0 + (0.15)(3907) = 4493.05 t</t>
  </si>
  <si>
    <t>* Adjusted limit = (initial limit) - (any transfers) + (underharvest from previous year (capped at 100 t WW))</t>
  </si>
  <si>
    <t>Adjusted limit for 2017 = 100.0 - (100 t (Namibia (50 t), Cote d'Ivoire (25 t), Belize (25 t)) + 99.94</t>
  </si>
  <si>
    <t>Adjusted limit for 2018 = 100.0 - (100 t (Namibia (50 t), Cote d'Ivoire (25 t), Belize (25 t)) + 99.94</t>
  </si>
  <si>
    <t>Adjusted limit for 2019 = 100.0 - (100 t (Namibia (50 t), Cote d'Ivoire (25 t), Belize (25 t)) + 99.94</t>
  </si>
  <si>
    <t>Adjusted limit for 2016 = 1083.79 + (.1)(1083.79) = 1192.17 t</t>
  </si>
  <si>
    <t>Adjusted limit for 2017 = 1083.79 + (.1)(1083.79) = 1192.17 t</t>
  </si>
  <si>
    <t>Adjusted limit for 2018 = 1272.86 + (.1)(1083.79) = 1381.24 t***</t>
  </si>
  <si>
    <t>Adjusted limit for 2019 = 1272.86 + (.1)(1272.86) = 1400.15 t</t>
  </si>
  <si>
    <t>(200/4)+200</t>
  </si>
  <si>
    <t>(200-184.4)+200</t>
  </si>
  <si>
    <t>(200*0.25)+200</t>
  </si>
  <si>
    <t xml:space="preserve">Underage up to 25% of the initial catch quota has been carried over biennially. </t>
  </si>
  <si>
    <t>-</t>
  </si>
  <si>
    <t>(150*0.25)+140</t>
  </si>
  <si>
    <t>(140*0.25)+140</t>
  </si>
  <si>
    <t>50-4.4</t>
  </si>
  <si>
    <t>50+15.34</t>
  </si>
  <si>
    <t>50+(50*0.5)</t>
  </si>
  <si>
    <t>50+10.7</t>
  </si>
  <si>
    <t>50-2.63</t>
  </si>
  <si>
    <t>50+(50*0.3)</t>
  </si>
  <si>
    <t>(1983*0.3)+1983-20</t>
  </si>
  <si>
    <t>(1983*0.3)+1486</t>
  </si>
  <si>
    <t>(1486*0.15)+1486</t>
  </si>
  <si>
    <t xml:space="preserve">20 tons of Bigeye catch quota had been annually transferred to Ghana until 2015.  </t>
  </si>
  <si>
    <t>(35*0.2)+35</t>
  </si>
  <si>
    <t>Underage up to 20% of the initial catch quota has been carried over to following year.</t>
  </si>
  <si>
    <t>(20*0.2)+20</t>
  </si>
  <si>
    <t>Units : t</t>
  </si>
  <si>
    <t>CHINA</t>
  </si>
  <si>
    <t>Describe the rationale used in the application of over-underharvest:</t>
  </si>
  <si>
    <t>Adjusted Lmit=initial limt +available balance(not to exceed 25% of initial quota)</t>
  </si>
  <si>
    <t>Adjusted limit for 2019=initial quota(200)+200*25%(not exceeding the balance of 2017)=220.05</t>
    <phoneticPr fontId="2" type="noConversion"/>
  </si>
  <si>
    <t>NOTE:pay back plan for the over-harvest of 2015: pay back 12t in 2017, pay back 12t in 2018, pay back 12.726t in 2019</t>
    <phoneticPr fontId="2" type="noConversion"/>
  </si>
  <si>
    <t>Adjusted Lmit=initial limt +available balance(not to exceed 30%of initial quota)</t>
    <phoneticPr fontId="2" type="noConversion"/>
  </si>
  <si>
    <t>Adjusted Lmit=initial limt +available balance(not to exceed 15% of initial quota)</t>
    <phoneticPr fontId="2" type="noConversion"/>
  </si>
  <si>
    <t>Adjusted limite for 2019=initial quota(5376)+5376*15%+1000 ton transfer from japan=7182.4</t>
    <phoneticPr fontId="2" type="noConversion"/>
  </si>
  <si>
    <t>n.a.</t>
  </si>
  <si>
    <t>No adjustment for 2015</t>
  </si>
  <si>
    <t>Adjusted limit for 2019=initial quota(10)+10*20%=12</t>
  </si>
  <si>
    <t>Insuffisance d'activité lié au déploiement de l'armement</t>
  </si>
  <si>
    <t>BRAZIL</t>
  </si>
  <si>
    <t>BELIZE</t>
  </si>
  <si>
    <t>Limit + Underages + Transfer</t>
  </si>
  <si>
    <t xml:space="preserve">2016 = Initial allocation + transfers (from Senegal 125t, Japan 35t, Chinese Taipe 35t, and the EU 295t) + underage from 2014 (202.2t - max. carry forward) </t>
  </si>
  <si>
    <t xml:space="preserve">2017 = Initial allocation + transfers (from Senegal 150t, Japan 35t, Chinese Taipe 35t, and the EU 300t) + underage from 2015 (202.2t - max. carry forward) </t>
  </si>
  <si>
    <t>2018 = Initial allocation + transfers (from Senegal 150t, Japan 35t, Chinese Taipe 35t, and the EU 300t) + underage from 2016 (202.2t - max. carry forward)</t>
  </si>
  <si>
    <t>CANADA</t>
  </si>
  <si>
    <t>TRINIDAD&amp;TOBAGO</t>
  </si>
  <si>
    <t>JAPAN</t>
  </si>
  <si>
    <t xml:space="preserve">JAPAN-N-ALB:is to endeavour to limit North Albacore catches to no more than 4% of its total bigeye tuna catch. </t>
  </si>
  <si>
    <t>For reference</t>
  </si>
  <si>
    <t>% (N-ALB/BET)</t>
  </si>
  <si>
    <t>Year:</t>
  </si>
  <si>
    <t>Catch</t>
  </si>
  <si>
    <t>Describe the rationale used in the application of overage / underage</t>
  </si>
  <si>
    <t xml:space="preserve">JAPAN-S-ALB up to 2013: is to endeavour to limit its total South Albacore catches to no more than 4% of its total bigeye tuna catch in South of 5 degrees North. </t>
  </si>
  <si>
    <t xml:space="preserve">JAPAN-S-ALB: 2014 adjusted limit included 50t transferred from Namibia, 220t transferred from Uruguay and 100t transferred from  Brazil
. </t>
  </si>
  <si>
    <t xml:space="preserve">JAPAN-S-ALB: 2015 adjusted limit included 100t transferred from Brazil amd 100t transferred from South Africa.
. </t>
  </si>
  <si>
    <t>JAPAN-S-ALB: 2016 adjusted limit included 25% of the original limit as carry-over from 2014 underage[Rec.13-06]</t>
  </si>
  <si>
    <t>JAPAN-S-ALB: 2017 adjusted limit included 100t transferred from Brazil amd 100t transferred from Uruguay.[Rec.16-07]</t>
  </si>
  <si>
    <t>JAPAN-S-ALB: 2018 adjusted limit included 100t transferred from Brazil amd 100t transferred from Uruguay.[Rec.16-07]</t>
  </si>
  <si>
    <t>JAPAN-N-SWO: adjusted limit in 2011 excluded 50 t transfered to Morocco. [Rec. 10-02].</t>
  </si>
  <si>
    <t>JAPAN-N-SWO: adjusted limit in 2012 and 2013 excluded 50 t transfered to Morocco, and 35 transferred to Canada. [Rec. 11-02].</t>
  </si>
  <si>
    <t>JAPAN-N-SWO: adjusted limit in 2014, 2015 and 2016 excluded 50 t transfered to Morocco, and 35 transferred to Canada, and 25 transferred to Mauritania. [Rec. 13-02].</t>
  </si>
  <si>
    <t>JAPAN-N-SWO: adjusted limit in 2017 excluded 100 t transfered to Morocco, and 35 transferred to Canada, and 25 transferred to Mauritania. [Rec. 16-03].</t>
  </si>
  <si>
    <t>JAPAN-N-SWO: underage may be added to the subsequent years' catch limits. [Rec. 13-02][Rec. 16-03].</t>
  </si>
  <si>
    <t>JAPAN-N-SWO:400 t of its swordfish catch taken from the South Atlantic management area was counted against its uncaught catch limits in 2015.[Rec.13-02]</t>
  </si>
  <si>
    <t>JAPAN-E-BFT: adjusted quota in 2015 included 45t transferred from Korea.[Rec.14-04]</t>
  </si>
  <si>
    <t>JAPAN-E-BFT: adjusted quota in 2016 excluded 25 t transfered to Korea.[Rec.14-04]</t>
  </si>
  <si>
    <t>JAPAN-E-BFT: adjusted quota in 2017 excluded 20 t transfered to Korea.[Rec.14-04]</t>
  </si>
  <si>
    <t>JAPAN-E-BFT: Current catch for 2017 includes 5.3 t of dead discard as reported in Task I data.</t>
  </si>
  <si>
    <t xml:space="preserve">JAPAN-BIGEYE: adjusted limit of Japan in 2011excludes 3000 t transferred to China and 800 t transferred to Korea [Rec. 10-01].  </t>
  </si>
  <si>
    <t xml:space="preserve">JAPAN-BIGEYE: adjusted limit of Japan in 2012,2013, and 2014 excluded 3000 t transferred to China and 70 t transferred to Ghana [Rec. 11-01].  </t>
  </si>
  <si>
    <t>JAPAN-BUM: the 2015 adjusted limit included 10% of the initial limit as carry-over from 2013 underage[Rec.12-04]</t>
  </si>
  <si>
    <t>JAPAN-BUM: the 2016 adjusted limit included 10% of the initial limit as carry-over from 2014 underage[Rec.15-05].</t>
  </si>
  <si>
    <t xml:space="preserve">Figures up to 2012 are for only White Marlin[Rec.6-9 &amp; 11-07] </t>
  </si>
  <si>
    <t>Figures from 2013 are for both White Marlin and Spearfish[Rec.12-04]</t>
  </si>
  <si>
    <t>BARBADOS</t>
  </si>
  <si>
    <t xml:space="preserve">Stock: </t>
  </si>
  <si>
    <t xml:space="preserve">Flag: </t>
  </si>
  <si>
    <t>SOUTH AFRICA</t>
  </si>
  <si>
    <t>*Belize is carrying forward its underages of 1.56t of its unused catch limit in 2017 to be used in 2019</t>
  </si>
  <si>
    <t xml:space="preserve">*Belize is carrying forward 25% of its initial catch limit (62.5t) from its balance of 93.47t in 2017 to be used in 2019 </t>
  </si>
  <si>
    <t>*Belize is carrying forward 40% of its initial catch limit (65t) from its balance of 197.92t in 2017 to be used in 2019.</t>
  </si>
  <si>
    <t>*Belize is carrying forward 20% of its initial catch limit (25t) from its balance of 108.99t in 2017 to be used in 2019.</t>
  </si>
  <si>
    <t>JAPAN-W-BFT:The underharvest may be added to next year to 10% of the initial quota allocation[Rec.13-09、14-05、17-06]</t>
  </si>
  <si>
    <t>Japan's 2019 adjusted limit = 17,696(Limit)+2,654.4(2018 carry over(17696*15%)(Para8 of Rec16-01)-1000(transfer to China(Para7 of Rec.16-01))-70(transfer to Ghana(Para7 of Rec.16-01))</t>
  </si>
  <si>
    <t>JAPAN-WHM・SPF: the 2015 adjusted limit included 20% of the initial limit as carry-over from 2013 underage[Rec.12-04]</t>
  </si>
  <si>
    <t>JAPAN-WHM・SPF: the 2016 adjusted limit included 20% of the initial limit as carry-over from 2014 underage[Rec.12-04][Rec.15-05]</t>
  </si>
  <si>
    <t>JAPAN-WHM・SPF: the 2017 adjusted limit included 20% of the initial limit as carry-over from 2015 underage[Rec.12-04][Rec.15-05]</t>
  </si>
  <si>
    <t>(1486*0.15)+1486-223</t>
  </si>
  <si>
    <t>(1486*0.15)+1486 - 223</t>
  </si>
  <si>
    <t>SENEGAL</t>
  </si>
  <si>
    <t xml:space="preserve">Déficit de collecte au niveau des sites de débarquement de la pêche artisanale. </t>
  </si>
  <si>
    <t>le calcul du quota ajusté 2019 prend en compte le solde  MAX de 2018 (Limite 2018 * 0.2 = 417*0.2=83.4) auquel est ajouté la limite 2019 (417 t) ce qui donne (83.4+417=500.4) t</t>
  </si>
  <si>
    <t>Japan's 2018 adjusted limit = BET 2018 catch * 4%(Para6 of Rec16-06)</t>
    <phoneticPr fontId="11"/>
  </si>
  <si>
    <t>JAPAN-S-ALB: adjusted limit from 2019 to 2020 included 100t transferred from Brazil amd 100t transferred from South Africa [Rec.16-07].</t>
    <phoneticPr fontId="5" type="noConversion"/>
  </si>
  <si>
    <t>JAPAN-S-ALB: Japan's underage in 2016 was carried over to the 2018 initial limit [Rec.16-07]</t>
    <phoneticPr fontId="11"/>
  </si>
  <si>
    <t>JAPAN-S-ALB: Japan's overage in 2017 was deducted from the 2019 initial limit [Rec.16-07]</t>
    <phoneticPr fontId="11"/>
  </si>
  <si>
    <t>JAPAN-S-ALB: Japan's underage in 2018 was carried over to the 2020 initial limit [Rec.16-07]</t>
    <phoneticPr fontId="11"/>
  </si>
  <si>
    <t>Japan's 2019 adjusted limit = 1355t(Limit)-418.7t(2017 overage(Para5 of Rec16-07))+100t(transfer from Brasil (Para3 of Rec.16-07))+100t(transfer from S.Africa(Para3 of Rec.16-07))+800t(transfer from S.Africa(circular#888/2019))</t>
    <phoneticPr fontId="11"/>
  </si>
  <si>
    <t>JAPAN-N-SWO: As Mauritania did not submit its North Atlantic Swordfish development plan in 2018, the transfers provided for in Rec.17-02 are considered null.</t>
    <phoneticPr fontId="5" type="noConversion"/>
  </si>
  <si>
    <t>JAPAN-N-SWO: adjusted limit from 2019 to 2020 excluded 100t transfered to Morocco, and 35t transferred to Canada , and 25t transferred to Mauritania [Rec. 17-02].</t>
    <phoneticPr fontId="5" type="noConversion"/>
  </si>
  <si>
    <t>Japan's 2019 adjusted limit = 901t(Limit)+340.2t(2017 carry over(Para1(3) of Rec17-03)-50t(transfer to Namibia(Para5 of Rec.17-03))</t>
    <phoneticPr fontId="11"/>
  </si>
  <si>
    <t>Japan's 2020 adjusted limit  = 901t(Limit)+600t(2018 carry over(Para1(3) of Rec17-03))-50t(transfer to Namibia(Para5 of Rec.17-03))</t>
    <phoneticPr fontId="11"/>
  </si>
  <si>
    <t>JAPAN-E-BFT: current catch for 2018 includes 7.42 t of dead discard.</t>
    <phoneticPr fontId="5" type="noConversion"/>
  </si>
  <si>
    <t>Japan's 2019 adjusted limit = 2544.00t(Limit)(Para5 of Rec18-02)</t>
    <phoneticPr fontId="11"/>
  </si>
  <si>
    <t>JAPAN-W-BFT: current catch for 2018 includes 1.10 t of dead discard.</t>
    <phoneticPr fontId="5" type="noConversion"/>
  </si>
  <si>
    <t>Japan's 2018 adjusted limit =15415.88(It was deducted by the "pay back" provision  in para 2(a) of Rec 16-01.)</t>
    <phoneticPr fontId="11"/>
  </si>
  <si>
    <t>JAPAN-BIGEYE: current catch for 2018 includes 26.09 t of dead discard.</t>
    <phoneticPr fontId="5" type="noConversion"/>
  </si>
  <si>
    <t>JAPAN-BIGEYE: the 2015 adjusted limit included 30% of the initial limit as carry-over from 2014 underage and excluded 3000 t  transferred to China and 70 t transferred to Ghana [Rec. 14-01].</t>
  </si>
  <si>
    <t>JAPAN-BIGEYE: the 2016 adjusted limit included 30% of the initial limit as carry-over from 2015 underage and excluded 1000 t transferred to China and 70 t transferred to Ghana. [Rec. 14-01][Rec.15-01]</t>
  </si>
  <si>
    <t>JAPAN-BIGEYE: the 2017 adjusted limit included 15% of the initial limit as carry-over from 2016 underage and excluded 1000 t  transferred to China and 70 t transferred to Ghana [Rec. 16-01]</t>
  </si>
  <si>
    <t>JAPAN-BIGEYE: the 2018 adjusted limit included 15% of the initial limit as carry-over from 2017 underage and excluded 1000 t  transferred to China and 70 t transferred to Ghana [Rec. 16-01]</t>
  </si>
  <si>
    <t>JAPAN-BUM: the 2017 adjusted limit included 10% of the initial limit as carry-over from 2015 underage[Rec.15-05].</t>
    <phoneticPr fontId="11"/>
  </si>
  <si>
    <t>Japan's 2018 adjusted limit = 390t(Limt)+16.6t(2016 carry over(Para3 of Rec15-05))</t>
    <phoneticPr fontId="11"/>
  </si>
  <si>
    <t>Japan's 2018 adjusted limit =35t(Limt)+7t(2016 carry over(35*20%)(Para3 of Rec15-05))</t>
    <phoneticPr fontId="11"/>
  </si>
  <si>
    <t>2017*</t>
  </si>
  <si>
    <t>2018**</t>
  </si>
  <si>
    <t>2019**</t>
  </si>
  <si>
    <t>50+(50*0.4)</t>
  </si>
  <si>
    <t>CÔTE D'IVOIRE</t>
  </si>
  <si>
    <t>200+(200*0.5)</t>
  </si>
  <si>
    <t>200+(200*0.4)</t>
  </si>
  <si>
    <t>GHANA</t>
  </si>
  <si>
    <t>*transfer of 200t from Chinese Taipei to Belize in 2019 and 2020.</t>
  </si>
  <si>
    <t>Les prises accessoires n'ont pas encore été arretées ,</t>
  </si>
  <si>
    <t>*Belize is carrying forward its underages of 1.98t of its unused catch limit in 2018 to be used in 2020.</t>
  </si>
  <si>
    <t>*transfer of 75t from Trinidad &amp; Tobago to Belize in 2019 and 2020.</t>
  </si>
  <si>
    <t>*Belize is carrying forward 40% of its initial catch limit (52t) from its balance of 111.68t in 2018 to be used in 2020.</t>
  </si>
  <si>
    <t>*Belize is carrying forward 20% of its initial catch limit (25t) from its balance of 172.28t in 2018 to be used in 2020.</t>
  </si>
  <si>
    <t>*transfer of 25t from the United States of America to Belize in 2019 and 2020.</t>
  </si>
  <si>
    <t>*transfer of 50t from Brazil to Belize in 2019 and 2020.</t>
  </si>
  <si>
    <t>*transfer of 50t from Uruguay to Belize in 2019 and 2020.</t>
  </si>
  <si>
    <t>EL SALVADOR</t>
  </si>
  <si>
    <t>2019: The 2018 underage is greater than the maximum amount that can be carried over to 2019 (&lt;= 40% of original catch limit); hence the amount carried over is 50 t (0.4*125).
Additionally, 75 t were transferred to Belize; hence 75 is subtracted from the sum of the initial catch limit and the allowed carry over, to arrive at the final adjusted limit of 100 t.</t>
  </si>
  <si>
    <t>NORWAY</t>
  </si>
  <si>
    <t>MIN((A-B), 5% * A)</t>
  </si>
  <si>
    <t>According to Recommendation 19-04 paragraph 5, Norway was initially  allocated a quota of 300 tonnes eastern BFT in 2020. Referring to Recommendation 19-04 Paragraph 7, Norway requested in panel 2 to transfer a maximum of 5 % of its 2019 quota to 2020. A total of 49,3 tonnes of the Norwegian catch quota (239 tonnes) was utilised in 2019, and 11,95 tonnes (5 % of 239 tonnes) may, according to Paragraph 7, be transferred to 2020.</t>
  </si>
  <si>
    <t>Limit 2021 + 25%  2019 limit</t>
  </si>
  <si>
    <t xml:space="preserve">Limit 2021 +  2019 balance </t>
  </si>
  <si>
    <t>Limit 2020 + 2018 balance + 300¹ t</t>
  </si>
  <si>
    <t>Limit 2021 + 2019 balance</t>
  </si>
  <si>
    <t>2020 Limit + 0.1*2018 limit - 2t</t>
  </si>
  <si>
    <t>2021 Limit + 0.1*2019 limit -2t</t>
  </si>
  <si>
    <t>2021 limit + 0.10*limit 2019</t>
  </si>
  <si>
    <t>JAPAN-N-ALB:Japan's 2019 adjusted limit = BET 2019 catch * 4% (Para6 of Rec16-06)</t>
  </si>
  <si>
    <t>JAPAN-S-ALB: Japan's underage in 2019 was carried over to the 2021 initial limit [Rec.16-07]</t>
  </si>
  <si>
    <t>JAPAN-E-BFT: current catch for 2019 includes  9.25t of dead discard.</t>
  </si>
  <si>
    <t>JAPAN-E-BFT:Japan's 2020 adjusted limit = 2819.00t(Limit)(Para5 of Rec19-04)+20.27t(2019 carry over (Para7 of Rec 19-04))</t>
  </si>
  <si>
    <t>JAPAN-W-BFT:Japan's 2019 adjusted limit = 407.48t(Limit)+1.73t(2018 carry over(Para7a of Rec17-06 )</t>
  </si>
  <si>
    <t>JAPAN-W-BFT: current catch for 2019 includes 0.21 t of dead discard.</t>
  </si>
  <si>
    <t>JAPAN-W-BFT:Japan's 2020 adjusted limit = 407.48t(Limit)+2.92t(2019 carry over(Para7a of Rec17-06 )</t>
  </si>
  <si>
    <t>JAPAN-BIGEYE: current catch for 2019 includes  14.10t of dead discard.</t>
  </si>
  <si>
    <t>JAPAN-BIGEYE: Adjusted catch limit for 2017 does not take into account of the “pay back” stipulated in para 2(a) of Rec 16-01.</t>
  </si>
  <si>
    <t>JAPAN-BUM:Japan's 2019 adjusted limit = 390t(Limit)+39t(2017 carry over(390*10%)(Para3 of Rec15-05))</t>
  </si>
  <si>
    <t>JAPAN-BUM:Japan's 2020 adjusted limit = 328.1t(Limit)+39t(2018 carry over(390*10%)(Para3 of Rec18-04))</t>
  </si>
  <si>
    <t>JAPAN-BUM:Japan's 2021 adjusted limit = 328.1t(Limit)+39t(2019 carry over(390*10%)(Para3 of Rec18-04))</t>
  </si>
  <si>
    <t>JAPAN-WHM・SPF:Japan's 2019 adjusted limit =35t(Limit)+7t(2017 carry over(35*20%)(Para3 of Rec15-05))</t>
  </si>
  <si>
    <t>JAPAN-WHM・SPF:Japan's 2020 adjusted limit =35t(Limit)+7t(2018 carry over(35*20%)(Para3 of Rec18-04))</t>
  </si>
  <si>
    <t>JAPAN-WHM・SPF:Japan's 2021 adjusted limit =35t(Limit)+7t(2019 carry over(35*20%)(Para3 of Rec18-04))</t>
  </si>
  <si>
    <t>8.36+140</t>
  </si>
  <si>
    <t>2020**</t>
  </si>
  <si>
    <t>50+(50*0.2)</t>
  </si>
  <si>
    <t>Until 2016, underage up to 30% of the initial catch quota was carried over to the following year.</t>
  </si>
  <si>
    <t>Since 2017, underage up to 15% of the initial catch quota was carried over to the following year.</t>
  </si>
  <si>
    <t>113.66+25+25</t>
  </si>
  <si>
    <t>136.46+25+20</t>
  </si>
  <si>
    <t>160+50</t>
  </si>
  <si>
    <t>184+50</t>
  </si>
  <si>
    <t>200+50+1.57</t>
  </si>
  <si>
    <t>In 2016, Egypt and Japan transferred 25t of their quota to Korea respectively.</t>
  </si>
  <si>
    <t>In 2017, Egypt and Japan transferred 25t and 20t of their quota to Korea respectively.</t>
  </si>
  <si>
    <t>Since 2018, Chinese Taipei transferred 50t of its quota to Korea every year.</t>
  </si>
  <si>
    <t xml:space="preserve">Korea carried forward its unused quota of 2019(1.57t) to 2020. </t>
  </si>
  <si>
    <t>(35*0.2)+29.4</t>
  </si>
  <si>
    <t>45+(0.4 x 45)=18t</t>
  </si>
  <si>
    <t>Adjusted limit for 2020 = 632.4 +158.1 = 790.5</t>
  </si>
  <si>
    <t>Adjusted limit for 2020 = 3907.0 + (0.15)(3907) = 4493.05 t</t>
  </si>
  <si>
    <t>Adjusted limit for 2020 = 100.0 - (100 t (Namibia (50 t), Cote d'Ivoire (25 t), Belize (25 t)) + 99.94</t>
  </si>
  <si>
    <t>Adjusted limit for 2020 = 1272.86 + (.1)(1272.86) = 1400.15 t</t>
  </si>
  <si>
    <t>2019= (70)+(3)</t>
  </si>
  <si>
    <t>2015=(25)+(-5)+(5)</t>
  </si>
  <si>
    <t>2016=(25)+(-1)</t>
  </si>
  <si>
    <t>2017=No se aplican modificaciones</t>
  </si>
  <si>
    <t>2018=(25)+(4)</t>
  </si>
  <si>
    <t>2019= (25) + (5), 20% Cuota (25t)</t>
  </si>
  <si>
    <t>2015=(70)+(-15)</t>
  </si>
  <si>
    <t>2016=(70)+(-17)+(3)</t>
  </si>
  <si>
    <t>2017=(70)+(-9)</t>
  </si>
  <si>
    <t>2018=(70)+(1)</t>
  </si>
  <si>
    <t>le calcul du quota ajusté 2020 prend en compte le solde  MAX de 2019 (Limite 2019 * 0.2 = 417*0.2=83.4) auquel est ajouté la limite 2020 417 t) ce qui donne (83.4+417=500.4) t</t>
  </si>
  <si>
    <t>200+(0.25*200)</t>
  </si>
  <si>
    <t>2160+(0.25*2160)</t>
  </si>
  <si>
    <t>2160+(0.25*2160)-100</t>
  </si>
  <si>
    <t>2017-2019: 100t transferred to Japan</t>
  </si>
  <si>
    <t>50+(0.5*50)</t>
  </si>
  <si>
    <t>50+(0.5*50)-25</t>
  </si>
  <si>
    <t>50+(0.4*50)-25</t>
  </si>
  <si>
    <t xml:space="preserve">These limits do not apply to Brazil, since Paragraph 9, of Reccomendation 19-05 establishes that: "For CPCs that prohibit dead discards, the landings of blue marlin and white marlin/spearfish that are dead when brought alongside the vessel and that are not sold or entered into commerce shall not count against the limits established in paragraph 2, on the condition that such prohibition be clearly explained in their Annual Report". Brazil prohibited dead discards and selling of white marlins by Normative Instruction 12, of July 14, 2005. </t>
  </si>
  <si>
    <t>3940+(0.3*3940)-50</t>
  </si>
  <si>
    <t>3940+(0.2*3940)-50</t>
  </si>
  <si>
    <t>* Adjusted limit 2019 = initial limit 2019 (4400) + available balance 2017 (not to exceed 25% of initial quota) (1100) - 900t transferred to Japan</t>
  </si>
  <si>
    <t>* Adjusted limit 2020 = initial limit 2020 (4400) + available balance 2018(not to exceed 25% of initial quota) (1100) - 600t transferred to Japan</t>
  </si>
  <si>
    <t>*Adjusted Limit=initial limt +available balance(not to exceed 25% of initial quota)</t>
  </si>
  <si>
    <t>50 + Balance 2018</t>
  </si>
  <si>
    <t>USA: the 2016-2020 adjusted quota reflects transfers to Namibia (50 t), Belize (25 t) and Côte d'Ivoire (25 t) in accordance with Rec. 16-04/17-03.</t>
  </si>
  <si>
    <t>*Underage up to 30% of the initial catch quota has been carried over biennially Rec.15-03 and 16-04. Quota calculated up to 2017</t>
  </si>
  <si>
    <t>**Underage up to 20% of the initial catch quota has been carried over biennially Rec.17-03. Quota calculated from 2018 on</t>
  </si>
  <si>
    <t>125+(125*0.3)</t>
  </si>
  <si>
    <t>125+(125*0.3)+25</t>
  </si>
  <si>
    <t>125+(125*0.2)+25</t>
  </si>
  <si>
    <t>CHINA: In accordance with paragraph 4b of Rec. 16-07, the 25 percent carryover request made by China at the 2017 regular meeting of the Commission has been completed using their underage from 2016 of 30.63 t and 19.37 t of the total underage of the TAC from 2016.</t>
  </si>
  <si>
    <t>Adjusted limit for 2020=initial quota(200)+200*25%(not exceeding the balance of 2018)=250</t>
  </si>
  <si>
    <t>Adjusted limit for 2019=initial quota(100)-12.726(payback quota)+available balance of 2017 (6.69t)=93.964</t>
  </si>
  <si>
    <t>Adjusted limit for 2019=initial quota(313)+313*20%(carryover 2017)=326.76</t>
  </si>
  <si>
    <t>Adjusted limit for 2020=initial quota(313)+313*20%(carryover 2018)= 313+37.05</t>
  </si>
  <si>
    <t>Adjusted limit for 2019=initial limit (45) + available balance of 2017 (not exceeding 20% of 45)=50.27</t>
  </si>
  <si>
    <t>Adjusted limit for 2020=initial limit (37.90) + available balance of 2018 (not exceeding 20% of 37.90)= 41.34t</t>
  </si>
  <si>
    <t>Adjusted limit for 2020=initial quota(10)+10*20%=12</t>
  </si>
  <si>
    <t>Regarding Rec.17-04 amends para.4 of Rec.16-06, Chinese Taipei is allocated 3926 t as its 2020 initial catch quota.</t>
  </si>
  <si>
    <t>2020 adjusted quota is 11550.00 t (=9400*(1+0.25)-200) due to the inclusion of 2018 underage and 2020 initial catch quota and the deduction of transfer of 200t to Japan</t>
  </si>
  <si>
    <t>=9400+2350-200</t>
  </si>
  <si>
    <t>JAPAN-S-ALB: 2020 adjusted limit = 1,355 t(Limit)+239.25 t(2018 carry over (para 4b of Rec. 16-07))+99.5t(complement from underage from the total TAC(Para4b of Rec.16-07)))+100 t(transfer from Brasil (para 3 of Rec. 16-07))+100 t(transfer from S.Africa(para 3 of Rec. 16-07))+500t(transfer from S.Africa (circular#1304/2020))+200t(transfer from Chinese Taipei  (circular#4313/2020))+100t(transfer from Brazil (circular#4498/2020))</t>
  </si>
  <si>
    <t>2019 adjusted quota is 343 t (=270+270*40%-35) due to the underage of 2017 exceeding 40% of 2019 initial catch quota and a transfer of 35 t to Canada.</t>
  </si>
  <si>
    <t>Pursuant to Rec.17-02, Chinese Taipei may carryover to the maximum of 40% of its 2018 underage in 2020.</t>
  </si>
  <si>
    <t>2020 adjusted quota is 323 t (=270+270*40%-35-20) due to the inclusion of 2018 underage and 2020 initial catch quota and the deduction of respective transfers of 35 t to Canada and 20 t to Morocco.</t>
  </si>
  <si>
    <t>=270*(1+40%)-35-20</t>
  </si>
  <si>
    <t>=459*(1+20%)</t>
  </si>
  <si>
    <t>According to Rec.17-03, Chinese Taipei may carryover to the maximum of 20% of its 2019 underage in 2020.</t>
  </si>
  <si>
    <t>2020 adjusted quota is 550.8 t (=459*(1+20%)) due to the inclusion of 2019 underage and 2020 initial catch quota.</t>
  </si>
  <si>
    <t>=90-50</t>
  </si>
  <si>
    <t>2020 adjusted quota is 40 t (=90-50) due to a transfer of 50 t to Korea.</t>
  </si>
  <si>
    <t>2020 adjusted quota is 11201.26 t = 9226.41 (initial quota) + 11679*15% (carry over of 15% of 2018 initial quota pursuant to Rec.16-01) +223 (transfer from Korea)</t>
  </si>
  <si>
    <t>=126.20+150(10%)</t>
  </si>
  <si>
    <t xml:space="preserve">2020 adjusted quota is 141.2 t = 126.2 (initial landing limit in 2020) + 150*10% (2018 carry over pursuant to Rec. 18-04) </t>
  </si>
  <si>
    <t>2020 adjusted quota is 55 t = 50 (initial landing limit in 2020) + 50*10% (2018 carry over pursuant to Rec. 18-04.)</t>
  </si>
  <si>
    <t>FRANCE SPM</t>
  </si>
  <si>
    <t xml:space="preserve">Pas de navire </t>
  </si>
  <si>
    <t>1 : limite 2015 + 50% quota original + 40 tonnes transférées de l'Union Européenne (REC 13-02)</t>
  </si>
  <si>
    <t>2 : limite 2016 + 50% quota original + 40 tonnes transférées de l'Union Européenne (REC 13-02)</t>
  </si>
  <si>
    <t>3 : limite 2017 + 50% limite de capture initiale + 40 tonnes transférées de l'Union Européenne     (REC 13-02 et REC 16-03) + 12,75 tonnes transférées du Vénézuela (accord sur la base de l'article 6     "transferts" de la recommandation 2016 ICCAT sur la préservation de l'espadon de   l'Atlantique Nord : en vertu du paragraphe 2, le Vénézuela peut transférer à la France SPM     15% de son allocation soit 85tx15%=12,75t)=40+(40*0.5)+40+12.75=112.75</t>
  </si>
  <si>
    <t>4 : limite 2018 + 40% limite de capture initiale (Rec.16-03) + 40 tonnes transférées de l'Union Européenne (REC 17-02)+ 12,75 tonnes transférées du Vénézuela (REC 17-02)=40+(40*0.4)+40+12.75=108.75</t>
  </si>
  <si>
    <t>5 : limite 2019 + 40% limite de capture initiale (Rec.16-03) + 40 tonnes transférées de l'Union Européenne (REC 17-02)+ 12,75 tonnes transférées du Vénézuela (REC 17-02)=40+(40*0.4)+40+12.75=108.75</t>
  </si>
  <si>
    <t>6 : limite 2020 + 40% limite de capture initiale (Rec.16-03) + 40 tonnes transférées de l'Union Européenne (REC 17-02)+ 12,75 tonnes transférées du Vénézuela (REC 17-02)=40+(40*0.4)+40+12.75=108.75</t>
  </si>
  <si>
    <t>1 : limite 2015 + 100% quota de capture initial (REC 12-02)</t>
  </si>
  <si>
    <t>2 : limite 2016 + 100% quota de capture initial (REC 14-05)</t>
  </si>
  <si>
    <t>3 : limite 2017 + Solde 2016</t>
  </si>
  <si>
    <t>4 : limite 2018 + solde 2017</t>
  </si>
  <si>
    <t>*Belize is carrying forward 25% of its initial catch limit 2018 (25% 200t = 50t) from its balance of 64.86t in 2018 to be used in 2020.</t>
  </si>
  <si>
    <t>215+(0.25*200)</t>
  </si>
  <si>
    <t>Adjusted limited for 2019=215(initial quota)+200*25%(carryover 2017)=265</t>
  </si>
  <si>
    <t>Adjusted limited for 2020=215(initial quota)+200*25%(carryover 2018)=265</t>
  </si>
  <si>
    <t>RUSSIA</t>
  </si>
  <si>
    <t xml:space="preserve">JAPAN-BIGEYE:Japan's 2020 adjusted limit is 13,079.84t (after transferring 600t to China and 300t to EU). </t>
  </si>
  <si>
    <t>=459+100.9</t>
  </si>
  <si>
    <t>=459+87.80</t>
  </si>
  <si>
    <t>2019 adjusted quota is 546.8 t (=459+87.80) due to the inclusion of 2018 underage.</t>
  </si>
  <si>
    <t>SAINT VINCENT AND THE GRENADINES</t>
  </si>
  <si>
    <t>=200-1.51+100</t>
  </si>
  <si>
    <t>=200+100</t>
  </si>
  <si>
    <t>=200*(1+25% (máx 6.89 from 2016))+100</t>
  </si>
  <si>
    <t>* Adjusted limit = initial limit + available balance (not to exceed 25% of initial quota of the year where the adjustment comes)</t>
  </si>
  <si>
    <t>Japan's 2015 adjusted limit = 842t(Limit)+842*15%-50t(transfer to Morocco(Para2 of Rec.17-02))-35t(transfer to Canada(Para2 of Rec.17-02))-25t(transfer to Mauritania(Para2 of Rec.17-02))</t>
  </si>
  <si>
    <t>Japan's 2016 adjusted limit = 842t(Limit)+406.20 (CO 2015) - 50t(transfer to Morocco(Para2 of Rec.17-02))-35t(transfer to Canada(Para2 of Rec.17-02))-25t(transfer to Mauritania(Para2 of Rec.17-02))</t>
  </si>
  <si>
    <t>Japan's 2017 adjusted limit = 842t(Limit)+740.50 (CO 2016) - 100t(transfer to Morocco(Para2 of Rec.17-02))-35t(transfer to Canada(Para2 of Rec.17-02))-25t(transfer to Mauritania(Para2 of Rec.17-02))</t>
  </si>
  <si>
    <t>Japan's 2018 adjusted limit = 842t(Limit)+842*15%-100t(transfer to Morocco(Para2 of Rec.17-02))-35t(transfer to Canada(Para2 of Rec.17-02))</t>
  </si>
  <si>
    <t>Japan's 2019 adjusted limit = 842t(Limit)+544t(2018 carry over(Para4 of Rec17-02))-100t(transfer to Morocco( Para2 of Rec.17-02))-35t(transfer to Canada(Para2 of Rec.17-02))-25t(transfer to Mauritania(Para2 of Rec.17-02))</t>
  </si>
  <si>
    <t>Japan´s 2020 adjusted limit = 842 t(Limit)+831.01t(2019 carry over(para 4 of Rec. 17-02))-150 t(transfer to Morocco(para 1-a) of Rec. 19-03))-35 t(transfer to Canada(para 2 of Rec. 17-02))-25 t(transfer to Mauritania(para 2 of Rec. 17-02)).</t>
  </si>
  <si>
    <t>2019 = Initial allocation + transfers (from Senegal 125t, Japan 35t, Chinese Taipe 35t, and the EU 300t) + underage from 2017 (202.2t - max. carry forward)</t>
  </si>
  <si>
    <t>=3926+(3271.70*0.25)-200</t>
  </si>
  <si>
    <t>=(3926*1.25)-200</t>
  </si>
  <si>
    <t>2019 adjusted quota is 4443.93 t (=3926+(3271.70*0.25)-200)  due to the inclusion of 2017 underage and 2019 initial catch quota and the transfer of 200 t to Belize.</t>
  </si>
  <si>
    <t>2020 adjusted quota is 4607.5 t (=3926*(1+0.25)-100-200)  due to the inclusion of 2018 underage and 2020 initial catch quota and the deduction of the transfer of 200 t to Belize.</t>
  </si>
  <si>
    <t>=215+25% Quota 2017 (máx 3.80)</t>
  </si>
  <si>
    <t>=215+(MAX. 25% from 2018 quota= 50t)</t>
  </si>
  <si>
    <t>Chinese Taipei has transferred 100t to VCT from 2015 to 2018</t>
  </si>
  <si>
    <t>LIBERIA</t>
  </si>
  <si>
    <t>[1]</t>
  </si>
  <si>
    <t>[2]</t>
  </si>
  <si>
    <t>[3]</t>
  </si>
  <si>
    <t>[4]</t>
  </si>
  <si>
    <t>[1] = 2017 limit + 2016 Balance</t>
  </si>
  <si>
    <t>[2] = 2018 limit + 2017 Balance</t>
  </si>
  <si>
    <t>[3] = 2019 limit + 2018 Balance</t>
  </si>
  <si>
    <t>JAPAN-S-ALB: 2021 adjusted limit = 1,355 t(Limit)+338.75t(2019 carry over(1355*25%) (para 4a of Rec. 16-07))</t>
  </si>
  <si>
    <t>2020=58.9 + (Saldo Máx. 2019 = 10% Q2019) = 58.9 + 7</t>
  </si>
  <si>
    <t>2020= (25) + (5), 20% Cuota (25t)</t>
  </si>
  <si>
    <t>2021= (25) + (5), 20% Cuota (25t)</t>
  </si>
  <si>
    <t>200+(200*0.25)</t>
  </si>
  <si>
    <t>215+(200*0.25)</t>
  </si>
  <si>
    <t>REC: 15-05, 18-04, 19-05</t>
  </si>
  <si>
    <t>*Belize is carrying forward 25% of its initial catch limit 2019 (25% 215t = 53.75t) from its balance of 200.47t in 2019 to be used in 2021. Receiving a transfer of ALB-N from Chinese Taipei: 200t</t>
  </si>
  <si>
    <t>*Belize is carrying forward 25% of its initial catch limit (62.5t) from its balance of 154.36t in 2019 to be used in 2021</t>
  </si>
  <si>
    <t>*Belize intends to use 52t of its underages from 2019 in 2021 (Rec. 17-02, par. 3); receiving a transfer of N-SWO from Trinidad &amp; Tobago: 75t (Rec. 17-02, par.2b).</t>
  </si>
  <si>
    <t>*Belize intends to use 25 t of its underages from 2019 in 2021 (Rec. 17-03, para 2); receiving a transfer of SWO-S from the United States: 25 t, Brazil: 50 t and Uruguay: 50 t (Rec. 17-03, para 5).</t>
  </si>
  <si>
    <t>JAPAN-SWO-S: adjusted limit in 2011, 2012,2013,2014,2015,2016,2017,2018, 2019, 2020 and 2021 excluded 50 t transfered to Namibia. [Rec.09-03][Rec.12-01][Rec.13-03][Rec.15-03][Rec.16-04][Rec.17-03]</t>
  </si>
  <si>
    <t>JAPAN-SWO-S: underage of 2010 may be carried over to 2012 up to 800t. [Rec. 09-03]</t>
  </si>
  <si>
    <t>JAPAN-SWO-S: overage of 2011 shall be deducted from 2013. [Rec. 09-03]</t>
  </si>
  <si>
    <t>JAPAN-SWO-S:Japan's underage in 2012 was carried over to the 2014 initial limit [Rec. 12-01]</t>
  </si>
  <si>
    <t>JAPAN-SWO-S: overage of 2013 shall be deducted from 2015. [Rec. 12-01]</t>
  </si>
  <si>
    <t>JAPAN-SWO-S:Japan's underage in 2014 was carried over to the 2016 initial limit [Rec. 13-03][Rec15-03]</t>
  </si>
  <si>
    <t>JAPAN-SWO-S:Japan's underage in 2015 was carried over to the 2017 initial limit [Rec.16-04]</t>
  </si>
  <si>
    <t>JAPAN-SWO-S:Japan's underage in 2016 was carried over to the 2018 initial limit [Rec.17-03]</t>
  </si>
  <si>
    <t>JAPAN-SWO-S: 400 t of its swordfish catch taken from the part of the South Atlantic management area was counted against its N-SWO uncaught quota in 2015.[Rec.13-02]</t>
  </si>
  <si>
    <t>JAPAN-SWO-S:Japan's 2021 adjusted limit  = 901t(Limit)+529.16t(2019 carry over(Para1(3) of Rec17-03))-50t(transfer to Namibia(Para5 of Rec.17-03))</t>
  </si>
  <si>
    <t>215+(0.25*215)</t>
  </si>
  <si>
    <t>2020: 100 t (transfer to JPN according to Rec.16-07 Para 3) and  100t (transfer to JPN according to circular#4498/2020, Rec.16-07 Para 6)</t>
  </si>
  <si>
    <t>2160+(0.25*2160)-200</t>
  </si>
  <si>
    <t>GUATEMALA</t>
  </si>
  <si>
    <t>GUYANA</t>
  </si>
  <si>
    <t>* As the balance is negative, Adjusted limit (A) = Year Limit + Balance from the previous limit</t>
  </si>
  <si>
    <t>242+(215*0.25)</t>
  </si>
  <si>
    <t>Adjusted limited for 2021=242(initial quota)+215*25%(carryover 2019)=295.75</t>
  </si>
  <si>
    <t>Adjusted limit for 2021=initial quota(200)+200*25%(not exceeding the balance of 2019)=250</t>
  </si>
  <si>
    <t>Adjusted Limit=initial limt +available balance(not to exceed 50% of initial quota)</t>
  </si>
  <si>
    <t>Adjusted limit for 2020=initial quota(100)+available balance of 2018 (3.95t)=103.95</t>
  </si>
  <si>
    <t>Adjusted limit for 2021=initial quota(100)+available balance of 2019 (2.40t)=102.40</t>
  </si>
  <si>
    <t>Adjusted limit for 2021=initial quota(313)+313*20%(carryover 2019)= 313+62.6</t>
  </si>
  <si>
    <t>Adjusted limite for 2020=initial quota(4462.08)+5376*15%+600 ton transfer from Japan=5868.48</t>
  </si>
  <si>
    <t>Adjusted limit for 2021=initial limit (37.90) + available balance of 2019 (not exceeding 20% of 37.90)= 41.77t</t>
  </si>
  <si>
    <t>Adjusted limit for 2021=initial quota(10)+10*20%=12</t>
  </si>
  <si>
    <t>Pursuant to Rec.20-04 and Rec.20-03, Chinese Taipei is allocated 4416.9 t as its 2021 initial catch quota.</t>
  </si>
  <si>
    <t>2021 adjusted quota is 5198.4 t (=4416.9+3926*0.25-200)  due to the inclusion of 2019 underage and 2021 initial catch quota and the deduction of the transfer of 200 t to Belize.</t>
  </si>
  <si>
    <t>=4416.90+(3926*0.25)-200</t>
  </si>
  <si>
    <t>2021 adjusted quota is 11524.00 t (=9400+2124) due to the inclusion of 2019 underage and 2021 initial catch quota</t>
  </si>
  <si>
    <t>=9400+2124</t>
  </si>
  <si>
    <t>Pursuant to Rec.17-02, Chinese Taipei may carryover to the maximum of 40% of its 2019 underage in 2021.</t>
  </si>
  <si>
    <t>2021 adjusted quota is 323 t (=270+270*40%-35-20) due to the inclusion of 2019 underage and 2021 initial catch quota and the deduction of respective transfers of 35 t to Canada and 20 t to Morocco.</t>
  </si>
  <si>
    <t>Pursuant to Rec.17-03, Chinese Taipei may carryover to the maximum of 20% of its 2020 underage in 2021.</t>
  </si>
  <si>
    <t>2021 adjusted quota is 550.8 t (=459*(1+20%)) due to the inclusion of 2020 underage.</t>
  </si>
  <si>
    <t>2021 adjusted quota is 40 t (=90-50) due to a transfer of 50 t to Korea.</t>
  </si>
  <si>
    <t>=9226.41+(11679*15%)+223</t>
  </si>
  <si>
    <t xml:space="preserve">2021 adjusted quota is 141.2 t = 126.2 (initial landing limit in 2021) + 150*10% (2019 carry over pursuant to Rec. 18-04) </t>
  </si>
  <si>
    <t>2021 adjusted quota is 55 t = 50 (initial landing limit in 2021) + 50*10% (2019 carry over pursuant to Rec. 18-04.)</t>
  </si>
  <si>
    <t>NAMIBIA</t>
  </si>
  <si>
    <t>Underage up to 20% of the initial catch quota has been carried over biennially Rec.17-03. Quota calculated from 2018 on</t>
  </si>
  <si>
    <t>*Underage up to 30% of the initial catch quota has been carried over biennially Rec.16-04. Quota calculated up to 2017</t>
  </si>
  <si>
    <t>=1168+30%1168+50+50+50</t>
  </si>
  <si>
    <t>From 2016 to 2021, Japan has transferred 50t to Namibia in accordance with Rec. 16-04/17-03.</t>
  </si>
  <si>
    <t>From 2016 to 2020, South Africa has transferred 50t to Namibia in accordance with Rec. 16-04/17-03.</t>
  </si>
  <si>
    <t>=1168+20%1168+50+50+50</t>
  </si>
  <si>
    <t>JAPAN-N-ALB:Japan's 2020 adjusted limit = BET 2020 catch * 4% (Para6 of Rec16-06)</t>
  </si>
  <si>
    <t>JAPAN-E-BFT: current catch for 2020 includes  8.16t of dead discard.</t>
  </si>
  <si>
    <t>JAPAN-E-BFT:Japan's 2021 adjusted limit = 2819.00t(Limit)(Para1 of Rec20-07)+57.64t(2020 carry over (Para2 of Rec 20-07))</t>
  </si>
  <si>
    <t>JAPAN-W-BFT: current catch for 2020 includes 0.23 t of dead discard.</t>
  </si>
  <si>
    <t>JAPAN-W-BFT:Japan's 2021 adjusted limit = 407.48t(Limit)+2.82t(2020 carry over(Para7a of Rec17-06 )</t>
  </si>
  <si>
    <t>JAPAN-BUM:Japan's 2022 adjusted limit = 328.1t(Limit)</t>
  </si>
  <si>
    <t>* Adjusted limit 2021 = initial limit 2021 (4400) + available balance 2019(not to exceed 25% of initial quota) (197.13)</t>
  </si>
  <si>
    <t>=1001+30%1001-50</t>
  </si>
  <si>
    <t>=1001+20%1001-50</t>
  </si>
  <si>
    <t>From 2016 to 2020, South Africa has transferred 50t to Namibia in accordance with Recs. 16-04/17-03.</t>
  </si>
  <si>
    <t xml:space="preserve">The underharvest of the EU in 2018 is of 1007,82 t, which is less than than the maximum allowed of  25% provided in Rec. 16-06. The EU is entitled to carry over 1007,82 t to 2020. </t>
  </si>
  <si>
    <t xml:space="preserve">The EU overharvested -540,04 t in 2019. According to provisions in para 7 of Rec. 16-06 and para 8 of Rec. 17-04, 540,04 t shall be deducted  from the EU quota in 2021. </t>
  </si>
  <si>
    <t>Limit 2021 +   2019 balance - 434,04 t to be transferred to UK</t>
  </si>
  <si>
    <t>Limit 2022 +   2020 balance - 1,52% of the EU limit 2022 to be transferred to UK</t>
  </si>
  <si>
    <t xml:space="preserve">The underharvest of the EU in 2020 is of 1288,72 t, which is less than than the maximum allowed of 25% provided in Rec. 16-06. The EU is entitled to carry over 1288,72 t to 2022. </t>
  </si>
  <si>
    <t>Additionally, the EU will transfer to United Kingdom 434,04t in 2021 and 1,52% of its initial catch limit in 2022.</t>
  </si>
  <si>
    <t xml:space="preserve"> The underharvest of the EU in 2019 was of 1755,77 t.  In line with Rec 16-07, the EU is entitled to carry over  367,5 t to 2021, corresponding to 25% of its initial quota for 2019.</t>
  </si>
  <si>
    <t>The underharvest of the EU in 2018 is of 1734,69 t..  In line with Rec 16-07, the EU is entitled to carry over  367,5 t to 2020, corresponding to 25% of its initial quota for 2018.</t>
  </si>
  <si>
    <t>The underharvest of the EU in 2020 was of 1777,03 t.  In line with Rec 16-07, the EU is entitled to carry over  367,5 t to 2022, corresponding to 25% of its initial quota for 2020.</t>
  </si>
  <si>
    <t>Limit 2022 + 25%  2020 limit</t>
  </si>
  <si>
    <t>The underharvest of the EU in 2018 is of 2419,28 t, which corresponds to more than 15% of its 2018 initial catch limit. In line with Rec. 17-02 the EU can carry over 1007.7 t to 2020.</t>
  </si>
  <si>
    <t>The underharvest of the EU in 2019 is of 1799,51 t, which corresponds to more than 15% of its 2019 initial catch limit. In line with Rec. 17-02 the EU can carry over 1007.7 t to 2021.</t>
  </si>
  <si>
    <t xml:space="preserve">The underharvest of the EU in 2020 is of 1425,44 t, which corresponds to more than 15% of its 2020 initial catch limit. In line with Rec. 17-02 the EU can carry over 1007.7 t to 2022. </t>
  </si>
  <si>
    <t>Additionally, the EU  will transfer to United Kingdom 0,67 t in 2021, and 0,01% of the EU initial catch limit in 2022.</t>
  </si>
  <si>
    <t xml:space="preserve">The adjusted limit for 2022 takes also into account the transfers to Canada (300 t from EU-Spain), and S. Pierre et Miquelon (40 t) as provided for in Rec 17-02. </t>
  </si>
  <si>
    <t>In 2018 the underharvest for the EU was of 187,20 t, which is less than the maximum allowed 20% provided in Rec 17-03. Therefore, the EU is entitled to carry over 187,20 t to 2020.</t>
  </si>
  <si>
    <t>In 2019 the underharvest for the EU was of 256,03 t, which is less than the maximum allowed 20% provided in Rec 17-03. Therefore, the EU is entitled to carry over  256,03 t to 2021.</t>
  </si>
  <si>
    <t xml:space="preserve">In 2020 the underharvest for the EU was of 261 t, which is less than the maximum allowed 20% provided in Rec 17-03. Therefore, the EU is entitled to carry over  261 t to 2022. </t>
  </si>
  <si>
    <t xml:space="preserve">Limit 2022 +  2020 balance </t>
  </si>
  <si>
    <t xml:space="preserve">In 2018 the underharvest for the EU was of 2121,35 t, which is less than the maximum allowed of 15% provided in Rec 16-01. Therefore, the EU is entitled to carry over 2121,35 t to 2020. </t>
  </si>
  <si>
    <t xml:space="preserve">In 2019 the underharvest for the EU was of 246,97 t, which is less than the maximum allowed of 10% provided in Rec 19-02. Therefore, the EU is entitled to carry over 246,97 t to 2021. </t>
  </si>
  <si>
    <t>2022 Limit - 2t</t>
  </si>
  <si>
    <t>In 2018, the underharvest (341,96 t) being over the maximum allowed of 10% provided in Rec. 18-04, the EU is entitled to carry over 48 t to 2020.</t>
  </si>
  <si>
    <t>In 2019, the underharvest (448,38 t) being over the maximum allowed of 10% provided in Rec. 18-04/19-05, the EU is entitled to carry over 48 t to 2021. The calculation takes into account the transfer of 2 t to Trinidad &amp; Tobago as provided by Rec. 19-05.</t>
  </si>
  <si>
    <t xml:space="preserve">In 2015 the quota was exceeded by 67.19 t. The EU proposes a pay-back of this overharvest over 3 years in 2018, 2019, 2020 , which corresponds to 22.4 t per year.                                                                                 </t>
  </si>
  <si>
    <t>In 2018 the underharvest (27,52t) being over the maximum allowed of 10% provided in Rec. 18-04, the EU is entitled to carry over 5 t to 2020.</t>
  </si>
  <si>
    <t>The agreement between UK and EU is to transfer 48.40 t from its quota in 2022, corresponding to 0.25% of its quota prior to any adjustments made and any specific allocation made to the EU for its small-scale fisheries in following years to the United Kingdom.</t>
  </si>
  <si>
    <t xml:space="preserve">This means that the 0,25% is calculated from the 19360 t which is the initial quota of EU without the additional 100t agreed in 2018 for small scale. </t>
  </si>
  <si>
    <t>(200*0.25)+215</t>
  </si>
  <si>
    <t>(215*0.25)+242</t>
  </si>
  <si>
    <t>4.99+140</t>
  </si>
  <si>
    <t>16.91+140</t>
  </si>
  <si>
    <t>6 (A) = Limit 2021 + Carry over from Balance 2019 MAX. 10%4250 (425) Rec. 19-02 Para 12</t>
  </si>
  <si>
    <t>*Underage up to 50% of the initial catch quota has been carried over biennially Rec.16-03. Quota calculated up to 2017</t>
  </si>
  <si>
    <t>**Underage up to 40% of the initial catch quota has been carried over biennially Rec.17-02. Quota calculated from 2018 on</t>
  </si>
  <si>
    <t>2021**</t>
  </si>
  <si>
    <t>Korea carried forward its unused quota of 2020(4.30t) to 2021. Max 5% 2020 quota. Rec 20-07 Para 2</t>
  </si>
  <si>
    <t>200+50+4.30</t>
  </si>
  <si>
    <t>Since 2018, Korea has transferred 223t of its quota to Chinese Taipei every year.</t>
  </si>
  <si>
    <t>(1486*0.15)+1000 - 223</t>
  </si>
  <si>
    <t>Rec. 19-02 Para 12: underage of an annual catch limit in 2019 shall be added to their 2021 annual catch limit, subject to 10% of initial quota restrictions</t>
  </si>
  <si>
    <t>Rec. 19-02 Para 3c): Starting with 2020 catches, any underharvest by a CPC of its annual landings limit may not be carried forward to a subsequent year</t>
  </si>
  <si>
    <t>2020 =  Initial allocation + transfers (from Senegal 125t, Japan 35t, Chinese Taipe 35t, and the EU 100t) + underage from 2018 (202.2t - max. carry forward)</t>
  </si>
  <si>
    <t>2021 =  Initial allocation + transfers (from Senegal 150t, Japan 35t, Chinese Taipe 35t, and the EU 200t) + underage from 2019 (202.2t - max. carry forward)</t>
  </si>
  <si>
    <t xml:space="preserve">Limite ajustée 2018= limite de capture 2018 + ( limite de capture 2017 x 0,4) - transfert (CAN). Limite ajustée 2018  = 250 + (250*0.4) - (125+25) = 200t      </t>
  </si>
  <si>
    <t>Limite ajustee 2019 = Limite 2019 + max. Solde (Limite 2018*0.4) -transfert Canada (125 t) = 250 + (250 * 0.4) -125= 225 t</t>
  </si>
  <si>
    <t>Limite ajustee 2020 = Limite 2020 + max. Solde (Limite 2019*0.4) -transfert Canada (125 t) = 250 + (250 * 0.4) -125= 225 t</t>
  </si>
  <si>
    <t>Limite ajustee 2021 = Limite 2021 + max. Solde (Limite 2020*0.4) -transfert Canada (125 t+25 t) = 250 + (250 * 0.4) -150= 200 t</t>
  </si>
  <si>
    <t>(2020 limit + 0,15*2018 limit)-40-100</t>
  </si>
  <si>
    <t>(2021 limit + 0,15*2019 limit)-40-200-0.67</t>
  </si>
  <si>
    <t xml:space="preserve">For 2020 the adjusted limit is calculated by taking also into account the transfers to Canada (100 t from EU-Spain) and of 40 t to S. Pierre et Miquelon as provided for in Rec 17-02. </t>
  </si>
  <si>
    <t>For 2021 the adjusted limit is calculated by taking also into account the transfers to Canada (200 t from EU-Spain) and of 40 t to S. Pierre et Miquelon as provided for in Rec. 17-02.</t>
  </si>
  <si>
    <t>2020: The 2019 underage is greater than the maximum amount that can be carried over to 2020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</si>
  <si>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2021: The 2020 underage is greater than the maximum amount that can be carried over to 2021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</si>
  <si>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1 (A)=IQ2016+Balance2015</t>
  </si>
  <si>
    <t>2 (A)=IQ2017+Balance2016</t>
  </si>
  <si>
    <t>3 (A)=IQ2018+Balance2017</t>
  </si>
  <si>
    <t>4 (A)=IQ2019+Balance2018</t>
  </si>
  <si>
    <t>5 (A)=IQ2020+Balance2019+2t EU transfer provided by Rec. 19-05.</t>
  </si>
  <si>
    <t>5 (A)=IQ2020+Balance2019</t>
  </si>
  <si>
    <t>6 (A)=IQ2021+Balance2020</t>
  </si>
  <si>
    <t>Pour l'année 2020 les prises realisées par les senneurs sont de 2648,138</t>
  </si>
  <si>
    <t>*In accordance with Rec. 19-04 Para 10, Syria will transfer 79.2 t to Tunisia to be caught by vessel (MOHAMED ESSADOK,  AT000TUN00051) for only this fishing season 2021</t>
  </si>
  <si>
    <t>*</t>
  </si>
  <si>
    <t>Adjusted limit for 2021 = 711.5  + (.25)(632.4) = 869.60****</t>
  </si>
  <si>
    <t>*** reflects that 25% of the 2017 initial quota may be carried forward to 2018</t>
  </si>
  <si>
    <t>****  reflects that 25% of the 2020 initial quota may be carried forward to 2021</t>
  </si>
  <si>
    <t>Adjusted limit for 2021 = 3907.0 + (0.15)(3907) = 4493.05 t</t>
  </si>
  <si>
    <t>Adjusted limit for 2021 = 100.0 - (100 t (Namibia (50 t), Cote d'Ivoire (25 t), Belize (25 t)) + 99.94</t>
  </si>
  <si>
    <t>Adjusted limit for 2021 = 1272.86 + (.1)(1272.86) = 1400.15 t</t>
  </si>
  <si>
    <t>* Adjusted limit = initial limit + available balance (not to exceed 10% of initial quota)</t>
  </si>
  <si>
    <t>*** reflects that 10% of the 2017 initial quota may be carried forward to 2018</t>
  </si>
  <si>
    <t>VENEZUELA</t>
  </si>
  <si>
    <t>*De acuerdo a Rec. 16-06 Par 4, en el año 2017 se utilizaron las transferencias de La Unión Europea, Estados Unidos y Taipei Chino  a Venezuela de  60, 150 y 114 t, respectivamente</t>
  </si>
  <si>
    <t>(1) Límite ajustado 2017 = Límite 2017 + Saldo 2016 + (60+150+114)*</t>
  </si>
  <si>
    <t>(1)</t>
  </si>
  <si>
    <t>(2)</t>
  </si>
  <si>
    <t>(3)</t>
  </si>
  <si>
    <t>(2) Límite ajustado 2018 = Límite 2018 + Saldo 2017</t>
  </si>
  <si>
    <t>(3) Límite ajustado 2019 = Límite 2019 + Saldo 2018</t>
  </si>
  <si>
    <t>(4)</t>
  </si>
  <si>
    <t>(4) Límite ajustado 2020 = Límite 2020 + Saldo 2019</t>
  </si>
  <si>
    <t>(5)</t>
  </si>
  <si>
    <t>(5) Límite ajustado 2021 = Límite 2021 + Saldo 2020</t>
  </si>
  <si>
    <t>85+(85*0.5)</t>
  </si>
  <si>
    <t>Los remanentes de captura de esta especie se ajustaron de acuerdo a los años sugeridos por la recomendación  16-03</t>
  </si>
  <si>
    <t>Al límite de captura ajustada para los años 2017 y 2018, se le dedujo las 12,75 t transferidas a Francia (San Pedro y Miquelón) , Rec.16-03 y Rec. 17-02.</t>
  </si>
  <si>
    <t>85+(85*0.5)-12.75</t>
  </si>
  <si>
    <t>85+(85*0.4)-12.75</t>
  </si>
  <si>
    <t>85+(85*0.4)</t>
  </si>
  <si>
    <t>*Underage up to 10% of the initial catch quota has been carried over biennially Rec.15-05 to 18-04 (2016-2019)</t>
  </si>
  <si>
    <t>100+ (0.1*100)</t>
  </si>
  <si>
    <t>100+ (0.1*100) - 30 **</t>
  </si>
  <si>
    <t>**Transferencia de 30 t a la Unión Europea en 2017, Rec.  16-10.</t>
  </si>
  <si>
    <t>84.10+(100*0.1)</t>
  </si>
  <si>
    <t>(1) Límite ajustado 2018 = Límite 2018 + Saldo 2017 +  (Saldo Máx. 2016 = 10% Límite 2016)</t>
  </si>
  <si>
    <t>Catch limit defined according to Rec. 19-02 Para 4</t>
  </si>
  <si>
    <t>[4] = 2020 limit + 2019 Balance</t>
  </si>
  <si>
    <t>[5]</t>
  </si>
  <si>
    <t>[5] = 2021 limit + 2020 Balance</t>
  </si>
  <si>
    <t>*transfer of 200 t from Chinese Taipei to Belize in 2021 and 2022.</t>
  </si>
  <si>
    <t>Japan´s 2021 adjusted limit = 842 t(Limit)+1056.21t(2020 carry over(para 4 of Rec. 17-02))-150 t(transfer to Morocco(para 1-a) of Rec. 20-02)-35 t(transfer to Canada(para 2 of Rec. 17-02))-25 t(transfer to Mauritania(para 2 of Rec. 17-02)).</t>
  </si>
  <si>
    <t>JAPAN-BIGEYE: current catch for 2020 includes  15.20t of dead discard.</t>
  </si>
  <si>
    <t>BSHN</t>
  </si>
  <si>
    <t>2022 Limit</t>
  </si>
  <si>
    <t>*Belize is carrying forward 25% of its initial catch limit (53.75 t) from its balance of 142.7t in 2020 to be used in 2022.</t>
  </si>
  <si>
    <t>*Belize is carrying forward 25% of its initial catch limit (62.5 t) from its balance of 162.13t in 2020 to be used in 2022</t>
  </si>
  <si>
    <t>*Belize is carrying forward 40% of its initial catch limit (52 t) from its balance of 146.27 t in 2020 to be used in 2022; receiving a transfer of N-SWO from Trinidad &amp; Tobago: 75t (Rec. 17-02, par.2b).</t>
  </si>
  <si>
    <t>*Belize is carrying forward 20% of its initial catch limit (25t)  in 2020 to be used in 2022 + transfer of 24.94t from the United States of America + transfer of 50t from Brazil + transfer of 50t from Uruguay to Belize</t>
  </si>
  <si>
    <t>Adjusted limit for 2022 = 100.0 - (99.94 t (Namibia (50 t), Cote d'Ivoire (25 t), Belize (24.94 t)) + 99.94</t>
  </si>
  <si>
    <t>Adjusted limit for 2022=initial quota(200)+200*25%(not exceeding the balance of 2020)=250</t>
  </si>
  <si>
    <t>In 2015 2.29t of dead discards were not included in the catch amount in the compliance table although they were reported in the Task I data</t>
  </si>
  <si>
    <t>In 2015,5.91t of dead discards and/or releases were not included in the catch amount in the compliance table although they were reported in the Task I data</t>
  </si>
  <si>
    <t>In 2015, 1.47t of dead discards were not included in the catch amount in the compliance table although they were reported in the Task I data</t>
  </si>
  <si>
    <r>
      <t>JAPAN-N-SWO: adjusted limit in 2018 excluded 100 t transfered to Morocco, and 35 transferred to Canada</t>
    </r>
    <r>
      <rPr>
        <strike/>
        <sz val="10"/>
        <color theme="1"/>
        <rFont val="Cambria"/>
        <family val="1"/>
      </rPr>
      <t>, and 25 transferred to Mauritania.</t>
    </r>
    <r>
      <rPr>
        <sz val="10"/>
        <color theme="1"/>
        <rFont val="Cambria"/>
        <family val="1"/>
      </rPr>
      <t xml:space="preserve"> [Rec. 17-02].</t>
    </r>
  </si>
  <si>
    <t>Limit 2022+limit 2020*0,10</t>
  </si>
  <si>
    <t>In 2020 the underharvest for the EU was of 4557,17 t, which is more than the maximum allowed 10% provided in Rec 21-01. Therefore, the EU is entitled to carry over  1342,13 t to 2022</t>
  </si>
  <si>
    <t>UK</t>
  </si>
  <si>
    <t>2022 adjusted quota is 5198.4 t (=4416.9+3926*0.25-200)  due to the inclusion of 2020 underage and 2022 initial catch quota and the deduction of the transfer of 200 t to Belize.</t>
  </si>
  <si>
    <t>50 + Balance 2019</t>
  </si>
  <si>
    <t>125+(125*0.2)</t>
  </si>
  <si>
    <t>7:  limite 2021+ 100% allocation de quota initiale (MAX Solde 2020=1.53) - CAN transfer (4.78t) = 5.31 + 1.53 - 4.78= 2.06</t>
  </si>
  <si>
    <t>6:  limite 2020+ 100% allocation de quota initiale (MAX Solde 2019=1) - CAN transfer (4.78t) = 5.31 + 1 - 4.78= 1.53</t>
  </si>
  <si>
    <t>Adjusted limite for 2021=initial quota(4390.69)+5376*10%+600 ton transfer from Japan=5528.29</t>
  </si>
  <si>
    <t>2021 adjusted quota is 10469.69 t = 9078.79 (initial quota) + 11679*10% (carry over of 10% of 2019 initial quota pursuant to Rec.19-02) +223 (transfer from Korea)</t>
  </si>
  <si>
    <t>JAPAN-BIGEYE:Japan's 2021 adjusted limit = 13756.16+1769.6(2019 carry over(17696*10%)(Para12 of Rec19-02)-600(transfer to China (Footnote2 of Para.8  of Rec.19-02))-300(transfer to Europian Union (Footnote 2 of Para.8 of Rec.19-02))</t>
  </si>
  <si>
    <t>PANAMÁ</t>
  </si>
  <si>
    <t>(1)  Cuota ajustada de 2021= Cuota de 2021 + balance negativo de 2020 (25-6.34)= 18.66t</t>
  </si>
  <si>
    <t>2021(**) (*)</t>
  </si>
  <si>
    <t>Pour l'année 2021 le quota ajusté est de 2755,75  ( le quota initial 2655T+transfert quota syrie (79,2)+quota non consommé  des prises accessoires 2020 (21,55T)</t>
  </si>
  <si>
    <t>Pour l'année 2022 , les prises réalisées par les senneurs  en 2022 est de 2652,762 t , les prises accessoires ( 26,55T) n'ont pas encore été arrétées</t>
  </si>
  <si>
    <t>7 : limite 2020 + 40% limite de capture initiale (Rec.16-03) + 40 tonnes transférées de l'Union Européenne (REC 17-02)+ 12,75 tonnes transférées du Vénézuela (REC 17-02)=40+(40*0.4)+40+12.75=108.75</t>
  </si>
  <si>
    <t>8 : limite 2022 + 40% limite de capture initiale (Rec.16-03) + 40 tonnes transférées de l'Union Européenne (REC 17-02)=40+(40*0.4)+40=96</t>
  </si>
  <si>
    <t>5:  limite 2019+ 100% allocation de quota initiale - CAN transfer (9.62) = 2*5.31-9.62=1</t>
  </si>
  <si>
    <t>8:  limite 2022+ 100% allocation de quota initiale (MAX Solde 2021=2.06) - CAN transfer (4.78t) = 6.18+2.06-4.78= 3.46</t>
  </si>
  <si>
    <t>1 (A) = Limit 2016 -337 (payback Rec.15-01 9b) + 70 (Transfer Japan Rec.15-01 7b) + Carry over from Balance 2014 MAX. 15%4722=708.3 (583)</t>
  </si>
  <si>
    <t>2 (A) = Limit 2017 -337 (payback Rec.16-01 9b) + 70 (Transfer Japan Rec.16-01 7b) - 246.60 (Balance 2016) + Carry over from Balance 2015 MAX. 15%4722= 708.3 (696.92)</t>
  </si>
  <si>
    <t>3 (A) = Limit 2018 -337 (payback Rec.16-01 9b) + 70 (Transfer Japan Rec.16-01 7b)</t>
  </si>
  <si>
    <t>4 (A) = Limit 2019 + 70 (Transfer Japan Rec.16-01 7b)  + Carry over from Balance 2017 MAX. 15%4250= 637.50 (347.32). No more payback since 18-01 Para 2</t>
  </si>
  <si>
    <t>5 (A) = Limit 2020 + Carry over from Balance 2018 MAX. 15%4250=637.50(412)</t>
  </si>
  <si>
    <t>CURACAO</t>
  </si>
  <si>
    <t>[6]</t>
  </si>
  <si>
    <t>[6] = 2022 limit + 2021 Balance</t>
  </si>
  <si>
    <t>2022 = Initial allocation + transfers (from Senegal 150t, Japan 35t, Chinese Taipe 35t, and the EU 250t) + underage from 2020 (202.2t - max. carry forward)</t>
  </si>
  <si>
    <t>Initial quota/catch limit includes 15 t allocation for by-catch, as per Rec. 17-06 para 6a &amp; Rec. 20-06 Para 1 (4) &amp;  Rec. 21-07 Para 1 (D)</t>
  </si>
  <si>
    <t>Adjusted limited for 2022=242(initial quota)+215*25%(carryover 2020)=295.75</t>
  </si>
  <si>
    <t>Adjusted limit for 2022=initial quota(100)+available balance of 2020 (7.78t)=107.78</t>
  </si>
  <si>
    <t>Adjusted limit for 2022=initial quota(313)+313*20%(carryover 2020)= 313+62.6</t>
  </si>
  <si>
    <t>Adjusted limite for 2022=initial quota(4426.38)+4462.08*10%+600 ton transfer from Japan=5472.59</t>
  </si>
  <si>
    <t>Adjusted Limit=initial limit +available balance(not to exceed 20% of initial quota), valid up to 2020 (Rec. 19-05 Para 3b))</t>
  </si>
  <si>
    <t>Adjusted Limit=initial limit +available balance(not to exceed 10% of initial quota), valid up to 2020 (Rec. 19-05 Para 3b))</t>
  </si>
  <si>
    <t>COSTA RICA</t>
  </si>
  <si>
    <t>* Límite ajustado = límite inicial + balance disponible (no exceder 25% de cuota inicial)</t>
  </si>
  <si>
    <t>Límite ajustado para 2016 = 200 + 50 = 250 t</t>
  </si>
  <si>
    <t>Límite ajustado para 2017= 200 + 50 = 250 t</t>
  </si>
  <si>
    <t>Límite ajustado para 2018 = 200 + 50 = 250 t</t>
  </si>
  <si>
    <t>Límite ajustado para 2019 = 215 + 50 = 265 t</t>
  </si>
  <si>
    <t>Límite ajustado para 2020 = 215 + 53,75 = 268,75 t</t>
  </si>
  <si>
    <t>Límite ajustado para 2021 = 242 + 53,75 = 295,75 t</t>
  </si>
  <si>
    <t>Límite ajustado para 2022 = 242 + 60,5 = 302,50 t</t>
  </si>
  <si>
    <t>SWON</t>
  </si>
  <si>
    <t>ALBN</t>
  </si>
  <si>
    <t>[7]</t>
  </si>
  <si>
    <t>[1]= Límite de 2016 + balance de 2015</t>
  </si>
  <si>
    <t>[2]= Límite de 2017 + balance de 2016</t>
  </si>
  <si>
    <t>[3]= Límite de 2018 + balance de 2017</t>
  </si>
  <si>
    <t>[4]= Límite de 2019 + balance de 2018</t>
  </si>
  <si>
    <t>[5]= Límite de 2020 + balance de 2019</t>
  </si>
  <si>
    <t>[6]= Límite de 2021 + balance de 2020</t>
  </si>
  <si>
    <t>[7]= Límite de 2022 + balance de 2021</t>
  </si>
  <si>
    <t>[1]= Límite de 2017 + balance de 2016</t>
  </si>
  <si>
    <t>[2]= Límite de 2018 + balance de 2017</t>
  </si>
  <si>
    <t>[3]= Límite de 2019 + balance de 2018</t>
  </si>
  <si>
    <t>[4]= Límite de 2020 + balance de 2019</t>
  </si>
  <si>
    <t>[5]= Límite de 2021 + balance de 2020</t>
  </si>
  <si>
    <t>[6]= Límite de 2022 + balance de 2021</t>
  </si>
  <si>
    <t>Limit 2023 +   2021 balance - 1,52% of the EU limit 2023 to be transferred to UK</t>
  </si>
  <si>
    <t xml:space="preserve">The underharvest of the EU in 2021 is of 2025,93 t, which is less than than the maximum allowed of 25% provided in Rec. 16-06. The EU is entitled to carry over 2025,93 t to 2023. Additionally, the EU will transfer to United Kingdom 1,52% of its initial catch limit in 2022.
</t>
  </si>
  <si>
    <t xml:space="preserve">The underharvest of the EU in 2021 is of 1862,1 t, which corresponds to more than 15% of its 2021 initial catch limit. In line with Rec. 17-02 the EU can carry over 1007.7 t to 2023 if current management arrangments are maintained. The adjusted limit for 2021 takes also into account the transfers to Canada (200 t in 2021 &amp;nd 250 t in 2022; from EU-Spain), and S. Pierre et Miquelon (40 t) as provided for in Rec 17-02. Additionally, the EU will transfer to United Kingdom 0,01% of the EU initial catch limit in 2022.
</t>
  </si>
  <si>
    <t>2022 limit + 0,15*2020 limit-40-250-0,01% 2022 limit</t>
  </si>
  <si>
    <t>ALBS</t>
  </si>
  <si>
    <t>JAPAN-S-ALB: 2022 adjusted limit = 1,355 t(Limit)+338.75t(2020 carry over(1355*25%) (para 4 of Rec. 16-07))</t>
  </si>
  <si>
    <t>JAPAN-S-SWO:Japan's 2022 adjusted limit  = 901t(Limit)+600.00t(2020 carry over(Para1(3) of Rec21-03))-50t(transfer to Namibia(Para5 of Rec.17-03))</t>
  </si>
  <si>
    <t>SWOS</t>
  </si>
  <si>
    <t>BFTE</t>
  </si>
  <si>
    <t>JAPAN-E-BFT: current catch for 2021 includes  0.68t of dead discard.</t>
  </si>
  <si>
    <t>JAPAN-E-BFT:Japan's 2022 adjusted limit = 2819.00t(Limit)(Para5 of Rec21-08)+96.65t(2021 carry over (Para7 of Rec 21-08))</t>
  </si>
  <si>
    <t>BFTW</t>
  </si>
  <si>
    <t>JAPAN-W-BFT: current catch for 2021 includes 0.00 t of dead discard.</t>
  </si>
  <si>
    <t>JAPAN-BIGEYE: current catch for 2021 includes  5.3t of dead discard.</t>
  </si>
  <si>
    <t>JAPAN-BUM:Japan's 2022 adjusted limit = 328.1t(Limit)(Para3 of Rec19-05)</t>
  </si>
  <si>
    <t>JAPAN-WHM・SPF:Japan's 2022 adjusted limit =35t(Limit)(Para3 of Rec19-05)</t>
  </si>
  <si>
    <t>JAPAN-N-BSH:Japan's 2020 adjusted limit = 4,010t(Para3 of Rec19-07)</t>
  </si>
  <si>
    <t>JAPAN-N-BSH:Japan's 2021 adjusted limit = 4,010t(Para3 of Rec19-07)</t>
  </si>
  <si>
    <t>242+(0.25*215)</t>
  </si>
  <si>
    <t>242+(0.25*242)</t>
  </si>
  <si>
    <t>2014-2022: 50t transferred to Belize</t>
  </si>
  <si>
    <t>The applied methodology is described in Recs. 19-02, 16-01, 2021-01.</t>
  </si>
  <si>
    <t>2022 adjusted quota is 323 t (=270+270*40%-35-20) due to the inclusion of 2020 underage and 2022 initial catch quota and the deduction of respective transfers of 35 t to Canada and 20 t to Morocco.</t>
  </si>
  <si>
    <t>2022 adjusted quota is 477.8 t (=459 + 18.8) due to the inclusion of 2021 underage and 2022 initial catch quota.</t>
  </si>
  <si>
    <t>2022 adjusted quota is 40 t (=90-50) due to the transfer of 50t to Korea.</t>
  </si>
  <si>
    <t>2022 adjusted quota is 10298.24 t = 9152.60 (initial quota) + 9226.41*10% (carry over of 10% of 2020 initial quota pursuant to Rec.21-01) +223 (transfer from Korea).</t>
  </si>
  <si>
    <t>2022 adjusted quota is 126.2 t in accordance with para 3 c) of Rec. 19-05.</t>
  </si>
  <si>
    <t>2022 adjusted quota is 50 t in accordance with para 3 c) of Rec. 19-05.</t>
  </si>
  <si>
    <t>2022 adjusted limit: Egypt intends to transfer 259.62 ton from fishing vessel "Golovik" AT000EGY00020 to 2 authorized Moroccan Tuna traps</t>
  </si>
  <si>
    <t xml:space="preserve">These cathches were intially reported as SWO-S which seemed incorrect based on this source (https://www.iccat.int/Data/ICCAT_maps.pdf). </t>
  </si>
  <si>
    <t>=1001+20%1001</t>
  </si>
  <si>
    <t>2022: The 2021 underage is greater than the maximum amount that can be carried over to 2022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</si>
  <si>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2018: The 2017 underage is greater than the maximum amount that can be carried over to 2018 (&lt;= 40% of original catch limit); hence the amount carried over is 50 t (0.4*125). Additionally, 75 t were transferred to Belize; hence 75 is subtracted from the sum of the initial catch limit and the allowed carry over, to arrive at the final adjusted limit of 100 t.</t>
  </si>
  <si>
    <t>7(A)=IQ2022+2t EU transfer provided by Rec. 19-05.</t>
  </si>
  <si>
    <t>6 (A)=IQ2021+Balance2020+2t EU transfer provided by Rec. 19-05.</t>
  </si>
  <si>
    <t>7 (A)=IQ2022+Balance2021</t>
  </si>
  <si>
    <t>Adjusted limit for 2022 = 711.5  + (.25)(711.5) = 889.38</t>
  </si>
  <si>
    <t>Adjusted limit for 2022 = 3907.0 + (0.15)(3907) = 4493.05 t</t>
  </si>
  <si>
    <t>=1168+20%1168+50+50</t>
  </si>
  <si>
    <t>Adjusted limit for 2022 = 1341.14 + (.1)(1272.86) = 1468.43 t****</t>
  </si>
  <si>
    <t>****reflects that 10% of the 2021 initial quota may be carried forward to 2022</t>
  </si>
  <si>
    <t>Belize is carrying forward 25% of its initial catch limit (60.5t) from its balance of 268.10t in 2021 to be used in 2023</t>
  </si>
  <si>
    <t>Transfer of 200t from Chinese Taipei to Belize in 2022 and 2023</t>
  </si>
  <si>
    <t>Limit + Underages</t>
  </si>
  <si>
    <t>Republic of Korea</t>
  </si>
  <si>
    <t>Flag</t>
  </si>
  <si>
    <t>2022**</t>
  </si>
  <si>
    <t>Korea carried forward its unused quota of 2021(10t) to 2022. Max 5% 2021 quota. Rec 21-08 Para 7</t>
  </si>
  <si>
    <t>200+50+10</t>
  </si>
  <si>
    <t>(1486*0.10)+984- 223</t>
  </si>
  <si>
    <t>(1000*0.10)+992 - 223</t>
  </si>
  <si>
    <t>Rec.21-01 Para 12: underage of an annual catch limit in 2020 shall be added to their 2022 annual catch limit, subject to 10% of initial quota restrictions</t>
  </si>
  <si>
    <t>=IQ2023+MAX. 0.25*IQ2021</t>
  </si>
  <si>
    <t>=IQ2022+MAX. 0.25*IQ2020</t>
  </si>
  <si>
    <t>=IQ2021+MAX. 0.20*IQ2019</t>
  </si>
  <si>
    <t>=IQ2022+MAX. 0.20*IQ2020</t>
  </si>
  <si>
    <t>=IQ2023+MAX. 0.20*IQ2021</t>
  </si>
  <si>
    <t>IQ2021+53.75</t>
  </si>
  <si>
    <t>IQ2023+MAX 25% IQ2021</t>
  </si>
  <si>
    <t>IQ2022+53.75</t>
  </si>
  <si>
    <t>IQ2023+MAX 40% IQ2021</t>
  </si>
  <si>
    <t xml:space="preserve">The UK's quota for S.ATL SWO is 25t  for 2021. The UK's catches in 2021 were 0t, consequently the UK has a remaining balance of 25t. The UK is permitted to transfer a maximum of 20% of unused quota to 2023. When the 20% is applied to the IQ2021 and the quota for 2023 is added, the adjusted quota for 2023 is 30t. </t>
  </si>
  <si>
    <t xml:space="preserve">The EU transfer's 48.4t of Eastern Bluefin Tuna to the UK. The UK's catches in 2021 were 2.92t, consequently the UK has a remaining balance of 45.48t. The UK is permitted to transfer a maximum of 5% of unused quota to 2022. When the 5% is applied to the Initial quota for 2021 and the quota for 2022 is added, the adjusted quota for 2022 is 50.82t. </t>
  </si>
  <si>
    <t xml:space="preserve">The UK's quota for W.BFT for 2021 is 5.31. The UK carried over 5.31t of w.BFT quota from 2020. The UK's catches in 2021 were 0.71t which was taken off the carry over quota. As the 2021 catches were less then the carry over the UK had a remaining quota of 5.31t. The UK is permitted to transfer a maximum of 100% of 2021 Initial Quota to 2022. When the UK's carry over amount is combined with the UK's TAC for 2022 of 6.18t the figure for he adjusted quota for 2022 is 11.49t. </t>
  </si>
  <si>
    <t xml:space="preserve">2021: The EU transfers to the UK 434.04t of N.ALB quota for 2021 (circ. 4088/21). The UK OT's had previously carried over 53.75t. When combined the adjust quota for 2021 was 487.79 . </t>
  </si>
  <si>
    <t>2015-2022: 25t transferred to Mauritania</t>
  </si>
  <si>
    <t>(6)</t>
  </si>
  <si>
    <t>(6) Límite ajustado 2022 = Límite 2022 + Saldo 2021</t>
  </si>
  <si>
    <t xml:space="preserve">(1) Límite ajustado 2017 = Límite 2017 + Saldo 2016 </t>
  </si>
  <si>
    <t>=215+(MAX. 25% from 2020 quota= 13.27t)</t>
  </si>
  <si>
    <t>=215+(MAX. 25% from 2019 quota= 38.35t)</t>
  </si>
  <si>
    <t>le calcul du quota ajusté 2022 prend en compte le solde  MAX de 2021 (Limite 2021 * 0.2 = 417*0.2=83.4) auquel est ajouté la limite 2022 417 t) ce qui donne (83.4+417=500.4) t</t>
  </si>
  <si>
    <t>le calcul du quota ajusté 2021 prend en compte le solde  MAX de 2020 (Limite 2020 * 0.2 = 417*0.2=83.4) auquel est ajouté la limite 2021 417 t) ce qui donne (83.4+417=500.4) t</t>
  </si>
  <si>
    <t>2022: Initial Quota 2022 + CO from 2020 (25% 215t). When combined the adjust quota for 2022 was 496</t>
  </si>
  <si>
    <t>2023: The UK's catches in 2021 were 169.39. Consequently the UK has a remaining balance of 326.86t. The UK is allowed to carry over unused quota to 2023 at the max carry over rate of 25% of its IQ2021 (108.51). When the 25% is applied to the IQ2021 and the quota for 2023 is added, the adjusted quota for 2023 is 550.76</t>
  </si>
  <si>
    <t>2021: The EU transfers to the UK 0.67 quota for 2021 (circ. 4088/21). The UK OT's had previously carried over 15t (MAX. 40% IQ 2019). When combined the adjust quota for 2021 was 35+14+0.67</t>
  </si>
  <si>
    <t>IQ2021+MAX 40% IQ2019+ EU Transfer</t>
  </si>
  <si>
    <t>IQ2022+MAX 40% IQ2020+ EU Transfer</t>
  </si>
  <si>
    <t>2023:  The UK OT's had previously carried over 15t (MAX. 40% IQ 2021). When combined the adjust quota for 2023 is 35+14</t>
  </si>
  <si>
    <t>2022: The EU transfers to the UK 0.67 quota for 2022 (Rec. 21-02 Para 1). The UK OT's had previously carried over 15t (MAX. 40% IQ 2020). When combined the adjust quota for 2021 was 35+14+0.67</t>
  </si>
  <si>
    <t>EGYPT</t>
  </si>
  <si>
    <t>JAPAN-N-ALB:Japan's 2021 adjusted limit = BET 2021 catch * 4.5% (Para8 of Rec21-04)</t>
  </si>
  <si>
    <t>Japan´s 2022 adjusted limit = 842 t(Limit)+1400.81 t(2021 carry over(para 1C of Rec.21-02))-150 t(transfer to Morocco(para 1A) of Rec. 21-02)-35 t(transfer to Canada(para 1A of Rec. 21-02))-25 t(transfer to Mauritania(para 1A of Rec. 21-02)).</t>
  </si>
  <si>
    <t>JAPAN-BIGEYE:Japan's 2022 adjusted limit = 13868.00(Para 4 of Rec.21-01)+1397.9(2020 carry over(13979.84*10%)(Para12 of Rec21-01)-600(transfer to China (Footnote2 of Para.8  of Rec.21-01))-300(transfer to Europian Union (Footnote 2 of Para.8 of Rec.21-01))</t>
  </si>
  <si>
    <t>Limit 2023 + 25%  2021 limit</t>
  </si>
  <si>
    <t>The underharvest of the EU in 2021 was of 1766.56 t.  In line with Rec 16-07, the EU is entitled to carry over  367,5 t to 2023, corresponding to 25% of its initial quota for 2021.</t>
  </si>
  <si>
    <t>=9400+1699+85</t>
  </si>
  <si>
    <t>2022 adjusted quota is 11244.00 t (=9400+1699) due to the inclusion of 2020 underage and 2021 initial catch quota + 85t (Rec. 16-07 Para 4b) as complement from total underage from the TAC, where 85t  is what is left from the total underage from the TAC from 2020, minus the underages to be used by those CPCs wishing to do so</t>
  </si>
  <si>
    <t>IQ2022 + 2020 balance</t>
  </si>
  <si>
    <t>IQ2023 + 2021 balance</t>
  </si>
  <si>
    <t xml:space="preserve">De las 25.00 t de atún blanco del Atlántico Sur asignadas a Panamá para 2020, hubo una captura de 31.34 t, dando como resultado un excedente de 6.34t. El excedente fue saldado en 2021, ya que de las 25.00t asignadas para 2021, solo hubo una captura de 17.22t quedando un remanente preliminar para 2021 de 7.78t de las cuales se dedujo el excedente de 6.34t de 2020, quedando 2021 con un remanente de 1.44t. </t>
  </si>
  <si>
    <t>2011=95t+42t (No transfer to Canada for 2011)</t>
  </si>
  <si>
    <t>2012=95t+36.5t -86.50t ( transfer to CAN from 2012 quota) por Rec. 10-03</t>
  </si>
  <si>
    <t>2013=95t+52.90t (No transfer to Canada for 2013) por Rec.12-02</t>
  </si>
  <si>
    <t>2014=95t+95t-86.5t (transfer to Canada for 2014) por Rec. 13-09</t>
  </si>
  <si>
    <t>2015=108.98+52.50-86.50 (transfer to Canada for 2015) por Rec. 14-05</t>
  </si>
  <si>
    <t>2016=108.98+21.98-51.98 (transfer to Canada) por Rec. 14-05</t>
  </si>
  <si>
    <t>2017=108.98+23.98-55.98(transfer to Canada) por Rec. 16-08</t>
  </si>
  <si>
    <t>2018=128.44+42.98-73.98 (transfer to Canada) por Rec. 17-06</t>
  </si>
  <si>
    <t>2019=128.44+17.44-60.44 (transfer to Canada) por Rec. 17-06</t>
  </si>
  <si>
    <t>2020= 128.44+46.44-79.44 (transfer to Canada) por Rec. 17-06</t>
  </si>
  <si>
    <t>2021= 128.44+67.44-transfer to Canada (100.44t) por Rec. 20-06</t>
  </si>
  <si>
    <t>2016 = Initial allocation  + mexican transfer (51.98) - overharvest from 2015</t>
  </si>
  <si>
    <t>2017 = Initial allocation  + underharvest from 2016 + 55.98(transfer from MEX) Rec. 16-08</t>
  </si>
  <si>
    <t>2018 = Initial allocation +Mexican transfer (73.98) + underharvest from 2017 (MAX 10% IQ 2017)</t>
  </si>
  <si>
    <t>2019 = Initial allocation +Mexican transfer (60.44) + SPM transfer (9.62)+ underharvest from 2018 (53.06 = 10% of 2018 initial)</t>
  </si>
  <si>
    <t>2020 = Initial allocation +Mexican transfer (79.44) + SPM transfer (4.78)+ underharvest from 2019 (20.84)</t>
  </si>
  <si>
    <t>2021 = Initial allocation +Mexican transfer (100.44) + SPM transfer (4.78) + underharvest from 2020 (44.05)</t>
  </si>
  <si>
    <t>(1) Curacao agreed on a payback plan for blue marlin of 2.5 tons per year from 2022 on. First year 2.53t. (Provisional pending approval by Commission in 2023)</t>
  </si>
  <si>
    <r>
      <rPr>
        <vertAlign val="superscript"/>
        <sz val="10"/>
        <rFont val="Cambria"/>
        <family val="1"/>
      </rPr>
      <t>1</t>
    </r>
    <r>
      <rPr>
        <sz val="10"/>
        <rFont val="Cambria"/>
        <family val="1"/>
      </rPr>
      <t xml:space="preserve"> Transfer from Japan</t>
    </r>
  </si>
  <si>
    <t>13.97+170</t>
  </si>
  <si>
    <t xml:space="preserve">The UK's quota for S.ATL ALB is 100t  for 2021. The UK's catches in 2021 were 0, consequently the UK has a remaining balance of 100t. The UK is allowed to carry over unused quota to 2023 at the max carry over rate of 25% of its year´s Initial Quota. When the 25% is applied to the IQ and the quota for 2023 is added the adjusted quota for 2023 is 145t. </t>
  </si>
  <si>
    <t xml:space="preserve">COC-304/23 Annex 1-C: APPLICATION OF OVER/UNDERHARVEST </t>
  </si>
  <si>
    <t xml:space="preserve">COC-304/23 Annexe 1-C: APPLICATION DE SUR/SOUSONSOMMATION </t>
  </si>
  <si>
    <t xml:space="preserve">COC-304/23 Anexo 1-C: APLICACIÓN DE EXCESO/REMANENTE DE CAPTURA </t>
  </si>
  <si>
    <t>7 (A) = Limit 2022 + Carry over from Balance 2020 MAX. 10%3968.23 (396.82) Rec. 21-01 Para 12</t>
  </si>
  <si>
    <t>2020 catch limit for Ghana has been corrected from 3716.00 to 3968.23 as the former one was reported by Ghana applying a payback condoned in Rec. 18-01 para 2</t>
  </si>
  <si>
    <t>Quota ajustée 2024: 302,50 tonnes  = quota initial alloué au Maroc 2024 (242 t) + 60,50 tonnes ( reliquat= 25% du quota initial 2022 (242 tonnes) ). Rec ICCAT 21-04</t>
  </si>
  <si>
    <t>Quota ajustée 2020: 265 tonnes  = quota initial alloué au Maroc 2020 (215 t) + 50 tonnes ( reliquat= 25% du quota initial (200)). Recommandation ICCAT 17-04</t>
  </si>
  <si>
    <t>Quota ajustée 2021: 295,75 tonnes  = quota initial alloué au Maroc 2021 (242 t) + 53,75 tonnes ( reliquat= 25% du quota initial 2019 (215 tonnes) ). Rec ICCAT 17-04, 20-04</t>
  </si>
  <si>
    <t>Quota ajustée 2022: 295,75 tonnes  = quota initial alloué au Maroc 2022 (242 t) + 53,75 tonnes ( reliquat= 25% du quota initial 2020 (215 tonnes) ). Rec ICCAT 17-04, 20-04</t>
  </si>
  <si>
    <t>Quota ajustée 2023: 302,50 tonnes  = quota initial alloué au Maroc 2023 (242 t) + 60,50 tonnes ( reliquat= 25% du quota initial 2021 (242 tonnes) ). Rec ICCAT 21-04</t>
  </si>
  <si>
    <t>QI</t>
  </si>
  <si>
    <t>QI +18,81</t>
  </si>
  <si>
    <t xml:space="preserve">Quota ajusté 2024:  quota initial alloué au Maroc lors de la prochaine session annuelle de l'ICCAT en novembre 2023 + 18,81 (15% du quota initail) de sousconsommation de 2022 </t>
  </si>
  <si>
    <t>Quota ajustée 2018 : 900 tonnes = 950 (quota initial 850+100 tranféré du japon) - 50 de surconsommation de 2016</t>
  </si>
  <si>
    <t>Quota ajustée 2019: 1000 tonnes = quota initial alloué au Maroc 2019 (850t)+ 100t (transférées par le Japon au Maroc) + 50 de sousconsommation de 2017</t>
  </si>
  <si>
    <t>Quota ajustée 2020: 995 tonnes = quota initial alloué au Maroc 2020 (850t) + 150t (transférées par le Japon au Maroc)+20t (transférée par le Taipei Chinois)+ 25t (transférée par le Trinité-et-Tobago) - 50 de surconsommation de 2018</t>
  </si>
  <si>
    <t>Quota ajustée 2021: 1095 tonnes = quota initial alloué au Maroc 2020 (850t) + 150t (transférées par le Japon au Maroc)+20t (transférée par le Taipei Chinois)+ 25t (transférée par le Trinité-et-Tobago) + 50 de sousconsommation de 2019</t>
  </si>
  <si>
    <t>Quota ajusté 2022: 1104,18 tonnes = quota initial alloué au Maroc (850t)+ 150t (transférées par le Japon au Maroc)+20t (transférée par le Taipei Chinois)+ 25t (transférée par le Trinité-et-Tobago) + 59,18 (15% du quota initail) de sousconsommation de 2020</t>
  </si>
  <si>
    <t>Quota ajusté 2023:  1172,50 tonnes = quota initial alloué au Maroc (850t) + 127,50 (15% du quota initail) de sousconsommation de 2021+ 150t (transférées par le Japon au Maroc)+20t (transférée par le Taipei Chinois)+ 25t (transférée par le Trinité-et-Tobago) . Rec ICCAT 21-02</t>
  </si>
  <si>
    <t>Quota ajustée 2023: 3703 tonnes = quota initial alloué au Maroc 2023 (3700 t) + 3 tonnes (reliquat de l'année 2022) Rec. 22-08</t>
  </si>
  <si>
    <t>Quota ajustée 2020: 3488.62 = quota initial alloué au Maroc 2020 (3284 t) + 204.62 t (transféré par l'Egypte au Maroc). Recommandation ICCAT 19-04</t>
  </si>
  <si>
    <t>Quota ajustée 2021: 3318,91 tonnes = quota initial alloué au Maroc 2020 (3284 t) + 34,91 tonnes (reliquat de l'année 2020). Rec. 20-07</t>
  </si>
  <si>
    <t>Quota ajustée 2022: 3568,27 tonnes = quota initial alloué au Maroc 2020 (3284 t) + 24,65 tonnes (reliquat de l'année 2021) transfert de l'Egypte (259,62 tonnes) Rec. 21-08</t>
  </si>
  <si>
    <t>Quota ajustée 2024: -02 tonnes = quota initial alloué au Maroc 2021 (10t) -12 tonnes (surconsommation). Recommandation ICCAT 19-05/para 3 amendant la Rec 15-05</t>
  </si>
  <si>
    <t>Quota ajustée 2020: -42 tonnes = quota initial alloué au Maroc 2020 (10t) - 52 t (surconsommation). Recommandation ICCAT 19-05/para 3 amendant la Rec 15-05</t>
  </si>
  <si>
    <t>Quota ajustée 2021: -32 tonnes = quota initial alloué au Maroc 2021 (10t) - 42 tonnes (surconsommation). Recommandation ICCAT 19-05/para 3 amendant la Rec 15-05</t>
  </si>
  <si>
    <t>Quota ajustée 2022: -22 tonnes = quota initial alloué au Maroc 2022 (10t) - 32 tonnes (surconsommation). Recommandation ICCAT 19-05/para 3 amendant la Rec 15-05</t>
  </si>
  <si>
    <t>Quota ajustée 2023: -12 tonnes = quota initial alloué au Maroc 2023 (10t) -22 tonnes (surconsommation). Recommandation ICCAT 19-05/para 3 amendant la Rec 15-05</t>
  </si>
  <si>
    <t>According to Recommendation 21-08 paragraph 5, Norway was initially  allocated a quota of 300 tonnes eastern BFT in 2022. Referring to Recommendation 21-08 Paragraph 7, Norway requested in panel 2 to transfer a maximum of 5 % of its 2021 quota to 2022. A total of 157,68 tonnes of the Adjusted Norwegian catch quota (315 tonnes) was utilised in 2021, and 15 tonnes (5 % of 300 tonnes) may, according to Paragraph 7, be transferred to 2022.</t>
  </si>
  <si>
    <t>According to Recommendation 20-07 paragraph 1, Norway was initially  allocated a quota of 300 tonnes eastern BFT in 2021. Referring to Recommendation 20-04 Paragraph 2, Norway requested in panel 2 to transfer a maximum of 5 % of its 2020 quota to 2021. A total of 194.39 tonnes of the Adjusted Norwegian catch quota (311.95 tonnes) was utilised in 2020, and 15 tonnes (5 % of 300 tonnes) may, according to Paragraph 2, be transferred to 2021.</t>
  </si>
  <si>
    <t>ALBANIA</t>
  </si>
  <si>
    <t>Q2022+5%Q2021=170+0.05*170</t>
  </si>
  <si>
    <t>2022: Current catches for the year 2021 were 148.4 ton (underharvest) and we used the total amount of 5% of the quota of previues year (8.5 t). 1t dedicated to bycacth aacording to Albania´s 2022 BFTE Fishing plan</t>
  </si>
  <si>
    <t>REC: 17-04, 21-04</t>
  </si>
  <si>
    <t>IQ2019+25%Q2017</t>
  </si>
  <si>
    <t>IQ2020+25%Q2018</t>
  </si>
  <si>
    <t>IQ2021+25%Q2019</t>
  </si>
  <si>
    <t>IQ2022+25%Q2020</t>
  </si>
  <si>
    <t>IQ2023+25%Q2021</t>
  </si>
  <si>
    <t>RECs: 17-02, 19-03,21-02,22-03</t>
  </si>
  <si>
    <t xml:space="preserve"> </t>
  </si>
  <si>
    <t>IQ(2016)+BALANCE(2015)</t>
  </si>
  <si>
    <t>IQ(2017)+BALANCE(2016)</t>
  </si>
  <si>
    <t>IQ(2018)+BALANCE(2017)</t>
  </si>
  <si>
    <t>IQ(2019)+BALANCE(2018)</t>
  </si>
  <si>
    <t>IQ(2020)+BALANCE(2019)</t>
  </si>
  <si>
    <t>IQ(2021)+BALANCE(2020)</t>
  </si>
  <si>
    <t>IQ(2022)+BALANCE(2021)</t>
  </si>
  <si>
    <t>IQ(2023)+BALANCE(2022)</t>
  </si>
  <si>
    <t>Belize is carrying forward 25% of its initial catch limit (60.5t) from its balance of 283.42t in 2022 to be used in 2024</t>
  </si>
  <si>
    <t>*Belize is carrying forward 25% of its initial balance (62.5 t) from its balance of 281.66 in 2021 to be used in 2023</t>
  </si>
  <si>
    <t>*Belize is carrying forward 25% of its initial balance (62.5 t) from its balance of 299.76 in 2022 to be used in 2024</t>
  </si>
  <si>
    <t>*Belize is carrying forward 40% of its initial limit (52 t) from its initial balance of 163 t in 2021 to be used in 2023. Transfer of 75 t from Trinidad and Tobago to Belize</t>
  </si>
  <si>
    <t>*Belize is carrying forward 40% of its initial limit (52 t) from its initial balance of 187.26 t in 2022 to be used in 2024. Transfer of 75 t from Trinidad and Tobago to Belize</t>
  </si>
  <si>
    <t>*Belize is carrying forward 20% of its initial limit (25 t) from its balance of 245.92 t in 2021 to be used in 2023.Transfer of 25 t from USA to Belize. Transfer of 50 t from Brazil to Belize.Transfer of 50 t from Uruguay to Belize</t>
  </si>
  <si>
    <t>*Belize is carrying forward 20% of its initial limit (25 t) from its balance of 274.94 t in 2022 to be used in 2024.Transfer of 25 t from USA to Belize. Transfer of 50 t from Brazil to Belize.Transfer of 50 t from Uruguay to Belize</t>
  </si>
  <si>
    <t>2023 = Initial allocation + transfers (from Senegal 125t, Japan 35t, Chinese Taipe 35t, and the EU 327t) + underage from 2021 (202.2t - max. carry forward)</t>
  </si>
  <si>
    <t>2022 = Initial allocation + Mexican transfer (60) + SPM transfer (4.78) + underharvest from 2021 (51.33)</t>
  </si>
  <si>
    <t>2023 = Initial allocation + SPM transfer (5.18) + underharvest from 2022 (39.59)</t>
  </si>
  <si>
    <t>Adjusted limited for 2023=242(initial quota)+4.43(carryover 2021)=246.43</t>
  </si>
  <si>
    <t>Adjusted limit for 2023=initial quota(240)+200*25%(not exceeding the balance of 2021)=290</t>
  </si>
  <si>
    <t>Adjusted limit for 2023=initial quota(100)+available balance of 2021 (100*15%=15t)=115t</t>
  </si>
  <si>
    <t>Adjusted limit for 2023=initial quota(313)+313*10%(carryover 2021)= 344.3</t>
  </si>
  <si>
    <t>Adjusted limite for 2023=initial quota(4426.38)+4390.69*10%+600 ton transfer from Japan=5465.45</t>
  </si>
  <si>
    <t>According to Rec. 19-05 Para 3c): “Starting with 2020 catches, any underharvest by a CPC of its annual landings limit may not be carried forward to a subsequent year.”</t>
  </si>
  <si>
    <t>2023 adjusted quota is 5321.13 t (=4416.9+4416.9*0.25-200)  due to the inclusion of 2021 underage and 2023 initial catch quota and the deduction of transfers of 200 t to Belize.</t>
  </si>
  <si>
    <t>=4416.9+4416.9*0.25-200</t>
  </si>
  <si>
    <t xml:space="preserve">2023 adjusted quota is 323 t (=270+270*40%-35-20) due to the inclusion of 2021 underage and 2023 initial catch quota and the deduction of respective transfers of 35 t to Canada and 20 t to Morocco. </t>
  </si>
  <si>
    <t>=459+459*10%</t>
  </si>
  <si>
    <t>2023 adjusted quota is 504.9 t (=459 + 459*10%) due to the inclusion of 2022 underage and 2023 initial catch quota.</t>
  </si>
  <si>
    <t>=101-50</t>
  </si>
  <si>
    <t>2023 adjusted quota is 51 t (=101-50) due to the transfer of 50t to Korea.</t>
  </si>
  <si>
    <t>=9078.79+(11679*10%)+223</t>
  </si>
  <si>
    <t>=9152.6+(9226.41*10%)+223</t>
  </si>
  <si>
    <t>=9152.6+(9078.79*10%)+223</t>
  </si>
  <si>
    <t>2023 adjusted quota is 10283.48 t = 9152.6 (initial quota) +9078.79*10% (carry over of 10% of 2021 initial quota pursuant to Rec.22-01) +223 (transfer from Korea).</t>
  </si>
  <si>
    <t>Límite ajustado para 2023 = 242 + 60,5 = 302,50 t</t>
  </si>
  <si>
    <t>[8]</t>
  </si>
  <si>
    <t>[8]= Límite de 2023 + balance de 2022</t>
  </si>
  <si>
    <t>[7]= Límite de 2023 + balance de 2022</t>
  </si>
  <si>
    <t>2023 adjusted limit: Egypt intends to transfer 507.87 ton from its quota to Morocco</t>
  </si>
  <si>
    <t xml:space="preserve">** Durante los años anteriores a 2020, El Salvador no estaba sujeto a límite (Rec. 16-01, Par 34.a), sino a una expectativa de pesca, por ello No Aplica los límites, limites ajustados ni saldos. Para el año 2020 (Rec. 19-02) se reconoce un límite.																										</t>
  </si>
  <si>
    <t>* De acuerdo a la Rec. 19-02 Para 3 el TAC de BET se reduce de 62500t en 2020 a 61500t en 2021, esto representa una disminución del 1.6%. La Secretaría ha aplicado esta reducción a todas las cuotas/límites de captura/umbrales calculados para 2020 con el fin de obtener los valores proporcionales para 2021.</t>
  </si>
  <si>
    <t>2022(***)</t>
  </si>
  <si>
    <t>*** De conformidad con el párrafo 3 de la Rec. 21-01 el TAC de patudo se reduce, pasando de 62.500 t en 2020 a 62.000 t en 2022, esto representa una disminución del 0.8 %. La Secretaría ha aplicado esta reducción a todas las cuotas/límites de captura calculados para 2020 con el fin de obtener los valores proporcionales para 2022.</t>
  </si>
  <si>
    <t>=215+(MAX. 25% from 2021 quota= 13.27t)</t>
  </si>
  <si>
    <t>50+(0.4*50)</t>
  </si>
  <si>
    <t>The applied methodology is described in Recs. 13-05, 16-06, 17-04, 20-03/04, 21-04</t>
  </si>
  <si>
    <t>The applied methodology is described in Recs. 13-06, 16-07, 20-05, 21-05, 22-06</t>
  </si>
  <si>
    <t>The applied methodology is described in Recs. 16-03, 17-02, 19-03, 20-02, 21-02, 22-03</t>
  </si>
  <si>
    <t>The applied methodology is described in Recs. 15-03, 16-04, 17-03, 21-03, 22-04</t>
  </si>
  <si>
    <t>2 : limite 2015 + 25% quota de capture initial 2014 (REC 11-04 et REC 13-05)</t>
  </si>
  <si>
    <t>3 : limite 2016 + 25% quota de capture initial 2015 (REC 13-05)</t>
  </si>
  <si>
    <t>4 : limite 2017 + 25% quota de capture initial 2016 (REC 13-05 et REC 16-06)</t>
  </si>
  <si>
    <t>5 : limite 2018 + 25% quota de capture initial 2017 (REC 16-06 et REC 17-04)</t>
  </si>
  <si>
    <t>6 : limite 2019 + 25% quota de capture initial 2018 (REC 16-06 et REC 17-04)</t>
  </si>
  <si>
    <t>7 : limite 2020 + 25% quota de capture initial 2019 (REC 16-06 et REC 17-04)</t>
  </si>
  <si>
    <t>8 : limite 2021 + 25% quota de capture initial 2020 (REC 20-03)</t>
  </si>
  <si>
    <t>9 : limite 2022 + 25% quota de capture initial 2021 (REC 20-03)</t>
  </si>
  <si>
    <t>10 : limite 2023 + 25% quota de capture initial 2022 (REC 20-03)</t>
  </si>
  <si>
    <t>9 : limite 2023 + 40% limite de capture initiale (Rec.16-03) + 40 tonnes transférées de l'Union Européenne (REC 17-02)=40+(40*0.4)+40=96</t>
  </si>
  <si>
    <t>9:  limite 2023+ 100% allocation de quota initiale (MAX Solde 2022=3.46) - CAN transfer (5.18t)  = 6.18+3.46-5.18= 4.46</t>
  </si>
  <si>
    <t>242+(242*0.25)</t>
  </si>
  <si>
    <t>2022= 149.34+33.44-transfer to Canada (60t) por Rec. 21-07</t>
  </si>
  <si>
    <t>2023= 149.34+62.78-transfer to Canada (##t) por Rec. 22-10</t>
  </si>
  <si>
    <t>JAPAN-N-ALB:Japan's 2022 adjusted limit = BET 2022 catch * 4.5% (Para8 of Rec21-04)</t>
  </si>
  <si>
    <t>JAPAN-S-ALB: 2023 adjusted limit = 1,630t(Limit)+206.15t(2021 carry over (para 4 of Rec. 22-06))+100(transfer from Brazil (para 3 of Rec. 22-06))+100(transfer from Uruguay(para 3 of Rec. 22-06))+100(transfer from South Africa (para 3 of Rec. 22-06))</t>
  </si>
  <si>
    <t>Japan’s 2023 adjusted limit (632 t) is tentative and will be adjusted after confirming the underage in the 2018 to 2022 management period (para 1C of Rec.22-03) (632 t = 842 t(Limit)-150 t(transfer to Morocco(para 1A) of Rec. 22-03)-35t (transfer to Canada(para 2 of Rec. 17-02))-25 t(transfer to Mauritania(para 2 of Rec. 17-02)).</t>
  </si>
  <si>
    <t>JAPAN-S-SWO:Japan's 2023 adjusted limit  = 901t(Limit)+600.00t(2021 carry over(Para1(2) of Rec22-04))-50t(transfer to Namibia(Para5 of Rec.17-03))</t>
  </si>
  <si>
    <t>JAPAN-E-BFT:Japan's 2023 adjusted limit = 3114.00t(Limit)(Para4 of Rec22-08)+44.4t(2022 carry over (Para6 of Rec 22-08))</t>
  </si>
  <si>
    <t>JAPAN-W-BFT:Japan's 2022 adjusted limit = 664.52t(Limit)+0.73t(2021 carry over(Para7a of Rec17-06 )</t>
  </si>
  <si>
    <t>JAPAN-W-BFT:Japan's 2023 adjusted limit = 664.52t(Limit)+7.45t(2022 carry over(Para6a of Rec22-10 )</t>
  </si>
  <si>
    <t>JAPAN-BIGEYE:Japan's 2023 adjusted limit = 13868.00(Para 4 of Rec.21-01)+1375.61 (2021 carry over(13756.16*10%)(Para12 of Rec21-01)-600(transfer to China (Footnote2 of Para.8  of Rec.22-01))-300(transfer to Europian Union (Footnote 2 of Para.8 of Rec.22-01))</t>
  </si>
  <si>
    <t>JAPAN-BUM:Japan's 2023 adjusted limit = 328.1t(Limit)(Para2 of Rec19-05)</t>
  </si>
  <si>
    <t>JAPAN-WHM・SPF:Japan's 2023 adjusted limit =35t(Limit)(Para2 of Rec19-05)</t>
  </si>
  <si>
    <t>JAPAN-N-BSH: current catch for 2021 includes  21.9t of dead discard.</t>
  </si>
  <si>
    <t>JAPAN-N-BSH:Japan's 2022 adjusted limit = 4,010t(Para1 of Rec21-10)</t>
  </si>
  <si>
    <t>JAPAN-N-BSH:Japan's 2023 adjusted limit = 4,010t(Para1 of Rec21-10)</t>
  </si>
  <si>
    <t>* Adjusted limit 2022 = initial limit 2022 (4400) + available balance 2020(not to exceed 25% of initial quota) (874.08) - ZAF will invoke para 4f of the ICCAT Rec. 16-07, supplemented by ICCAT Rec. 21-05 to cover the over shooting of its catch limits (URY: 26.47  BRA: 129.95t)</t>
  </si>
  <si>
    <t>* Adjusted limit 2023 = initial limit 2023 (5280) + available balance 2021(not to exceed 25% of initial quota) (674.61) -100t transferred to JPN</t>
  </si>
  <si>
    <t>URUGUAY</t>
  </si>
  <si>
    <t>* Adjusted limit 2022 = initial limit 2022 (440) + available balance 2020(not to exceed 25% of initial quota) (110) - 26.47t [ZAF will invoke para 4f of the ICCAT Rec. 16-07, supplemented by ICCAT Rec. 21-05 to cover the over shooting of its catch limits (URY: 26.47  BRA: 129.95t)]</t>
  </si>
  <si>
    <t>2022: IQ2022 + 25% MAX2020 - 129.95t [South Africa will invoke para 4f of the ICCAT Rec. 16-07, supplemented by ICCAT Rec. 21-05 to cover the over shooting of its catch limits (URY: 26.47  BRA: 129.95t)]</t>
  </si>
  <si>
    <t>* Adjusted limit 2023 = initial limit 2023 (530) + available balance 2021(not to exceed 25% of initial quota) (110) - 100t transferred to JPN</t>
  </si>
  <si>
    <t>2023: IQ2023 + 25% MAX2020 - 100t transferred to JPN</t>
  </si>
  <si>
    <t>2600+(0.25*2160)-100</t>
  </si>
  <si>
    <t>2160+(0.25*2160)-129.95</t>
  </si>
  <si>
    <t>(242*0.25)+242</t>
  </si>
  <si>
    <t>2023**</t>
  </si>
  <si>
    <t>**Underage up to 20% of the initial catch quota has been carried over biennially Rec.17-03. Quota calculated from 2018 to 2022</t>
  </si>
  <si>
    <t>Rec.22-04 the maximum underage that a party may carryover in any given year shall not exceed 10%of the quota of the previous year.</t>
  </si>
  <si>
    <t>50+(50*0.1)</t>
  </si>
  <si>
    <t>Rec 22-08 para 4 : Depending on availability, Chinese Taipai may transfer up to 50t of its quota to Korea in 2023 to 2025.</t>
  </si>
  <si>
    <t>Korea carried forward its unused quota of 2022(7.72t) to 2023 which is under 5% of 2022 quota (Rec 22-08 Para 6)</t>
  </si>
  <si>
    <t>200+50+7.72</t>
  </si>
  <si>
    <t>Rec.22-01 para12:underage of an annual catch limit in 2021 shall be added to their 2023 annual catch limit, subject to 10% of initial quota restrictions</t>
    <phoneticPr fontId="7" type="noConversion"/>
  </si>
  <si>
    <t>* Information and explanation regarding Korea`s 2023 catch limit are available in Document PA1_11 and PA1_35, submitted for the March PA1 meeting in 2023.</t>
    <phoneticPr fontId="7" type="noConversion"/>
  </si>
  <si>
    <t>(984*0.10)+992 - 223</t>
  </si>
  <si>
    <t>From 2016 to 2023, USA has transferred 50t to Namibia in accordance with Rec. 16-04/17-03.</t>
  </si>
  <si>
    <t>=1168+20%1168+50</t>
  </si>
  <si>
    <t>=1168+10%1168+50</t>
  </si>
  <si>
    <t>Underage up to 10% of the initial catch quota has been carried over biennially Rec.22-04. Quota calculated from 2023 on</t>
  </si>
  <si>
    <t>=3600+25%3600</t>
  </si>
  <si>
    <t>=4320+25%3600</t>
  </si>
  <si>
    <t>2023*</t>
  </si>
  <si>
    <t>2024*</t>
  </si>
  <si>
    <t>2025*</t>
  </si>
  <si>
    <t>*Rec 22.06 para 5: Overharvest in 2022 deducted in 2024 and no underages can be carried over from 2023 to 2025</t>
  </si>
  <si>
    <t>=4320 - overharvest 2022</t>
  </si>
  <si>
    <t>no carry over from 2023 due to overharvest 2022</t>
  </si>
  <si>
    <t>[7] = 2023 limit + 2022 Balance</t>
  </si>
  <si>
    <t>Limite ajustee 2022 = Limite 2022 + max. Solde (Limite 2021*0.4) -transfert Canada (125 t+25 t) = 250 + (250 * 0.4) -150= 200 t</t>
  </si>
  <si>
    <t>Limite ajustee 2023 = Limite 2023 + max. Solde (Limite 2022*0.4) -transfert Canada (125 t) = 250 + (250 * 0.4) -125= 200 t</t>
  </si>
  <si>
    <t>le calcul du quota ajusté 2023 prend en compte le solde  MAX de 2022 (Limite 2022 * 0.1 = 417*0.1=41.7) auquel est ajouté la limite 2023 417 t) ce qui donne (41.7+417=458.7) t</t>
  </si>
  <si>
    <t>*Senegal agreed on a payback plan for 2020 bigeye overharvest of 1377.77 t: 137.77 tons per year from 2023 to 2032 on. (Provisional pending approval by Commission in 2023)</t>
  </si>
  <si>
    <t>2023: The 2022 underage is greater than the maximum amount that can be carried over to 2023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</si>
  <si>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8(A)=IQ2023+2t EU transfer provided by Rec. 19-05.</t>
  </si>
  <si>
    <t>Pour l'année 2023 le quota ajusté est de 3020  ( le quota initial 3000T+quota non consommé  des prises accessoires 2022 (20T)</t>
  </si>
  <si>
    <t>(7)</t>
  </si>
  <si>
    <t>(7) Límite ajustado 2023 = Límite 2023 + Saldo 2022</t>
  </si>
  <si>
    <t>2024: For 2024 the UK's intial quota is 442.5t of N.ALB. The UK's catches in 2022 were 120.89. Consequently the UK has a remaining balance of 375.11t. The UK is allowed to carry over unused quota to 2024 at the max carry over rate of 25% of its IQ2022 (110.56). When the 25% is applied to the IQ2022 and the quota for 2024 is added, the adjusted quota for 2024 is 553.06</t>
  </si>
  <si>
    <t>IQ2024+MAX 25% IQ2022</t>
  </si>
  <si>
    <t xml:space="preserve">2024: The UK's balance for 2022 was 125t,. The UK wishes to carry over 25% of IQ in 2022 (25t) to 2024. The UK's IQ in 2024 is 120t, with the adjusted quota being 145t.  </t>
  </si>
  <si>
    <t>=IQ2024+MAX. 0.25*IQ2022</t>
  </si>
  <si>
    <t xml:space="preserve">2024: The UK's adjusted quota for N.ATL SWO is 49.67t in 2022. The UK's catches in 2022 were 3.35t. The UK will bank 40% (14.27t) of IQ in 2022 and carry this over to 2024. Therefore the adjusted limit in 2024 is 49.94t. </t>
  </si>
  <si>
    <t>IQ2024+MAX 40% IQ2022</t>
  </si>
  <si>
    <t>=IQ2024+MAX. 0.20*IQ2022</t>
  </si>
  <si>
    <t xml:space="preserve">2024: The UK's quota for S.ATL SWO is 25t  for 2022. The UK's catches in 2022 were 0t, consequently the UK has a remaining balance of 25t. The UK is permitted to transfer a maximum of 20% of unused quota to 2024. When the 20% is applied to the IQ2022 and the quota for 2024 is added, the adjusted quota for 2024 is 30t. </t>
  </si>
  <si>
    <t>IQ2022+Max5%IQ2021</t>
  </si>
  <si>
    <t>IQ2023+Max5%IQ2022</t>
  </si>
  <si>
    <t>IQ2024+Max5%IQ2023</t>
  </si>
  <si>
    <t xml:space="preserve">2023: The UK's IQ in 2023 is 63t. The UK's catches in 2022 were 4.61t,. The UK wants to carry over 5% of 2022 quota to 2023. Thus the UK's adjusted limit in 2023 is 65.42t. </t>
  </si>
  <si>
    <t>IQ2022+MAX100%IQ2021</t>
  </si>
  <si>
    <t>IQ2023+MAX100%IQ2022</t>
  </si>
  <si>
    <t>IQ2024+MAX100%IQ2023</t>
  </si>
  <si>
    <t xml:space="preserve">2023: The UK's quota for W.BFT for 2023 is 6.18. The UK's catches in 2022 were 0.t . The UK is permitted to transfer a maximum of 100% of 2022 Initial Quota to 2023. When the UK's carry over amount is combined with the UK's TAC for 2023. The adjusted quota for 2023 is 12.36t. </t>
  </si>
  <si>
    <t>TÜRKIYE</t>
  </si>
  <si>
    <t>(1) Actual catch amount made by Türkiye in 2022 correspond to 2291.99 t (out of 2305 t). 13.01 t of underharvest from the year 2022 is to be carried-over. Adjusted quota for 2023 = 2600 t (Quota) +13.01 t (overcarried over amount) + (440.79+67.08) from EGY + 128 from SYR = 32488.88t</t>
  </si>
  <si>
    <t>ALBMed</t>
  </si>
  <si>
    <t>(*)</t>
  </si>
  <si>
    <t>(*) Türkiye transfers to EU 75 t in 2023, 75 t in 2024 and for the following years, any part of the ünüsed qüota üp to maximüm of 75 t.</t>
  </si>
  <si>
    <t>Adjusted limit for 2023 = 711.5  + (.25)(711.5) = 889.38</t>
  </si>
  <si>
    <t>Adjusted limit for 2023 = 3907.0 + (0.15)(3907) = 4493.05 t</t>
  </si>
  <si>
    <t>Adjusted limit for 2023 = 100.0 - (100 t (Namibia (50 t), Cote d'Ivoire (25 t), Belize (25 t)) + 100.0</t>
  </si>
  <si>
    <t>Adjusted limit for 2023 = 1341.14 + 106.54 = 1447.68 t****</t>
  </si>
  <si>
    <t>Initial quota/catch limit includes 25 t allocation for by-catch, as per Rec. 16-08 para 6a, Rec. 17-06 para 6a, Rec. 20-06 Para 1(4), Rec. 21-07 Para 1(D), and Rec. 22-10 para 5a.</t>
  </si>
  <si>
    <t>=10340+1005</t>
  </si>
  <si>
    <t>2023 adjusted quota is 11345.00 t (=10340+1005) due to the inclusion of 2021 underage and 2023 initial catch quota + 0 t (Rec. 22-06 Para 4b) as complement from total underage from the TAC</t>
  </si>
  <si>
    <t xml:space="preserve">In 2020 the underharvest for the EU was of 325,97 t, which is less than the maximum allowed 5% provided in Rec 19-04. Therefore, the EU is entitled to carry over  325,97 t to 2021. </t>
  </si>
  <si>
    <t>Limit 2021 + MAX5% 2020 (325.97) - 48.40 to UK</t>
  </si>
  <si>
    <t>Limit 2022 + MAX5% 2021 (573.90) - 48.40 to UK</t>
  </si>
  <si>
    <t>In Addition, the EU will transfer to United Kingdom 0,25% of its initial quota (corresponding to 19360 t) in 2021 and 2022. (48.40t)</t>
  </si>
  <si>
    <t xml:space="preserve">In 2021 the underharvest for the EU was of 573.90 t, which is less than the maximum allowed 5% provided in Rec 19-04. Therefore, the EU is entitled to carry over  573.90 t to 2022 if the current management arrangments are maintained. In Addition, the EU will transfer to United Kingdom 48,40t in 2022. </t>
  </si>
  <si>
    <t>Limit 2023+limit 2021*0,10</t>
  </si>
  <si>
    <t>2023 limit + 0,15*2021 limit - 40t SPM -327 CAN</t>
  </si>
  <si>
    <t xml:space="preserve">The underharvest of the EU in 2021 is of 1862,1 t, which corresponds to more than 15% of its 2021 initial catch limit (1007.7t). In line with Rec. 17-02 the EU can carry over 1007.7 t to 2023 if current management arrangments are maintained. The adjusted limit for 2023 takes also into account the transfers to Canada (327t), and S. Pierre et Miquelon (40 t) as provided for in Rec 17-02. </t>
  </si>
  <si>
    <t>In 2021 the underharvest for the EU was of 548,06 t, which is greater than the maximum allowed 10% provided in Rec 22-04. Therefore, the EU is entitled to carry over  482.4 t to 2023</t>
  </si>
  <si>
    <t>Limit 2023 +  10% Limit 2021</t>
  </si>
  <si>
    <t>2023 Limit - 2t</t>
  </si>
  <si>
    <t>The calculation of the adjusted quota for 2022 and 2023 takes into account the transfer of 2 t to Trinidad &amp; Tobago as provided by Rec. 19-05.</t>
  </si>
  <si>
    <t>50 + Balance 2020</t>
  </si>
  <si>
    <t>50 + Balance 2021</t>
  </si>
  <si>
    <t xml:space="preserve">
**Underage up to 40% of the initial catch quota has been carried over biennially Rec.17-02. Quota calculated from 2018 on</t>
  </si>
  <si>
    <t>In 2022 the underharvest for the EU was of 786.67 t, which is less than the maximum allowed 5% provided in Rec 21-08. Therefore, the EU is entitled to carry over  786.67 t to 2023 if the current management arrangments are maintained.</t>
  </si>
  <si>
    <t>Limit 2023 + MAX5% 2022 (786.67)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</si>
</sst>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0_ "/>
    <numFmt numFmtId="166" formatCode="0.0_ "/>
    <numFmt numFmtId="167" formatCode="#,##0.00_ "/>
    <numFmt numFmtId="168" formatCode="0.0%"/>
    <numFmt numFmtId="169" formatCode="0.00_);[Red]\(0.00\)"/>
    <numFmt numFmtId="170" formatCode="0.00_);\(0.00\)"/>
  </numFmts>
  <fonts count="24" x14ac:knownFonts="1">
    <font>
      <sz val="11"/>
      <color theme="1"/>
      <name val="Calibri"/>
      <family val="2"/>
      <scheme val="minor"/>
    </font>
    <font>
      <sz val="10"/>
      <name val="Arial"/>
      <family val="2"/>
    </font>
    <font>
      <sz val="12"/>
      <name val="Times New Roman"/>
      <family val="1"/>
    </font>
    <font>
      <sz val="10"/>
      <color rgb="FF000000"/>
      <name val="Arial"/>
      <family val="2"/>
    </font>
    <font>
      <sz val="10"/>
      <name val="Arial"/>
      <family val="2"/>
    </font>
    <font>
      <b/>
      <sz val="10"/>
      <name val="Cambria"/>
      <family val="1"/>
    </font>
    <font>
      <sz val="10"/>
      <color rgb="FFFF0000"/>
      <name val="Cambria"/>
      <family val="1"/>
    </font>
    <font>
      <sz val="10"/>
      <color theme="1"/>
      <name val="Cambria"/>
      <family val="1"/>
    </font>
    <font>
      <b/>
      <sz val="10"/>
      <color theme="1"/>
      <name val="Cambria"/>
      <family val="1"/>
    </font>
    <font>
      <sz val="10"/>
      <name val="Arial"/>
      <family val="2"/>
    </font>
    <font>
      <b/>
      <sz val="10"/>
      <color theme="1"/>
      <name val="Calibri"/>
      <family val="2"/>
      <scheme val="minor"/>
    </font>
    <font>
      <sz val="11"/>
      <color theme="1"/>
      <name val="Calibri"/>
      <family val="2"/>
      <scheme val="minor"/>
    </font>
    <font>
      <sz val="11"/>
      <color theme="1"/>
      <name val="Cambria"/>
      <family val="1"/>
    </font>
    <font>
      <sz val="8"/>
      <name val="Calibri"/>
      <family val="2"/>
      <scheme val="minor"/>
    </font>
    <font>
      <sz val="10"/>
      <color theme="1"/>
      <name val="Times New Roman"/>
      <family val="1"/>
    </font>
    <font>
      <strike/>
      <sz val="10"/>
      <color theme="1"/>
      <name val="Cambria"/>
      <family val="1"/>
    </font>
    <font>
      <sz val="10"/>
      <color theme="1"/>
      <name val="Arial"/>
      <family val="2"/>
    </font>
    <font>
      <b/>
      <sz val="10"/>
      <color rgb="FFFF0000"/>
      <name val="Cambria"/>
      <family val="1"/>
    </font>
    <font>
      <sz val="10"/>
      <name val="Cambria"/>
      <family val="1"/>
    </font>
    <font>
      <sz val="10"/>
      <name val="Times New Roman"/>
      <family val="1"/>
    </font>
    <font>
      <b/>
      <sz val="10"/>
      <name val="Times New Roman"/>
      <family val="1"/>
    </font>
    <font>
      <vertAlign val="superscript"/>
      <sz val="10"/>
      <name val="Cambria"/>
      <family val="1"/>
    </font>
    <font>
      <sz val="11"/>
      <name val="Times New Roman"/>
      <family val="1"/>
    </font>
    <font>
      <sz val="11"/>
      <color rgb="FFFF000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theme="1"/>
      </left>
      <right style="thin">
        <color theme="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s>
  <cellStyleXfs count="8">
    <xf numFmtId="0" fontId="0" fillId="0" borderId="0"/>
    <xf numFmtId="0" fontId="1" fillId="0" borderId="0"/>
    <xf numFmtId="0" fontId="1" fillId="0" borderId="0"/>
    <xf numFmtId="0" fontId="1" fillId="0" borderId="0"/>
    <xf numFmtId="0" fontId="3" fillId="0" borderId="0"/>
    <xf numFmtId="0" fontId="4" fillId="0" borderId="0"/>
    <xf numFmtId="0" fontId="9" fillId="0" borderId="0"/>
    <xf numFmtId="0" fontId="1" fillId="0" borderId="0"/>
  </cellStyleXfs>
  <cellXfs count="751">
    <xf numFmtId="0" fontId="0" fillId="0" borderId="0" xfId="0"/>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0" xfId="0" applyFont="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7" fillId="0" borderId="0" xfId="1" applyFont="1"/>
    <xf numFmtId="0" fontId="7" fillId="0" borderId="1" xfId="1" applyFont="1" applyBorder="1"/>
    <xf numFmtId="0" fontId="7" fillId="0" borderId="4" xfId="1" applyFont="1" applyBorder="1"/>
    <xf numFmtId="0" fontId="7" fillId="0" borderId="2" xfId="1" applyFont="1" applyBorder="1"/>
    <xf numFmtId="166" fontId="7" fillId="0" borderId="4" xfId="1" applyNumberFormat="1" applyFont="1" applyBorder="1" applyAlignment="1">
      <alignment horizontal="right" vertical="center"/>
    </xf>
    <xf numFmtId="0" fontId="7" fillId="0" borderId="4" xfId="1" applyFont="1" applyBorder="1" applyAlignment="1">
      <alignment horizontal="right"/>
    </xf>
    <xf numFmtId="0" fontId="8" fillId="0" borderId="2" xfId="1" applyFont="1" applyBorder="1"/>
    <xf numFmtId="0" fontId="7" fillId="0" borderId="11" xfId="1" applyFont="1" applyBorder="1"/>
    <xf numFmtId="0" fontId="7" fillId="0" borderId="6" xfId="1" applyFont="1" applyBorder="1"/>
    <xf numFmtId="0" fontId="8" fillId="0" borderId="1" xfId="1" applyFont="1" applyBorder="1"/>
    <xf numFmtId="0" fontId="7" fillId="0" borderId="12" xfId="1" applyFont="1" applyBorder="1"/>
    <xf numFmtId="0" fontId="8" fillId="0" borderId="0" xfId="0" applyFont="1"/>
    <xf numFmtId="0" fontId="7" fillId="0" borderId="0" xfId="0" applyFont="1"/>
    <xf numFmtId="0" fontId="7" fillId="0" borderId="12" xfId="0" applyFont="1" applyBorder="1"/>
    <xf numFmtId="0" fontId="7" fillId="0" borderId="10" xfId="0" applyFont="1" applyBorder="1"/>
    <xf numFmtId="0" fontId="7" fillId="0" borderId="4" xfId="0" applyFont="1" applyBorder="1"/>
    <xf numFmtId="2" fontId="7" fillId="0" borderId="4" xfId="0" applyNumberFormat="1" applyFont="1" applyBorder="1"/>
    <xf numFmtId="0" fontId="10" fillId="0" borderId="0" xfId="0" applyFont="1"/>
    <xf numFmtId="0" fontId="10" fillId="0" borderId="0" xfId="0" applyFont="1" applyAlignment="1">
      <alignment vertical="center"/>
    </xf>
    <xf numFmtId="0" fontId="12" fillId="0" borderId="0" xfId="0" applyFont="1"/>
    <xf numFmtId="0" fontId="7" fillId="0" borderId="4" xfId="1" applyFont="1" applyBorder="1" applyAlignment="1">
      <alignment horizontal="right" wrapText="1"/>
    </xf>
    <xf numFmtId="0" fontId="7" fillId="0" borderId="0" xfId="1" applyFont="1" applyAlignment="1">
      <alignment wrapText="1"/>
    </xf>
    <xf numFmtId="2" fontId="7" fillId="0" borderId="4" xfId="1" applyNumberFormat="1" applyFont="1" applyBorder="1"/>
    <xf numFmtId="0" fontId="7" fillId="0" borderId="8" xfId="0" applyFont="1" applyBorder="1"/>
    <xf numFmtId="0" fontId="7" fillId="0" borderId="9" xfId="0" applyFont="1" applyBorder="1"/>
    <xf numFmtId="0" fontId="7" fillId="0" borderId="11" xfId="0" applyFont="1" applyBorder="1"/>
    <xf numFmtId="0" fontId="7" fillId="0" borderId="6" xfId="0" applyFont="1" applyBorder="1"/>
    <xf numFmtId="0" fontId="7" fillId="0" borderId="3" xfId="0" applyFont="1" applyBorder="1"/>
    <xf numFmtId="0" fontId="7" fillId="0" borderId="0" xfId="1" applyFont="1" applyAlignment="1">
      <alignment horizontal="left" wrapText="1"/>
    </xf>
    <xf numFmtId="0" fontId="7" fillId="0" borderId="15" xfId="0" applyFont="1" applyBorder="1"/>
    <xf numFmtId="0" fontId="7" fillId="0" borderId="7" xfId="1" applyFont="1" applyBorder="1"/>
    <xf numFmtId="0" fontId="7" fillId="0" borderId="15" xfId="1" applyFont="1" applyBorder="1"/>
    <xf numFmtId="0" fontId="7" fillId="0" borderId="9" xfId="1" applyFont="1" applyBorder="1"/>
    <xf numFmtId="0" fontId="7" fillId="0" borderId="4" xfId="0" applyFont="1" applyBorder="1" applyAlignment="1">
      <alignment wrapText="1"/>
    </xf>
    <xf numFmtId="0" fontId="8" fillId="0" borderId="4" xfId="0" applyFont="1" applyBorder="1"/>
    <xf numFmtId="2" fontId="7" fillId="0" borderId="0" xfId="0" applyNumberFormat="1" applyFont="1"/>
    <xf numFmtId="2" fontId="7" fillId="0" borderId="2" xfId="1" applyNumberFormat="1" applyFont="1" applyBorder="1"/>
    <xf numFmtId="166" fontId="7" fillId="0" borderId="4" xfId="1" applyNumberFormat="1" applyFont="1" applyBorder="1" applyAlignment="1">
      <alignment horizontal="right"/>
    </xf>
    <xf numFmtId="0" fontId="7" fillId="0" borderId="8" xfId="1" applyFont="1" applyBorder="1"/>
    <xf numFmtId="2" fontId="6" fillId="0" borderId="4" xfId="0" applyNumberFormat="1" applyFont="1" applyBorder="1"/>
    <xf numFmtId="0" fontId="7" fillId="0" borderId="1" xfId="0" applyFont="1" applyBorder="1"/>
    <xf numFmtId="2" fontId="7" fillId="0" borderId="4" xfId="0" applyNumberFormat="1" applyFont="1" applyBorder="1" applyAlignment="1">
      <alignment horizontal="right"/>
    </xf>
    <xf numFmtId="2" fontId="7" fillId="0" borderId="4" xfId="0" applyNumberFormat="1" applyFont="1" applyBorder="1" applyAlignment="1">
      <alignment horizontal="right" vertical="center" wrapText="1"/>
    </xf>
    <xf numFmtId="0" fontId="7" fillId="0" borderId="7" xfId="0" applyFont="1" applyBorder="1"/>
    <xf numFmtId="0" fontId="7" fillId="0" borderId="0" xfId="0" applyFont="1" applyAlignment="1">
      <alignment horizontal="left"/>
    </xf>
    <xf numFmtId="0" fontId="8" fillId="0" borderId="4" xfId="0" applyFont="1" applyBorder="1" applyAlignment="1">
      <alignment horizontal="center"/>
    </xf>
    <xf numFmtId="0" fontId="7" fillId="0" borderId="16" xfId="0" applyFont="1" applyBorder="1"/>
    <xf numFmtId="2" fontId="7" fillId="0" borderId="16" xfId="0" applyNumberFormat="1" applyFont="1" applyBorder="1" applyAlignment="1">
      <alignment horizontal="right"/>
    </xf>
    <xf numFmtId="0" fontId="7" fillId="0" borderId="4" xfId="0" applyFont="1" applyBorder="1" applyAlignment="1">
      <alignment horizontal="center"/>
    </xf>
    <xf numFmtId="0" fontId="8" fillId="0" borderId="2" xfId="0" applyFont="1" applyBorder="1"/>
    <xf numFmtId="0" fontId="7" fillId="0" borderId="2" xfId="0" applyFont="1" applyBorder="1"/>
    <xf numFmtId="0" fontId="7" fillId="0" borderId="15" xfId="0" applyFont="1" applyBorder="1" applyAlignment="1">
      <alignment horizontal="center"/>
    </xf>
    <xf numFmtId="0" fontId="7" fillId="0" borderId="5" xfId="0" applyFont="1" applyBorder="1"/>
    <xf numFmtId="0" fontId="7" fillId="0" borderId="11" xfId="0" applyFont="1" applyBorder="1" applyAlignment="1">
      <alignment horizontal="left"/>
    </xf>
    <xf numFmtId="2" fontId="7" fillId="0" borderId="4" xfId="1" applyNumberFormat="1" applyFont="1" applyBorder="1" applyProtection="1">
      <protection locked="0"/>
    </xf>
    <xf numFmtId="2" fontId="7" fillId="0" borderId="4" xfId="1" applyNumberFormat="1" applyFont="1" applyBorder="1" applyAlignment="1" applyProtection="1">
      <alignment horizontal="right"/>
      <protection locked="0"/>
    </xf>
    <xf numFmtId="2" fontId="7" fillId="0" borderId="4" xfId="1" applyNumberFormat="1"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7" fillId="0" borderId="15" xfId="1" applyFont="1" applyBorder="1" applyAlignment="1">
      <alignment horizontal="center"/>
    </xf>
    <xf numFmtId="0" fontId="8" fillId="0" borderId="1" xfId="0" applyFont="1" applyBorder="1" applyAlignment="1">
      <alignment horizontal="center"/>
    </xf>
    <xf numFmtId="0" fontId="7" fillId="0" borderId="9" xfId="1" applyFont="1" applyBorder="1" applyAlignment="1">
      <alignment horizontal="center"/>
    </xf>
    <xf numFmtId="0" fontId="7" fillId="0" borderId="0" xfId="0" applyFont="1" applyAlignment="1">
      <alignment wrapText="1"/>
    </xf>
    <xf numFmtId="0" fontId="7" fillId="0" borderId="4" xfId="0" quotePrefix="1" applyFont="1" applyBorder="1" applyAlignment="1">
      <alignment wrapText="1"/>
    </xf>
    <xf numFmtId="0" fontId="6" fillId="0" borderId="4" xfId="0" applyFont="1" applyBorder="1" applyAlignment="1">
      <alignment wrapText="1"/>
    </xf>
    <xf numFmtId="1" fontId="7" fillId="0" borderId="15" xfId="0" applyNumberFormat="1" applyFont="1" applyBorder="1" applyAlignment="1">
      <alignment horizontal="center"/>
    </xf>
    <xf numFmtId="0" fontId="8" fillId="0" borderId="3" xfId="0" applyFont="1" applyBorder="1"/>
    <xf numFmtId="0" fontId="7" fillId="0" borderId="11" xfId="0" applyFont="1" applyBorder="1" applyAlignment="1">
      <alignment vertical="center"/>
    </xf>
    <xf numFmtId="0" fontId="8" fillId="0" borderId="11" xfId="0" applyFont="1" applyBorder="1"/>
    <xf numFmtId="0" fontId="7" fillId="0" borderId="4" xfId="0" applyFont="1" applyBorder="1" applyAlignment="1">
      <alignment horizontal="left" vertical="center" wrapText="1"/>
    </xf>
    <xf numFmtId="0" fontId="8" fillId="0" borderId="4" xfId="0" applyFont="1" applyBorder="1" applyAlignment="1">
      <alignment horizontal="center" vertical="center" wrapText="1"/>
    </xf>
    <xf numFmtId="0" fontId="7" fillId="0" borderId="7" xfId="0" applyFont="1" applyBorder="1" applyAlignment="1">
      <alignment horizontal="left"/>
    </xf>
    <xf numFmtId="0" fontId="7" fillId="0" borderId="12" xfId="0" applyFont="1" applyBorder="1" applyAlignment="1">
      <alignment horizontal="left"/>
    </xf>
    <xf numFmtId="0" fontId="8" fillId="0" borderId="4" xfId="1" applyFont="1" applyBorder="1" applyAlignment="1">
      <alignment horizontal="center"/>
    </xf>
    <xf numFmtId="0" fontId="8" fillId="0" borderId="2" xfId="1" applyFont="1" applyBorder="1" applyAlignment="1">
      <alignment horizontal="center"/>
    </xf>
    <xf numFmtId="0" fontId="7" fillId="0" borderId="5" xfId="1" applyFont="1" applyBorder="1"/>
    <xf numFmtId="0" fontId="7" fillId="0" borderId="8" xfId="0" applyFont="1" applyBorder="1" applyAlignment="1">
      <alignment horizontal="center"/>
    </xf>
    <xf numFmtId="0" fontId="7" fillId="0" borderId="9" xfId="0" applyFont="1" applyBorder="1" applyAlignment="1">
      <alignment horizontal="center"/>
    </xf>
    <xf numFmtId="0" fontId="8" fillId="0" borderId="15" xfId="0" applyFont="1" applyBorder="1" applyAlignment="1">
      <alignment horizontal="center"/>
    </xf>
    <xf numFmtId="0" fontId="8" fillId="0" borderId="0" xfId="0" applyFont="1" applyAlignment="1">
      <alignment horizontal="center"/>
    </xf>
    <xf numFmtId="0" fontId="8" fillId="0" borderId="8" xfId="0" applyFont="1" applyBorder="1" applyAlignment="1">
      <alignment horizontal="center"/>
    </xf>
    <xf numFmtId="2" fontId="7" fillId="0" borderId="4" xfId="0" applyNumberFormat="1" applyFont="1" applyBorder="1" applyAlignment="1">
      <alignment horizontal="center" wrapText="1"/>
    </xf>
    <xf numFmtId="0" fontId="8" fillId="0" borderId="6" xfId="0" applyFont="1" applyBorder="1" applyAlignment="1">
      <alignment horizontal="center"/>
    </xf>
    <xf numFmtId="0" fontId="8" fillId="0" borderId="8" xfId="0" applyFont="1" applyBorder="1"/>
    <xf numFmtId="2" fontId="7" fillId="0" borderId="4" xfId="0" applyNumberFormat="1" applyFont="1" applyBorder="1" applyAlignment="1">
      <alignment wrapText="1"/>
    </xf>
    <xf numFmtId="0" fontId="8" fillId="0" borderId="9" xfId="0" applyFont="1" applyBorder="1" applyAlignment="1">
      <alignment horizontal="center"/>
    </xf>
    <xf numFmtId="0" fontId="8" fillId="0" borderId="10" xfId="0" applyFont="1" applyBorder="1" applyAlignment="1">
      <alignment horizontal="center"/>
    </xf>
    <xf numFmtId="0" fontId="8" fillId="0" borderId="5" xfId="0" applyFont="1" applyBorder="1" applyAlignment="1">
      <alignment horizontal="center"/>
    </xf>
    <xf numFmtId="2" fontId="7" fillId="0" borderId="5" xfId="0" applyNumberFormat="1" applyFont="1" applyBorder="1" applyAlignment="1">
      <alignment horizontal="right"/>
    </xf>
    <xf numFmtId="2" fontId="7" fillId="0" borderId="2" xfId="0" applyNumberFormat="1" applyFont="1" applyBorder="1" applyAlignment="1">
      <alignment horizontal="right"/>
    </xf>
    <xf numFmtId="0" fontId="8" fillId="0" borderId="1" xfId="0" applyFont="1" applyBorder="1"/>
    <xf numFmtId="2" fontId="7" fillId="0" borderId="5" xfId="0" applyNumberFormat="1" applyFont="1" applyBorder="1"/>
    <xf numFmtId="2" fontId="7" fillId="0" borderId="2" xfId="0" applyNumberFormat="1" applyFont="1" applyBorder="1"/>
    <xf numFmtId="0" fontId="7" fillId="0" borderId="2" xfId="0" applyFont="1" applyBorder="1" applyAlignment="1">
      <alignment horizontal="left"/>
    </xf>
    <xf numFmtId="0" fontId="7" fillId="0" borderId="5" xfId="0" applyFont="1" applyBorder="1" applyAlignment="1">
      <alignment horizontal="left"/>
    </xf>
    <xf numFmtId="0" fontId="7" fillId="0" borderId="8" xfId="1" applyFont="1" applyBorder="1" applyAlignment="1">
      <alignment horizontal="center"/>
    </xf>
    <xf numFmtId="2" fontId="7" fillId="0" borderId="4" xfId="1" applyNumberFormat="1" applyFont="1" applyBorder="1" applyAlignment="1">
      <alignment horizontal="right"/>
    </xf>
    <xf numFmtId="2" fontId="7" fillId="0" borderId="4" xfId="1" applyNumberFormat="1" applyFont="1" applyBorder="1" applyAlignment="1">
      <alignment horizontal="right" wrapText="1"/>
    </xf>
    <xf numFmtId="0" fontId="7" fillId="0" borderId="11" xfId="1" applyFont="1" applyBorder="1" applyAlignment="1">
      <alignment horizontal="left"/>
    </xf>
    <xf numFmtId="0" fontId="7" fillId="0" borderId="6" xfId="1" applyFont="1" applyBorder="1" applyAlignment="1">
      <alignment horizontal="left"/>
    </xf>
    <xf numFmtId="0" fontId="7" fillId="0" borderId="3" xfId="1" applyFont="1" applyBorder="1" applyAlignment="1">
      <alignment horizontal="left"/>
    </xf>
    <xf numFmtId="0" fontId="7" fillId="0" borderId="16" xfId="1" applyFont="1" applyBorder="1"/>
    <xf numFmtId="0" fontId="8" fillId="0" borderId="16" xfId="0" applyFont="1" applyBorder="1" applyAlignment="1">
      <alignment horizontal="center"/>
    </xf>
    <xf numFmtId="0" fontId="8" fillId="0" borderId="2" xfId="0" applyFont="1" applyBorder="1" applyAlignment="1">
      <alignment horizontal="center"/>
    </xf>
    <xf numFmtId="0" fontId="8" fillId="0" borderId="16" xfId="1" applyFont="1" applyBorder="1" applyAlignment="1">
      <alignment horizontal="center"/>
    </xf>
    <xf numFmtId="0" fontId="8" fillId="0" borderId="2" xfId="0" applyFont="1" applyBorder="1" applyAlignment="1">
      <alignment horizontal="left"/>
    </xf>
    <xf numFmtId="49" fontId="7" fillId="0" borderId="4" xfId="1" applyNumberFormat="1" applyFont="1" applyBorder="1" applyAlignment="1">
      <alignment horizontal="right" wrapText="1"/>
    </xf>
    <xf numFmtId="0" fontId="7" fillId="0" borderId="0" xfId="0" applyFont="1" applyAlignment="1">
      <alignment horizontal="center"/>
    </xf>
    <xf numFmtId="0" fontId="7" fillId="0" borderId="6" xfId="0" applyFont="1" applyBorder="1" applyAlignment="1">
      <alignment horizontal="center"/>
    </xf>
    <xf numFmtId="0" fontId="7" fillId="0" borderId="0" xfId="0" applyFont="1" applyAlignment="1">
      <alignment horizontal="left" wrapText="1"/>
    </xf>
    <xf numFmtId="0" fontId="7" fillId="0" borderId="7" xfId="0" applyFont="1" applyBorder="1" applyAlignment="1">
      <alignment horizontal="center"/>
    </xf>
    <xf numFmtId="0" fontId="7" fillId="0" borderId="8" xfId="0" applyFont="1" applyBorder="1" applyAlignment="1">
      <alignment wrapText="1"/>
    </xf>
    <xf numFmtId="0" fontId="7" fillId="0" borderId="9" xfId="0" applyFont="1" applyBorder="1" applyAlignment="1">
      <alignment wrapText="1"/>
    </xf>
    <xf numFmtId="0" fontId="7" fillId="0" borderId="10" xfId="0" applyFont="1" applyBorder="1" applyAlignment="1">
      <alignment horizontal="left" wrapText="1"/>
    </xf>
    <xf numFmtId="0" fontId="7" fillId="0" borderId="10" xfId="0" applyFont="1" applyBorder="1" applyAlignment="1">
      <alignment wrapText="1"/>
    </xf>
    <xf numFmtId="0" fontId="7" fillId="0" borderId="10" xfId="1" applyFont="1" applyBorder="1" applyAlignment="1">
      <alignment horizontal="center"/>
    </xf>
    <xf numFmtId="0" fontId="7" fillId="0" borderId="1" xfId="1" applyFont="1" applyBorder="1" applyAlignment="1">
      <alignment horizontal="left"/>
    </xf>
    <xf numFmtId="0" fontId="7" fillId="0" borderId="5" xfId="1" applyFont="1" applyBorder="1" applyAlignment="1">
      <alignment horizontal="left"/>
    </xf>
    <xf numFmtId="0" fontId="7" fillId="0" borderId="6" xfId="0" applyFont="1" applyBorder="1" applyAlignment="1">
      <alignment horizontal="left" wrapText="1"/>
    </xf>
    <xf numFmtId="0" fontId="8" fillId="2" borderId="1" xfId="0" applyFont="1" applyFill="1" applyBorder="1"/>
    <xf numFmtId="1" fontId="7" fillId="0" borderId="4" xfId="0" applyNumberFormat="1" applyFont="1" applyBorder="1"/>
    <xf numFmtId="1" fontId="7" fillId="0" borderId="4" xfId="0" applyNumberFormat="1" applyFont="1" applyBorder="1" applyAlignment="1">
      <alignment wrapText="1"/>
    </xf>
    <xf numFmtId="0" fontId="8" fillId="2" borderId="24" xfId="1" applyFont="1" applyFill="1" applyBorder="1"/>
    <xf numFmtId="0" fontId="8" fillId="0" borderId="24" xfId="1" applyFont="1" applyBorder="1"/>
    <xf numFmtId="0" fontId="8" fillId="0" borderId="4" xfId="1" applyFont="1" applyBorder="1"/>
    <xf numFmtId="2" fontId="7" fillId="0" borderId="5" xfId="1" applyNumberFormat="1" applyFont="1" applyBorder="1"/>
    <xf numFmtId="0" fontId="14" fillId="0" borderId="12" xfId="0" applyFont="1" applyBorder="1" applyAlignment="1">
      <alignment horizontal="left"/>
    </xf>
    <xf numFmtId="0" fontId="7" fillId="0" borderId="0" xfId="1" applyFont="1" applyAlignment="1">
      <alignment horizontal="left"/>
    </xf>
    <xf numFmtId="0" fontId="14" fillId="0" borderId="11" xfId="0" applyFont="1" applyBorder="1"/>
    <xf numFmtId="0" fontId="7" fillId="0" borderId="24" xfId="1" applyFont="1" applyBorder="1"/>
    <xf numFmtId="0" fontId="7" fillId="0" borderId="25" xfId="1" applyFont="1" applyBorder="1"/>
    <xf numFmtId="0" fontId="8" fillId="2" borderId="1" xfId="1" applyFont="1" applyFill="1" applyBorder="1"/>
    <xf numFmtId="39" fontId="7" fillId="0" borderId="4" xfId="1" applyNumberFormat="1" applyFont="1" applyBorder="1"/>
    <xf numFmtId="39" fontId="7" fillId="0" borderId="2" xfId="1" applyNumberFormat="1" applyFont="1" applyBorder="1"/>
    <xf numFmtId="164" fontId="7" fillId="0" borderId="4" xfId="1" applyNumberFormat="1" applyFont="1" applyBorder="1"/>
    <xf numFmtId="170" fontId="7" fillId="0" borderId="4" xfId="1" applyNumberFormat="1" applyFont="1" applyBorder="1"/>
    <xf numFmtId="170" fontId="7" fillId="0" borderId="2" xfId="1" applyNumberFormat="1" applyFont="1" applyBorder="1"/>
    <xf numFmtId="164" fontId="7" fillId="0" borderId="4" xfId="1" applyNumberFormat="1" applyFont="1" applyBorder="1" applyAlignment="1">
      <alignment wrapText="1"/>
    </xf>
    <xf numFmtId="1" fontId="7" fillId="0" borderId="15" xfId="1" applyNumberFormat="1" applyFont="1" applyBorder="1"/>
    <xf numFmtId="0" fontId="7" fillId="0" borderId="12" xfId="1" applyFont="1" applyBorder="1" applyAlignment="1">
      <alignment horizontal="left"/>
    </xf>
    <xf numFmtId="164" fontId="7" fillId="0" borderId="2" xfId="1" applyNumberFormat="1" applyFont="1" applyBorder="1"/>
    <xf numFmtId="1" fontId="7" fillId="0" borderId="8" xfId="1" applyNumberFormat="1" applyFont="1" applyBorder="1"/>
    <xf numFmtId="1" fontId="7" fillId="0" borderId="9" xfId="1" applyNumberFormat="1" applyFont="1" applyBorder="1"/>
    <xf numFmtId="0" fontId="7" fillId="2" borderId="1" xfId="0" applyFont="1" applyFill="1" applyBorder="1"/>
    <xf numFmtId="2" fontId="7" fillId="0" borderId="4" xfId="0" applyNumberFormat="1" applyFont="1" applyBorder="1" applyAlignment="1">
      <alignment horizontal="left" vertical="center" wrapText="1"/>
    </xf>
    <xf numFmtId="0" fontId="7" fillId="0" borderId="15" xfId="0" applyFont="1" applyBorder="1" applyAlignment="1">
      <alignment horizontal="left" vertical="center" wrapText="1"/>
    </xf>
    <xf numFmtId="0" fontId="7" fillId="0" borderId="15" xfId="0" applyFont="1" applyBorder="1" applyAlignment="1">
      <alignment horizontal="center" vertical="center" wrapText="1"/>
    </xf>
    <xf numFmtId="0" fontId="7" fillId="0" borderId="16" xfId="0" applyFont="1" applyBorder="1" applyAlignment="1">
      <alignment horizontal="left" vertical="center" wrapText="1"/>
    </xf>
    <xf numFmtId="0" fontId="8" fillId="0" borderId="16" xfId="0" applyFont="1" applyBorder="1" applyAlignment="1">
      <alignment horizontal="center" vertical="center" wrapText="1"/>
    </xf>
    <xf numFmtId="49" fontId="7" fillId="0" borderId="4" xfId="0" applyNumberFormat="1" applyFont="1" applyBorder="1" applyAlignment="1">
      <alignment wrapText="1"/>
    </xf>
    <xf numFmtId="49" fontId="7" fillId="0" borderId="2" xfId="0" applyNumberFormat="1" applyFont="1" applyBorder="1" applyAlignment="1">
      <alignment wrapText="1"/>
    </xf>
    <xf numFmtId="0" fontId="7" fillId="0" borderId="4" xfId="0" quotePrefix="1" applyFont="1" applyBorder="1"/>
    <xf numFmtId="49" fontId="7" fillId="0" borderId="4" xfId="0" applyNumberFormat="1" applyFont="1" applyBorder="1"/>
    <xf numFmtId="49" fontId="7" fillId="0" borderId="2" xfId="0" applyNumberFormat="1" applyFont="1" applyBorder="1"/>
    <xf numFmtId="2" fontId="7" fillId="0" borderId="4" xfId="0" applyNumberFormat="1" applyFont="1" applyBorder="1" applyAlignment="1">
      <alignment horizontal="center" vertical="center" wrapText="1"/>
    </xf>
    <xf numFmtId="2" fontId="7" fillId="0" borderId="1" xfId="0" applyNumberFormat="1" applyFont="1" applyBorder="1"/>
    <xf numFmtId="0" fontId="7" fillId="0" borderId="6" xfId="0" applyFont="1" applyBorder="1" applyAlignment="1" applyProtection="1">
      <alignment wrapText="1"/>
      <protection locked="0"/>
    </xf>
    <xf numFmtId="0" fontId="7" fillId="0" borderId="4" xfId="1" applyFont="1" applyBorder="1" applyAlignment="1" applyProtection="1">
      <alignment horizontal="right"/>
      <protection locked="0"/>
    </xf>
    <xf numFmtId="0" fontId="7" fillId="0" borderId="6" xfId="0" applyFont="1" applyBorder="1" applyAlignment="1">
      <alignment vertical="top" wrapText="1"/>
    </xf>
    <xf numFmtId="0" fontId="7" fillId="0" borderId="3" xfId="0" applyFont="1" applyBorder="1" applyAlignment="1">
      <alignment vertical="top" wrapText="1"/>
    </xf>
    <xf numFmtId="0" fontId="7" fillId="0" borderId="6" xfId="0" applyFont="1" applyBorder="1" applyAlignment="1">
      <alignment wrapText="1"/>
    </xf>
    <xf numFmtId="0" fontId="7" fillId="0" borderId="6" xfId="0" applyFont="1" applyBorder="1" applyAlignment="1">
      <alignment vertical="center" wrapText="1"/>
    </xf>
    <xf numFmtId="0" fontId="7" fillId="0" borderId="0" xfId="0" applyFont="1" applyAlignment="1">
      <alignment horizontal="left" vertical="center" wrapText="1"/>
    </xf>
    <xf numFmtId="0" fontId="7" fillId="0" borderId="0" xfId="2" applyFont="1"/>
    <xf numFmtId="0" fontId="7" fillId="0" borderId="0" xfId="0" applyFont="1" applyAlignment="1">
      <alignment vertical="center" wrapText="1"/>
    </xf>
    <xf numFmtId="0" fontId="8" fillId="0" borderId="1" xfId="2" applyFont="1" applyBorder="1"/>
    <xf numFmtId="0" fontId="8" fillId="0" borderId="2" xfId="2" applyFont="1" applyBorder="1"/>
    <xf numFmtId="0" fontId="7" fillId="0" borderId="11" xfId="2" applyFont="1" applyBorder="1"/>
    <xf numFmtId="0" fontId="14" fillId="0" borderId="0" xfId="2" applyFont="1"/>
    <xf numFmtId="0" fontId="7" fillId="0" borderId="1" xfId="2" applyFont="1" applyBorder="1"/>
    <xf numFmtId="40" fontId="7" fillId="0" borderId="4" xfId="2" applyNumberFormat="1" applyFont="1" applyBorder="1"/>
    <xf numFmtId="0" fontId="7" fillId="0" borderId="7" xfId="2" applyFont="1" applyBorder="1"/>
    <xf numFmtId="0" fontId="7" fillId="0" borderId="8" xfId="2" applyFont="1" applyBorder="1"/>
    <xf numFmtId="0" fontId="7" fillId="0" borderId="9" xfId="2" applyFont="1" applyBorder="1"/>
    <xf numFmtId="0" fontId="7" fillId="0" borderId="12" xfId="2" applyFont="1" applyBorder="1"/>
    <xf numFmtId="0" fontId="7" fillId="0" borderId="10" xfId="2" applyFont="1" applyBorder="1"/>
    <xf numFmtId="0" fontId="7" fillId="0" borderId="4" xfId="2" applyFont="1" applyBorder="1" applyAlignment="1">
      <alignment horizontal="left"/>
    </xf>
    <xf numFmtId="168" fontId="7" fillId="0" borderId="4" xfId="2" applyNumberFormat="1" applyFont="1" applyBorder="1"/>
    <xf numFmtId="0" fontId="7" fillId="0" borderId="4" xfId="2" applyFont="1" applyBorder="1"/>
    <xf numFmtId="0" fontId="7" fillId="0" borderId="6" xfId="2" applyFont="1" applyBorder="1"/>
    <xf numFmtId="0" fontId="7" fillId="0" borderId="3" xfId="2" applyFont="1" applyBorder="1"/>
    <xf numFmtId="1" fontId="8" fillId="0" borderId="16" xfId="2" applyNumberFormat="1" applyFont="1" applyBorder="1" applyAlignment="1">
      <alignment horizontal="center" vertical="top"/>
    </xf>
    <xf numFmtId="1" fontId="8" fillId="0" borderId="4" xfId="2" applyNumberFormat="1" applyFont="1" applyBorder="1" applyAlignment="1">
      <alignment horizontal="center" vertical="top"/>
    </xf>
    <xf numFmtId="2" fontId="7" fillId="0" borderId="4" xfId="2" applyNumberFormat="1" applyFont="1" applyBorder="1"/>
    <xf numFmtId="0" fontId="7" fillId="0" borderId="15" xfId="2" applyFont="1" applyBorder="1"/>
    <xf numFmtId="0" fontId="7" fillId="0" borderId="15" xfId="2" applyFont="1" applyBorder="1" applyAlignment="1">
      <alignment horizontal="center"/>
    </xf>
    <xf numFmtId="0" fontId="7" fillId="0" borderId="5" xfId="2" applyFont="1" applyBorder="1"/>
    <xf numFmtId="0" fontId="7" fillId="0" borderId="0" xfId="2" applyFont="1" applyAlignment="1">
      <alignment horizontal="left"/>
    </xf>
    <xf numFmtId="0" fontId="7" fillId="0" borderId="0" xfId="2" applyFont="1" applyAlignment="1">
      <alignment horizontal="center"/>
    </xf>
    <xf numFmtId="168" fontId="7" fillId="0" borderId="0" xfId="2" applyNumberFormat="1" applyFont="1"/>
    <xf numFmtId="0" fontId="7" fillId="0" borderId="12" xfId="3" applyFont="1" applyBorder="1" applyAlignment="1">
      <alignment horizontal="left"/>
    </xf>
    <xf numFmtId="0" fontId="15" fillId="0" borderId="0" xfId="2" applyFont="1"/>
    <xf numFmtId="0" fontId="15" fillId="0" borderId="10" xfId="2" applyFont="1" applyBorder="1"/>
    <xf numFmtId="0" fontId="15" fillId="0" borderId="0" xfId="0" applyFont="1"/>
    <xf numFmtId="0" fontId="7" fillId="0" borderId="12" xfId="3" applyFont="1" applyBorder="1"/>
    <xf numFmtId="0" fontId="7" fillId="0" borderId="11" xfId="3" applyFont="1" applyBorder="1"/>
    <xf numFmtId="0" fontId="7" fillId="0" borderId="6" xfId="3" applyFont="1" applyBorder="1"/>
    <xf numFmtId="1" fontId="7" fillId="0" borderId="4" xfId="2" applyNumberFormat="1" applyFont="1" applyBorder="1"/>
    <xf numFmtId="169" fontId="7" fillId="0" borderId="15" xfId="2" applyNumberFormat="1" applyFont="1" applyBorder="1"/>
    <xf numFmtId="40" fontId="7" fillId="0" borderId="15" xfId="2" applyNumberFormat="1" applyFont="1" applyBorder="1"/>
    <xf numFmtId="0" fontId="7" fillId="0" borderId="12" xfId="2" applyFont="1" applyBorder="1" applyAlignment="1">
      <alignment horizontal="left"/>
    </xf>
    <xf numFmtId="0" fontId="7" fillId="0" borderId="6" xfId="3" applyFont="1" applyBorder="1" applyAlignment="1">
      <alignment wrapText="1"/>
    </xf>
    <xf numFmtId="0" fontId="7" fillId="0" borderId="11" xfId="3" applyFont="1" applyBorder="1" applyAlignment="1">
      <alignment horizontal="left"/>
    </xf>
    <xf numFmtId="0" fontId="8" fillId="0" borderId="4" xfId="2" applyFont="1" applyBorder="1"/>
    <xf numFmtId="2" fontId="7" fillId="0" borderId="4" xfId="2" applyNumberFormat="1" applyFont="1" applyBorder="1" applyAlignment="1">
      <alignment horizontal="right"/>
    </xf>
    <xf numFmtId="0" fontId="7" fillId="0" borderId="6" xfId="2" applyFont="1" applyBorder="1" applyAlignment="1">
      <alignment horizontal="center"/>
    </xf>
    <xf numFmtId="0" fontId="8" fillId="0" borderId="7" xfId="2" applyFont="1" applyBorder="1"/>
    <xf numFmtId="1" fontId="8" fillId="0" borderId="2" xfId="2" applyNumberFormat="1" applyFont="1" applyBorder="1" applyAlignment="1">
      <alignment horizontal="center" vertical="top"/>
    </xf>
    <xf numFmtId="1" fontId="8" fillId="0" borderId="13" xfId="2" applyNumberFormat="1" applyFont="1" applyBorder="1" applyAlignment="1">
      <alignment horizontal="center" vertical="top"/>
    </xf>
    <xf numFmtId="2" fontId="7" fillId="0" borderId="2" xfId="2" applyNumberFormat="1" applyFont="1" applyBorder="1" applyAlignment="1">
      <alignment horizontal="right"/>
    </xf>
    <xf numFmtId="2" fontId="7" fillId="0" borderId="2" xfId="2" applyNumberFormat="1" applyFont="1" applyBorder="1"/>
    <xf numFmtId="2" fontId="7" fillId="0" borderId="5" xfId="2" applyNumberFormat="1" applyFont="1" applyBorder="1"/>
    <xf numFmtId="40" fontId="7" fillId="0" borderId="9" xfId="2" applyNumberFormat="1" applyFont="1" applyBorder="1"/>
    <xf numFmtId="166" fontId="7" fillId="0" borderId="6" xfId="2" applyNumberFormat="1" applyFont="1" applyBorder="1" applyAlignment="1">
      <alignment horizontal="center"/>
    </xf>
    <xf numFmtId="40" fontId="7" fillId="0" borderId="8" xfId="2" applyNumberFormat="1" applyFont="1" applyBorder="1"/>
    <xf numFmtId="0" fontId="16" fillId="0" borderId="0" xfId="0" applyFont="1"/>
    <xf numFmtId="2" fontId="7" fillId="0" borderId="4" xfId="1" applyNumberFormat="1" applyFont="1" applyBorder="1" applyAlignment="1">
      <alignment vertical="center" wrapText="1"/>
    </xf>
    <xf numFmtId="2" fontId="7" fillId="0" borderId="4" xfId="0" applyNumberFormat="1" applyFont="1" applyBorder="1" applyAlignment="1">
      <alignment horizontal="center"/>
    </xf>
    <xf numFmtId="2" fontId="7" fillId="0" borderId="1" xfId="0" applyNumberFormat="1" applyFont="1" applyBorder="1" applyAlignment="1">
      <alignment horizontal="right" vertical="center" wrapText="1"/>
    </xf>
    <xf numFmtId="0" fontId="8" fillId="0" borderId="6" xfId="0" applyFont="1" applyBorder="1"/>
    <xf numFmtId="2" fontId="7" fillId="0" borderId="13" xfId="0" applyNumberFormat="1" applyFont="1" applyBorder="1" applyAlignment="1">
      <alignment horizontal="right"/>
    </xf>
    <xf numFmtId="1" fontId="8" fillId="0" borderId="4" xfId="0" applyNumberFormat="1" applyFont="1" applyBorder="1" applyAlignment="1">
      <alignment horizontal="center"/>
    </xf>
    <xf numFmtId="1" fontId="8" fillId="0" borderId="5" xfId="0" applyNumberFormat="1" applyFont="1" applyBorder="1" applyAlignment="1">
      <alignment horizontal="center"/>
    </xf>
    <xf numFmtId="1" fontId="8" fillId="0" borderId="2" xfId="0" applyNumberFormat="1" applyFont="1" applyBorder="1" applyAlignment="1">
      <alignment horizontal="center"/>
    </xf>
    <xf numFmtId="2" fontId="7" fillId="0" borderId="2" xfId="0" applyNumberFormat="1" applyFont="1" applyBorder="1" applyAlignment="1">
      <alignment horizontal="center"/>
    </xf>
    <xf numFmtId="0" fontId="8" fillId="0" borderId="9" xfId="0" applyFont="1" applyBorder="1" applyAlignment="1">
      <alignment horizontal="left"/>
    </xf>
    <xf numFmtId="0" fontId="8" fillId="0" borderId="15" xfId="0" applyFont="1" applyBorder="1"/>
    <xf numFmtId="0" fontId="8" fillId="0" borderId="16" xfId="0" applyFont="1" applyBorder="1"/>
    <xf numFmtId="0" fontId="7" fillId="0" borderId="10" xfId="0" applyFont="1" applyBorder="1" applyAlignment="1">
      <alignment horizontal="center"/>
    </xf>
    <xf numFmtId="0" fontId="7" fillId="0" borderId="3" xfId="0" applyFont="1" applyBorder="1" applyAlignment="1">
      <alignment horizontal="center"/>
    </xf>
    <xf numFmtId="0" fontId="6" fillId="0" borderId="11" xfId="0" applyFont="1" applyBorder="1"/>
    <xf numFmtId="0" fontId="6" fillId="0" borderId="0" xfId="0" applyFont="1"/>
    <xf numFmtId="2" fontId="6" fillId="0" borderId="19" xfId="4" applyNumberFormat="1" applyFont="1" applyBorder="1"/>
    <xf numFmtId="0" fontId="17" fillId="0" borderId="4" xfId="0" applyFont="1" applyBorder="1" applyAlignment="1">
      <alignment horizontal="center"/>
    </xf>
    <xf numFmtId="2" fontId="6" fillId="0" borderId="4" xfId="0" applyNumberFormat="1" applyFont="1" applyBorder="1" applyAlignment="1">
      <alignment horizontal="right"/>
    </xf>
    <xf numFmtId="0" fontId="6" fillId="0" borderId="15" xfId="0" applyFont="1" applyBorder="1" applyAlignment="1">
      <alignment horizontal="center"/>
    </xf>
    <xf numFmtId="2" fontId="6" fillId="0" borderId="4" xfId="1" applyNumberFormat="1" applyFont="1" applyBorder="1"/>
    <xf numFmtId="2" fontId="6" fillId="0" borderId="4" xfId="2" applyNumberFormat="1" applyFont="1" applyBorder="1"/>
    <xf numFmtId="0" fontId="6" fillId="0" borderId="12" xfId="0" applyFont="1" applyBorder="1"/>
    <xf numFmtId="0" fontId="6" fillId="0" borderId="0" xfId="0" applyFont="1" applyAlignment="1">
      <alignment horizontal="center"/>
    </xf>
    <xf numFmtId="0" fontId="6" fillId="0" borderId="10" xfId="0" applyFont="1" applyBorder="1" applyAlignment="1">
      <alignment horizontal="center"/>
    </xf>
    <xf numFmtId="0" fontId="6" fillId="0" borderId="6" xfId="0" applyFont="1" applyBorder="1" applyAlignment="1">
      <alignment horizontal="center"/>
    </xf>
    <xf numFmtId="0" fontId="6" fillId="0" borderId="3" xfId="0" applyFont="1" applyBorder="1" applyAlignment="1">
      <alignment horizontal="center"/>
    </xf>
    <xf numFmtId="2" fontId="6" fillId="0" borderId="2" xfId="1" applyNumberFormat="1" applyFont="1" applyBorder="1"/>
    <xf numFmtId="0" fontId="16" fillId="0" borderId="10" xfId="0" applyFont="1" applyBorder="1"/>
    <xf numFmtId="0" fontId="16" fillId="0" borderId="2" xfId="0" applyFont="1" applyBorder="1"/>
    <xf numFmtId="0" fontId="7" fillId="0" borderId="12" xfId="0" applyFont="1" applyBorder="1" applyAlignment="1">
      <alignment horizontal="left" vertical="center"/>
    </xf>
    <xf numFmtId="0" fontId="18" fillId="0" borderId="11" xfId="0" applyFont="1" applyBorder="1"/>
    <xf numFmtId="0" fontId="5" fillId="0" borderId="4" xfId="0" applyFont="1" applyBorder="1" applyAlignment="1">
      <alignment horizontal="center"/>
    </xf>
    <xf numFmtId="2" fontId="18" fillId="0" borderId="2" xfId="0" applyNumberFormat="1" applyFont="1" applyBorder="1" applyAlignment="1">
      <alignment horizontal="right"/>
    </xf>
    <xf numFmtId="1" fontId="18" fillId="0" borderId="4" xfId="0" applyNumberFormat="1" applyFont="1" applyBorder="1"/>
    <xf numFmtId="2" fontId="18" fillId="0" borderId="4" xfId="0" applyNumberFormat="1" applyFont="1" applyBorder="1"/>
    <xf numFmtId="1" fontId="18" fillId="0" borderId="15" xfId="0" applyNumberFormat="1" applyFont="1" applyBorder="1" applyAlignment="1">
      <alignment horizontal="right"/>
    </xf>
    <xf numFmtId="0" fontId="18" fillId="0" borderId="9" xfId="0" applyFont="1" applyBorder="1"/>
    <xf numFmtId="0" fontId="18" fillId="0" borderId="7" xfId="0" applyFont="1" applyBorder="1"/>
    <xf numFmtId="0" fontId="18" fillId="0" borderId="8" xfId="0" applyFont="1" applyBorder="1"/>
    <xf numFmtId="0" fontId="18" fillId="0" borderId="12" xfId="0" applyFont="1" applyBorder="1"/>
    <xf numFmtId="0" fontId="18" fillId="0" borderId="0" xfId="0" applyFont="1"/>
    <xf numFmtId="0" fontId="18" fillId="0" borderId="10" xfId="0" applyFont="1" applyBorder="1"/>
    <xf numFmtId="0" fontId="18" fillId="0" borderId="6" xfId="0" applyFont="1" applyBorder="1"/>
    <xf numFmtId="0" fontId="18" fillId="0" borderId="3" xfId="0" applyFont="1" applyBorder="1"/>
    <xf numFmtId="0" fontId="7" fillId="0" borderId="3" xfId="0" applyFont="1" applyBorder="1" applyAlignment="1">
      <alignment wrapText="1"/>
    </xf>
    <xf numFmtId="0" fontId="18" fillId="0" borderId="4" xfId="0" applyFont="1" applyBorder="1"/>
    <xf numFmtId="0" fontId="18" fillId="0" borderId="15" xfId="0" applyFont="1" applyBorder="1"/>
    <xf numFmtId="0" fontId="5" fillId="0" borderId="2" xfId="1" applyFont="1" applyBorder="1" applyAlignment="1">
      <alignment horizontal="center"/>
    </xf>
    <xf numFmtId="1" fontId="18" fillId="0" borderId="15" xfId="1" applyNumberFormat="1" applyFont="1" applyBorder="1" applyAlignment="1">
      <alignment horizontal="center"/>
    </xf>
    <xf numFmtId="0" fontId="7" fillId="0" borderId="2" xfId="1" applyFont="1" applyBorder="1" applyAlignment="1">
      <alignment horizontal="left"/>
    </xf>
    <xf numFmtId="0" fontId="8" fillId="0" borderId="15" xfId="0" applyFont="1" applyBorder="1" applyAlignment="1">
      <alignment horizontal="center" vertical="center" wrapText="1"/>
    </xf>
    <xf numFmtId="2" fontId="18" fillId="0" borderId="4" xfId="0" applyNumberFormat="1" applyFont="1" applyBorder="1" applyAlignment="1">
      <alignment horizontal="right"/>
    </xf>
    <xf numFmtId="0" fontId="18" fillId="0" borderId="2" xfId="0" applyFont="1" applyBorder="1"/>
    <xf numFmtId="0" fontId="18" fillId="0" borderId="11" xfId="0" applyFont="1" applyBorder="1" applyAlignment="1">
      <alignment horizontal="left"/>
    </xf>
    <xf numFmtId="0" fontId="19" fillId="0" borderId="0" xfId="0" applyFont="1"/>
    <xf numFmtId="0" fontId="1" fillId="0" borderId="0" xfId="0" applyFont="1"/>
    <xf numFmtId="0" fontId="18" fillId="0" borderId="4" xfId="2" applyFont="1" applyBorder="1" applyAlignment="1">
      <alignment horizontal="center"/>
    </xf>
    <xf numFmtId="165" fontId="18" fillId="0" borderId="4" xfId="2" applyNumberFormat="1" applyFont="1" applyBorder="1" applyAlignment="1">
      <alignment horizontal="center"/>
    </xf>
    <xf numFmtId="0" fontId="8" fillId="0" borderId="16" xfId="2" applyFont="1" applyBorder="1" applyAlignment="1">
      <alignment horizontal="center" vertical="top"/>
    </xf>
    <xf numFmtId="0" fontId="8" fillId="0" borderId="4" xfId="2" applyFont="1" applyBorder="1" applyAlignment="1">
      <alignment horizontal="center" vertical="top"/>
    </xf>
    <xf numFmtId="2" fontId="18" fillId="0" borderId="4" xfId="2" applyNumberFormat="1" applyFont="1" applyBorder="1"/>
    <xf numFmtId="0" fontId="8" fillId="0" borderId="5" xfId="1" applyFont="1" applyBorder="1"/>
    <xf numFmtId="0" fontId="8" fillId="0" borderId="16" xfId="1" applyFont="1" applyBorder="1"/>
    <xf numFmtId="170" fontId="6" fillId="0" borderId="4" xfId="1" applyNumberFormat="1" applyFont="1" applyBorder="1"/>
    <xf numFmtId="0" fontId="7" fillId="0" borderId="5" xfId="1" applyFont="1" applyBorder="1" applyAlignment="1">
      <alignment vertical="top" wrapText="1"/>
    </xf>
    <xf numFmtId="2" fontId="18" fillId="0" borderId="4" xfId="4" applyNumberFormat="1" applyFont="1" applyBorder="1"/>
    <xf numFmtId="0" fontId="19" fillId="0" borderId="12" xfId="0" applyFont="1" applyBorder="1"/>
    <xf numFmtId="0" fontId="14" fillId="0" borderId="12" xfId="0" applyFont="1" applyBorder="1"/>
    <xf numFmtId="0" fontId="18" fillId="0" borderId="4" xfId="0" applyFont="1" applyBorder="1" applyAlignment="1">
      <alignment wrapText="1"/>
    </xf>
    <xf numFmtId="0" fontId="18" fillId="0" borderId="15" xfId="0" applyFont="1" applyBorder="1" applyAlignment="1">
      <alignment horizontal="center"/>
    </xf>
    <xf numFmtId="0" fontId="18" fillId="0" borderId="9" xfId="0" applyFont="1" applyBorder="1" applyAlignment="1">
      <alignment horizontal="center"/>
    </xf>
    <xf numFmtId="2" fontId="6" fillId="0" borderId="19" xfId="4" quotePrefix="1" applyNumberFormat="1" applyFont="1" applyBorder="1"/>
    <xf numFmtId="0" fontId="7" fillId="0" borderId="10" xfId="0" applyFont="1" applyBorder="1" applyAlignment="1">
      <alignment horizontal="left"/>
    </xf>
    <xf numFmtId="0" fontId="7" fillId="0" borderId="3" xfId="0" applyFont="1" applyBorder="1" applyAlignment="1">
      <alignment horizontal="left"/>
    </xf>
    <xf numFmtId="0" fontId="6" fillId="0" borderId="4" xfId="0" quotePrefix="1" applyFont="1" applyBorder="1"/>
    <xf numFmtId="49" fontId="7" fillId="0" borderId="4" xfId="1" applyNumberFormat="1" applyFont="1" applyBorder="1" applyAlignment="1">
      <alignment horizontal="right"/>
    </xf>
    <xf numFmtId="0" fontId="7" fillId="0" borderId="0" xfId="3" applyFont="1"/>
    <xf numFmtId="0" fontId="15" fillId="0" borderId="0" xfId="2" applyFont="1" applyAlignment="1">
      <alignment horizontal="center"/>
    </xf>
    <xf numFmtId="166" fontId="15" fillId="0" borderId="0" xfId="2" applyNumberFormat="1" applyFont="1" applyAlignment="1">
      <alignment horizontal="center"/>
    </xf>
    <xf numFmtId="170" fontId="6" fillId="0" borderId="2" xfId="1" applyNumberFormat="1" applyFont="1" applyBorder="1"/>
    <xf numFmtId="164" fontId="6" fillId="0" borderId="4" xfId="1" applyNumberFormat="1" applyFont="1" applyBorder="1" applyAlignment="1">
      <alignment wrapText="1"/>
    </xf>
    <xf numFmtId="0" fontId="18" fillId="0" borderId="11" xfId="1" applyFont="1" applyBorder="1" applyAlignment="1">
      <alignment horizontal="left"/>
    </xf>
    <xf numFmtId="0" fontId="18" fillId="0" borderId="6" xfId="1" applyFont="1" applyBorder="1" applyAlignment="1">
      <alignment horizontal="left"/>
    </xf>
    <xf numFmtId="0" fontId="5" fillId="0" borderId="1" xfId="1" applyFont="1" applyBorder="1"/>
    <xf numFmtId="0" fontId="5" fillId="0" borderId="2" xfId="1" applyFont="1" applyBorder="1"/>
    <xf numFmtId="0" fontId="5" fillId="0" borderId="4" xfId="1" applyFont="1" applyBorder="1"/>
    <xf numFmtId="0" fontId="18" fillId="0" borderId="0" xfId="1" applyFont="1"/>
    <xf numFmtId="0" fontId="18" fillId="0" borderId="1" xfId="1" applyFont="1" applyBorder="1"/>
    <xf numFmtId="0" fontId="5" fillId="0" borderId="5" xfId="1" applyFont="1" applyBorder="1"/>
    <xf numFmtId="170" fontId="18" fillId="0" borderId="4" xfId="1" applyNumberFormat="1" applyFont="1" applyBorder="1"/>
    <xf numFmtId="0" fontId="18" fillId="0" borderId="7" xfId="1" applyFont="1" applyBorder="1"/>
    <xf numFmtId="0" fontId="18" fillId="0" borderId="15" xfId="1" applyFont="1" applyBorder="1"/>
    <xf numFmtId="0" fontId="18" fillId="0" borderId="8" xfId="1" applyFont="1" applyBorder="1"/>
    <xf numFmtId="0" fontId="18" fillId="0" borderId="9" xfId="1" applyFont="1" applyBorder="1"/>
    <xf numFmtId="0" fontId="5" fillId="0" borderId="1" xfId="0" applyFont="1" applyBorder="1"/>
    <xf numFmtId="0" fontId="5" fillId="0" borderId="5" xfId="0" applyFont="1" applyBorder="1"/>
    <xf numFmtId="0" fontId="5" fillId="0" borderId="4" xfId="0" applyFont="1" applyBorder="1"/>
    <xf numFmtId="0" fontId="18" fillId="0" borderId="1" xfId="0" applyFont="1" applyBorder="1"/>
    <xf numFmtId="0" fontId="5" fillId="0" borderId="4" xfId="0" applyFont="1" applyBorder="1" applyAlignment="1">
      <alignment horizontal="right" vertical="center"/>
    </xf>
    <xf numFmtId="2" fontId="18" fillId="0" borderId="4" xfId="0" applyNumberFormat="1" applyFont="1" applyBorder="1" applyAlignment="1">
      <alignment horizontal="right" vertical="center"/>
    </xf>
    <xf numFmtId="2" fontId="18" fillId="0" borderId="4" xfId="0" applyNumberFormat="1" applyFont="1" applyBorder="1" applyAlignment="1">
      <alignment vertical="center"/>
    </xf>
    <xf numFmtId="0" fontId="18" fillId="0" borderId="15" xfId="0" applyFont="1" applyBorder="1" applyAlignment="1">
      <alignment horizontal="right" vertical="center"/>
    </xf>
    <xf numFmtId="0" fontId="18" fillId="0" borderId="15" xfId="0" applyFont="1" applyBorder="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0" fontId="18" fillId="0" borderId="12" xfId="0" applyFont="1" applyBorder="1" applyAlignment="1">
      <alignment vertical="center"/>
    </xf>
    <xf numFmtId="0" fontId="18" fillId="0" borderId="0" xfId="0" applyFont="1" applyAlignment="1">
      <alignment vertical="center"/>
    </xf>
    <xf numFmtId="0" fontId="18" fillId="0" borderId="12" xfId="0" applyFont="1" applyBorder="1" applyAlignment="1">
      <alignment horizontal="left"/>
    </xf>
    <xf numFmtId="0" fontId="5" fillId="0" borderId="2" xfId="0" applyFont="1" applyBorder="1"/>
    <xf numFmtId="0" fontId="5" fillId="0" borderId="5" xfId="0" applyFont="1" applyBorder="1" applyAlignment="1">
      <alignment horizontal="center"/>
    </xf>
    <xf numFmtId="0" fontId="5" fillId="0" borderId="2" xfId="0" applyFont="1" applyBorder="1" applyAlignment="1">
      <alignment horizontal="center"/>
    </xf>
    <xf numFmtId="2" fontId="18" fillId="0" borderId="5" xfId="0" applyNumberFormat="1" applyFont="1" applyBorder="1" applyAlignment="1">
      <alignment horizontal="right"/>
    </xf>
    <xf numFmtId="49" fontId="18" fillId="0" borderId="4" xfId="0" applyNumberFormat="1" applyFont="1" applyBorder="1" applyAlignment="1">
      <alignment wrapText="1"/>
    </xf>
    <xf numFmtId="49" fontId="18" fillId="0" borderId="2" xfId="0" applyNumberFormat="1" applyFont="1" applyBorder="1" applyAlignment="1">
      <alignment wrapText="1"/>
    </xf>
    <xf numFmtId="0" fontId="18" fillId="0" borderId="8" xfId="0" applyFont="1" applyBorder="1" applyAlignment="1">
      <alignment horizontal="center"/>
    </xf>
    <xf numFmtId="0" fontId="18" fillId="0" borderId="6" xfId="0" applyFont="1" applyBorder="1" applyAlignment="1">
      <alignment horizontal="left" wrapText="1"/>
    </xf>
    <xf numFmtId="0" fontId="18" fillId="0" borderId="4" xfId="0" quotePrefix="1" applyFont="1" applyBorder="1"/>
    <xf numFmtId="2" fontId="18" fillId="0" borderId="5" xfId="0" applyNumberFormat="1" applyFont="1" applyBorder="1"/>
    <xf numFmtId="2" fontId="18" fillId="0" borderId="2" xfId="0" applyNumberFormat="1" applyFont="1" applyBorder="1"/>
    <xf numFmtId="49" fontId="18" fillId="0" borderId="4" xfId="0" applyNumberFormat="1" applyFont="1" applyBorder="1"/>
    <xf numFmtId="49" fontId="18" fillId="0" borderId="2" xfId="0" applyNumberFormat="1" applyFont="1" applyBorder="1"/>
    <xf numFmtId="0" fontId="18" fillId="0" borderId="4" xfId="0" applyFont="1" applyBorder="1" applyAlignment="1">
      <alignment horizontal="center"/>
    </xf>
    <xf numFmtId="0" fontId="19" fillId="0" borderId="1" xfId="0" applyFont="1" applyBorder="1"/>
    <xf numFmtId="0" fontId="20" fillId="0" borderId="4" xfId="0" applyFont="1" applyBorder="1"/>
    <xf numFmtId="0" fontId="20" fillId="0" borderId="5" xfId="0" applyFont="1" applyBorder="1"/>
    <xf numFmtId="0" fontId="20" fillId="0" borderId="2" xfId="0" applyFont="1" applyBorder="1"/>
    <xf numFmtId="2" fontId="19" fillId="0" borderId="4" xfId="0" applyNumberFormat="1" applyFont="1" applyBorder="1" applyAlignment="1">
      <alignment horizontal="right" vertical="center"/>
    </xf>
    <xf numFmtId="2" fontId="19" fillId="0" borderId="2" xfId="0" applyNumberFormat="1" applyFont="1" applyBorder="1" applyAlignment="1">
      <alignment horizontal="right" vertical="center"/>
    </xf>
    <xf numFmtId="0" fontId="19" fillId="0" borderId="4" xfId="0" applyFont="1" applyBorder="1" applyAlignment="1">
      <alignment horizontal="right"/>
    </xf>
    <xf numFmtId="2" fontId="19" fillId="0" borderId="4" xfId="0" applyNumberFormat="1" applyFont="1" applyBorder="1" applyAlignment="1">
      <alignment horizontal="right"/>
    </xf>
    <xf numFmtId="0" fontId="19" fillId="0" borderId="5" xfId="0" applyFont="1" applyBorder="1" applyAlignment="1">
      <alignment horizontal="right"/>
    </xf>
    <xf numFmtId="0" fontId="19" fillId="0" borderId="2" xfId="0" applyFont="1" applyBorder="1" applyAlignment="1">
      <alignment horizontal="right"/>
    </xf>
    <xf numFmtId="0" fontId="19" fillId="0" borderId="7" xfId="0" applyFont="1" applyBorder="1"/>
    <xf numFmtId="0" fontId="19" fillId="0" borderId="8" xfId="0" applyFont="1" applyBorder="1"/>
    <xf numFmtId="0" fontId="19" fillId="0" borderId="9" xfId="0" applyFont="1" applyBorder="1"/>
    <xf numFmtId="0" fontId="19" fillId="0" borderId="10" xfId="0" applyFont="1" applyBorder="1"/>
    <xf numFmtId="0" fontId="19" fillId="0" borderId="11" xfId="0" applyFont="1" applyBorder="1"/>
    <xf numFmtId="0" fontId="19" fillId="0" borderId="6" xfId="0" applyFont="1" applyBorder="1"/>
    <xf numFmtId="0" fontId="19" fillId="0" borderId="3" xfId="0" applyFont="1" applyBorder="1"/>
    <xf numFmtId="0" fontId="18" fillId="0" borderId="0" xfId="1" applyFont="1" applyAlignment="1">
      <alignment horizontal="left" wrapText="1"/>
    </xf>
    <xf numFmtId="2" fontId="19" fillId="0" borderId="4" xfId="0" applyNumberFormat="1" applyFont="1" applyBorder="1" applyAlignment="1">
      <alignment vertical="center"/>
    </xf>
    <xf numFmtId="2" fontId="19" fillId="0" borderId="2" xfId="0" applyNumberFormat="1" applyFont="1" applyBorder="1" applyAlignment="1">
      <alignment vertical="center"/>
    </xf>
    <xf numFmtId="0" fontId="19" fillId="0" borderId="4" xfId="0" applyFont="1" applyBorder="1"/>
    <xf numFmtId="2" fontId="19" fillId="0" borderId="4" xfId="0" applyNumberFormat="1" applyFont="1" applyBorder="1"/>
    <xf numFmtId="0" fontId="19" fillId="0" borderId="2" xfId="0" applyFont="1" applyBorder="1"/>
    <xf numFmtId="0" fontId="19" fillId="0" borderId="15" xfId="0" applyFont="1" applyBorder="1"/>
    <xf numFmtId="0" fontId="19" fillId="0" borderId="5" xfId="0" applyFont="1" applyBorder="1"/>
    <xf numFmtId="20" fontId="19" fillId="0" borderId="7" xfId="0" applyNumberFormat="1" applyFont="1" applyBorder="1"/>
    <xf numFmtId="20" fontId="19" fillId="0" borderId="12" xfId="0" applyNumberFormat="1" applyFont="1" applyBorder="1"/>
    <xf numFmtId="20" fontId="19" fillId="0" borderId="11" xfId="0" applyNumberFormat="1" applyFont="1" applyBorder="1"/>
    <xf numFmtId="0" fontId="20" fillId="0" borderId="4" xfId="0" applyFont="1" applyBorder="1" applyAlignment="1">
      <alignment horizontal="right"/>
    </xf>
    <xf numFmtId="0" fontId="20" fillId="0" borderId="5" xfId="0" applyFont="1" applyBorder="1" applyAlignment="1">
      <alignment horizontal="right"/>
    </xf>
    <xf numFmtId="0" fontId="20" fillId="0" borderId="2" xfId="0" applyFont="1" applyBorder="1" applyAlignment="1">
      <alignment horizontal="right"/>
    </xf>
    <xf numFmtId="2" fontId="19" fillId="0" borderId="4" xfId="0" applyNumberFormat="1" applyFont="1" applyBorder="1" applyAlignment="1">
      <alignment horizontal="right" vertical="center" wrapText="1"/>
    </xf>
    <xf numFmtId="2" fontId="19" fillId="0" borderId="2" xfId="0" applyNumberFormat="1" applyFont="1" applyBorder="1" applyAlignment="1">
      <alignment horizontal="right" vertical="center" wrapText="1"/>
    </xf>
    <xf numFmtId="0" fontId="18" fillId="0" borderId="11" xfId="1" applyFont="1" applyBorder="1"/>
    <xf numFmtId="0" fontId="18" fillId="0" borderId="16" xfId="1" applyFont="1" applyBorder="1"/>
    <xf numFmtId="0" fontId="18" fillId="0" borderId="4" xfId="1" applyFont="1" applyBorder="1" applyAlignment="1">
      <alignment horizontal="center"/>
    </xf>
    <xf numFmtId="0" fontId="18" fillId="0" borderId="4" xfId="1" applyFont="1" applyBorder="1"/>
    <xf numFmtId="2" fontId="18" fillId="0" borderId="4" xfId="1" applyNumberFormat="1" applyFont="1" applyBorder="1"/>
    <xf numFmtId="166" fontId="18" fillId="0" borderId="4" xfId="1" applyNumberFormat="1" applyFont="1" applyBorder="1"/>
    <xf numFmtId="166" fontId="18" fillId="0" borderId="4" xfId="1" applyNumberFormat="1" applyFont="1" applyBorder="1" applyAlignment="1">
      <alignment horizontal="right"/>
    </xf>
    <xf numFmtId="0" fontId="18" fillId="0" borderId="4" xfId="1" applyFont="1" applyBorder="1" applyAlignment="1">
      <alignment horizontal="right" wrapText="1"/>
    </xf>
    <xf numFmtId="0" fontId="18" fillId="0" borderId="4" xfId="1" applyFont="1" applyBorder="1" applyAlignment="1">
      <alignment horizontal="right"/>
    </xf>
    <xf numFmtId="0" fontId="18" fillId="0" borderId="15" xfId="1" applyFont="1" applyBorder="1" applyAlignment="1">
      <alignment horizontal="center"/>
    </xf>
    <xf numFmtId="0" fontId="18" fillId="0" borderId="7" xfId="1" applyFont="1" applyBorder="1" applyAlignment="1">
      <alignment wrapText="1"/>
    </xf>
    <xf numFmtId="0" fontId="18" fillId="0" borderId="8" xfId="1" applyFont="1" applyBorder="1" applyAlignment="1">
      <alignment wrapText="1"/>
    </xf>
    <xf numFmtId="0" fontId="18" fillId="0" borderId="12" xfId="1" applyFont="1" applyBorder="1" applyAlignment="1">
      <alignment horizontal="left"/>
    </xf>
    <xf numFmtId="0" fontId="18" fillId="0" borderId="11" xfId="1" applyFont="1" applyBorder="1" applyAlignment="1">
      <alignment horizontal="left" wrapText="1"/>
    </xf>
    <xf numFmtId="0" fontId="18" fillId="0" borderId="6" xfId="1" applyFont="1" applyBorder="1" applyAlignment="1">
      <alignment horizontal="left" wrapText="1"/>
    </xf>
    <xf numFmtId="0" fontId="5" fillId="0" borderId="9" xfId="1" applyFont="1" applyBorder="1"/>
    <xf numFmtId="0" fontId="5" fillId="0" borderId="4" xfId="1" applyFont="1" applyBorder="1" applyAlignment="1">
      <alignment horizontal="center"/>
    </xf>
    <xf numFmtId="2" fontId="18" fillId="0" borderId="4" xfId="1" applyNumberFormat="1" applyFont="1" applyBorder="1" applyAlignment="1">
      <alignment horizontal="right"/>
    </xf>
    <xf numFmtId="49" fontId="18" fillId="0" borderId="4" xfId="1" applyNumberFormat="1" applyFont="1" applyBorder="1" applyAlignment="1">
      <alignment horizontal="right"/>
    </xf>
    <xf numFmtId="0" fontId="18" fillId="0" borderId="0" xfId="1" applyFont="1" applyAlignment="1">
      <alignment wrapText="1"/>
    </xf>
    <xf numFmtId="0" fontId="5" fillId="0" borderId="16" xfId="1" applyFont="1" applyBorder="1" applyAlignment="1">
      <alignment horizontal="center"/>
    </xf>
    <xf numFmtId="2" fontId="6" fillId="0" borderId="4" xfId="1" applyNumberFormat="1" applyFont="1" applyBorder="1" applyProtection="1">
      <protection locked="0"/>
    </xf>
    <xf numFmtId="0" fontId="5" fillId="0" borderId="16" xfId="0" applyFont="1" applyBorder="1" applyAlignment="1">
      <alignment horizontal="center"/>
    </xf>
    <xf numFmtId="2" fontId="18" fillId="0" borderId="4" xfId="1" applyNumberFormat="1" applyFont="1" applyBorder="1" applyProtection="1">
      <protection locked="0"/>
    </xf>
    <xf numFmtId="0" fontId="18" fillId="0" borderId="4" xfId="1" applyFont="1" applyBorder="1" applyAlignment="1" applyProtection="1">
      <alignment horizontal="right"/>
      <protection locked="0"/>
    </xf>
    <xf numFmtId="2" fontId="18" fillId="0" borderId="4" xfId="1" applyNumberFormat="1" applyFont="1" applyBorder="1" applyAlignment="1" applyProtection="1">
      <alignment horizontal="center" vertical="center" wrapText="1"/>
      <protection locked="0"/>
    </xf>
    <xf numFmtId="0" fontId="18" fillId="0" borderId="4" xfId="0" applyFont="1" applyBorder="1" applyAlignment="1">
      <alignment horizontal="center" vertical="center" wrapText="1"/>
    </xf>
    <xf numFmtId="2" fontId="18" fillId="0" borderId="1" xfId="0" applyNumberFormat="1" applyFont="1" applyBorder="1"/>
    <xf numFmtId="0" fontId="5" fillId="0" borderId="8" xfId="0" applyFont="1" applyBorder="1" applyAlignment="1">
      <alignment horizontal="center"/>
    </xf>
    <xf numFmtId="0" fontId="5" fillId="0" borderId="0" xfId="0" applyFont="1" applyAlignment="1">
      <alignment horizontal="center"/>
    </xf>
    <xf numFmtId="0" fontId="18" fillId="0" borderId="6" xfId="0" applyFont="1" applyBorder="1" applyAlignment="1">
      <alignment wrapText="1"/>
    </xf>
    <xf numFmtId="2" fontId="18" fillId="0" borderId="4" xfId="1" applyNumberFormat="1" applyFont="1" applyBorder="1" applyAlignment="1" applyProtection="1">
      <alignment horizontal="right"/>
      <protection locked="0"/>
    </xf>
    <xf numFmtId="0" fontId="18" fillId="0" borderId="4" xfId="0" applyFont="1" applyBorder="1" applyAlignment="1">
      <alignment horizontal="center" wrapText="1"/>
    </xf>
    <xf numFmtId="0" fontId="5" fillId="0" borderId="9" xfId="0" applyFont="1" applyBorder="1" applyAlignment="1">
      <alignment horizontal="center"/>
    </xf>
    <xf numFmtId="0" fontId="5" fillId="0" borderId="10" xfId="0" applyFont="1" applyBorder="1" applyAlignment="1">
      <alignment horizontal="center"/>
    </xf>
    <xf numFmtId="0" fontId="18" fillId="0" borderId="11" xfId="0" applyFont="1" applyBorder="1" applyAlignment="1">
      <alignment vertical="center"/>
    </xf>
    <xf numFmtId="0" fontId="18" fillId="0" borderId="6" xfId="0" applyFont="1" applyBorder="1" applyAlignment="1">
      <alignment vertical="center" wrapText="1"/>
    </xf>
    <xf numFmtId="2" fontId="18" fillId="0" borderId="4" xfId="1" applyNumberFormat="1" applyFont="1" applyBorder="1" applyAlignment="1" applyProtection="1">
      <alignment horizontal="right" vertical="center" wrapText="1"/>
      <protection locked="0"/>
    </xf>
    <xf numFmtId="0" fontId="18" fillId="0" borderId="0" xfId="0" applyFont="1" applyAlignment="1">
      <alignment horizontal="left" vertical="center" wrapText="1"/>
    </xf>
    <xf numFmtId="0" fontId="5" fillId="3" borderId="1" xfId="0" applyFont="1" applyFill="1" applyBorder="1"/>
    <xf numFmtId="0" fontId="5" fillId="0" borderId="0" xfId="0" applyFont="1"/>
    <xf numFmtId="0" fontId="5" fillId="0" borderId="11" xfId="0" applyFont="1" applyBorder="1"/>
    <xf numFmtId="0" fontId="5" fillId="0" borderId="3" xfId="0" applyFont="1" applyBorder="1"/>
    <xf numFmtId="1" fontId="18" fillId="0" borderId="5" xfId="0" applyNumberFormat="1" applyFont="1" applyBorder="1"/>
    <xf numFmtId="1" fontId="18" fillId="0" borderId="2" xfId="0" applyNumberFormat="1" applyFont="1" applyBorder="1"/>
    <xf numFmtId="0" fontId="5" fillId="0" borderId="1" xfId="0" applyFont="1" applyBorder="1" applyAlignment="1">
      <alignment wrapText="1"/>
    </xf>
    <xf numFmtId="0" fontId="5" fillId="0" borderId="2" xfId="0" applyFont="1" applyBorder="1" applyAlignment="1">
      <alignment wrapText="1"/>
    </xf>
    <xf numFmtId="0" fontId="5" fillId="0" borderId="4" xfId="0" applyFont="1" applyBorder="1" applyAlignment="1">
      <alignment wrapText="1"/>
    </xf>
    <xf numFmtId="0" fontId="18" fillId="0" borderId="0" xfId="0" applyFont="1" applyAlignment="1">
      <alignment wrapText="1"/>
    </xf>
    <xf numFmtId="0" fontId="18" fillId="0" borderId="1" xfId="0" applyFont="1" applyBorder="1" applyAlignment="1">
      <alignment wrapText="1"/>
    </xf>
    <xf numFmtId="0" fontId="5" fillId="0" borderId="4" xfId="0" applyFont="1" applyBorder="1" applyAlignment="1">
      <alignment horizontal="center" wrapText="1"/>
    </xf>
    <xf numFmtId="0" fontId="5" fillId="0" borderId="5" xfId="0" applyFont="1" applyBorder="1" applyAlignment="1">
      <alignment horizontal="center" wrapText="1"/>
    </xf>
    <xf numFmtId="2" fontId="18" fillId="0" borderId="4" xfId="0" applyNumberFormat="1" applyFont="1" applyBorder="1" applyAlignment="1">
      <alignment wrapText="1"/>
    </xf>
    <xf numFmtId="2" fontId="18" fillId="0" borderId="5" xfId="0" applyNumberFormat="1" applyFont="1" applyBorder="1" applyAlignment="1">
      <alignment wrapText="1"/>
    </xf>
    <xf numFmtId="2" fontId="18" fillId="0" borderId="2" xfId="0" applyNumberFormat="1" applyFont="1" applyBorder="1" applyAlignment="1">
      <alignment wrapText="1"/>
    </xf>
    <xf numFmtId="0" fontId="18" fillId="0" borderId="5" xfId="0" applyFont="1" applyBorder="1" applyAlignment="1">
      <alignment wrapText="1"/>
    </xf>
    <xf numFmtId="0" fontId="18" fillId="0" borderId="2" xfId="0" applyFont="1" applyBorder="1" applyAlignment="1">
      <alignment wrapText="1"/>
    </xf>
    <xf numFmtId="0" fontId="18" fillId="0" borderId="7" xfId="0" applyFont="1" applyBorder="1" applyAlignment="1">
      <alignment wrapText="1"/>
    </xf>
    <xf numFmtId="0" fontId="18" fillId="0" borderId="15" xfId="0" applyFont="1" applyBorder="1" applyAlignment="1">
      <alignment wrapText="1"/>
    </xf>
    <xf numFmtId="0" fontId="18" fillId="0" borderId="8" xfId="0" applyFont="1" applyBorder="1" applyAlignment="1">
      <alignment wrapText="1"/>
    </xf>
    <xf numFmtId="0" fontId="18" fillId="0" borderId="9" xfId="0" applyFont="1" applyBorder="1" applyAlignment="1">
      <alignment wrapText="1"/>
    </xf>
    <xf numFmtId="0" fontId="18" fillId="0" borderId="10" xfId="0" applyFont="1" applyBorder="1" applyAlignment="1">
      <alignment wrapText="1"/>
    </xf>
    <xf numFmtId="0" fontId="18" fillId="0" borderId="3" xfId="0" applyFont="1" applyBorder="1" applyAlignment="1">
      <alignment wrapText="1"/>
    </xf>
    <xf numFmtId="0" fontId="5" fillId="4" borderId="4" xfId="0" applyFont="1" applyFill="1" applyBorder="1" applyAlignment="1">
      <alignment horizontal="center"/>
    </xf>
    <xf numFmtId="0" fontId="5" fillId="4" borderId="5" xfId="0" applyFont="1" applyFill="1" applyBorder="1" applyAlignment="1">
      <alignment horizontal="center"/>
    </xf>
    <xf numFmtId="2" fontId="18" fillId="4" borderId="4" xfId="0" applyNumberFormat="1" applyFont="1" applyFill="1" applyBorder="1"/>
    <xf numFmtId="2" fontId="18" fillId="4" borderId="5" xfId="0" applyNumberFormat="1" applyFont="1" applyFill="1" applyBorder="1"/>
    <xf numFmtId="2" fontId="18" fillId="4" borderId="2" xfId="0" applyNumberFormat="1" applyFont="1" applyFill="1" applyBorder="1"/>
    <xf numFmtId="0" fontId="18" fillId="4" borderId="4" xfId="0" applyFont="1" applyFill="1" applyBorder="1"/>
    <xf numFmtId="0" fontId="18" fillId="4" borderId="5" xfId="0" applyFont="1" applyFill="1" applyBorder="1"/>
    <xf numFmtId="0" fontId="18" fillId="4" borderId="2" xfId="0" applyFont="1" applyFill="1" applyBorder="1"/>
    <xf numFmtId="0" fontId="18" fillId="4" borderId="15" xfId="0" applyFont="1" applyFill="1" applyBorder="1"/>
    <xf numFmtId="0" fontId="5" fillId="2" borderId="1" xfId="1" applyFont="1" applyFill="1" applyBorder="1"/>
    <xf numFmtId="0" fontId="18" fillId="0" borderId="0" xfId="2" applyFont="1"/>
    <xf numFmtId="0" fontId="5" fillId="0" borderId="5" xfId="1" applyFont="1" applyBorder="1" applyAlignment="1">
      <alignment horizontal="center"/>
    </xf>
    <xf numFmtId="2" fontId="18" fillId="0" borderId="0" xfId="0" applyNumberFormat="1" applyFont="1"/>
    <xf numFmtId="0" fontId="18" fillId="0" borderId="7" xfId="0" applyFont="1" applyBorder="1" applyAlignment="1">
      <alignment horizontal="left" vertical="center" wrapText="1"/>
    </xf>
    <xf numFmtId="0" fontId="18" fillId="0" borderId="8" xfId="0" applyFont="1" applyBorder="1" applyAlignment="1">
      <alignment vertical="center" wrapText="1"/>
    </xf>
    <xf numFmtId="0" fontId="18" fillId="0" borderId="0" xfId="0" applyFont="1" applyAlignment="1">
      <alignment vertical="center" wrapText="1"/>
    </xf>
    <xf numFmtId="2" fontId="18" fillId="0" borderId="15" xfId="1" applyNumberFormat="1" applyFont="1" applyBorder="1"/>
    <xf numFmtId="0" fontId="18" fillId="0" borderId="1" xfId="1" applyFont="1" applyBorder="1" applyAlignment="1">
      <alignment wrapText="1"/>
    </xf>
    <xf numFmtId="0" fontId="18" fillId="0" borderId="5" xfId="1" applyFont="1" applyBorder="1" applyAlignment="1">
      <alignment wrapText="1"/>
    </xf>
    <xf numFmtId="0" fontId="18" fillId="0" borderId="2" xfId="1" applyFont="1" applyBorder="1" applyAlignment="1">
      <alignment wrapText="1"/>
    </xf>
    <xf numFmtId="0" fontId="18" fillId="0" borderId="6" xfId="1" applyFont="1" applyBorder="1"/>
    <xf numFmtId="0" fontId="18" fillId="0" borderId="3" xfId="1" applyFont="1" applyBorder="1" applyAlignment="1">
      <alignment wrapText="1"/>
    </xf>
    <xf numFmtId="0" fontId="6" fillId="0" borderId="11" xfId="3" applyFont="1" applyBorder="1"/>
    <xf numFmtId="0" fontId="5" fillId="0" borderId="1" xfId="2" applyFont="1" applyBorder="1"/>
    <xf numFmtId="0" fontId="5" fillId="0" borderId="2" xfId="2" applyFont="1" applyBorder="1"/>
    <xf numFmtId="0" fontId="5" fillId="0" borderId="4" xfId="2" applyFont="1" applyBorder="1"/>
    <xf numFmtId="0" fontId="18" fillId="0" borderId="1" xfId="2" applyFont="1" applyBorder="1"/>
    <xf numFmtId="1" fontId="5" fillId="0" borderId="4" xfId="2" applyNumberFormat="1" applyFont="1" applyBorder="1" applyAlignment="1">
      <alignment horizontal="center" vertical="top"/>
    </xf>
    <xf numFmtId="2" fontId="18" fillId="0" borderId="4" xfId="2" applyNumberFormat="1" applyFont="1" applyBorder="1" applyAlignment="1">
      <alignment horizontal="right"/>
    </xf>
    <xf numFmtId="0" fontId="18" fillId="0" borderId="7" xfId="2" applyFont="1" applyBorder="1"/>
    <xf numFmtId="0" fontId="18" fillId="0" borderId="15" xfId="2" applyFont="1" applyBorder="1"/>
    <xf numFmtId="0" fontId="18" fillId="0" borderId="12" xfId="2" applyFont="1" applyBorder="1"/>
    <xf numFmtId="0" fontId="18" fillId="0" borderId="10" xfId="2" applyFont="1" applyBorder="1"/>
    <xf numFmtId="0" fontId="18" fillId="0" borderId="12" xfId="3" applyFont="1" applyBorder="1" applyAlignment="1">
      <alignment horizontal="left"/>
    </xf>
    <xf numFmtId="0" fontId="18" fillId="0" borderId="11" xfId="2" applyFont="1" applyBorder="1" applyAlignment="1">
      <alignment horizontal="left"/>
    </xf>
    <xf numFmtId="0" fontId="18" fillId="0" borderId="6" xfId="2" applyFont="1" applyBorder="1" applyAlignment="1">
      <alignment horizontal="left"/>
    </xf>
    <xf numFmtId="0" fontId="18" fillId="0" borderId="3" xfId="2" applyFont="1" applyBorder="1" applyAlignment="1">
      <alignment horizontal="left"/>
    </xf>
    <xf numFmtId="0" fontId="18" fillId="0" borderId="8" xfId="1" applyFont="1" applyBorder="1" applyAlignment="1">
      <alignment horizontal="center"/>
    </xf>
    <xf numFmtId="0" fontId="18" fillId="0" borderId="12" xfId="1" applyFont="1" applyBorder="1"/>
    <xf numFmtId="1" fontId="18" fillId="0" borderId="15" xfId="0" applyNumberFormat="1" applyFont="1" applyBorder="1" applyAlignment="1">
      <alignment horizontal="center"/>
    </xf>
    <xf numFmtId="0" fontId="6" fillId="0" borderId="4" xfId="1" applyFont="1" applyBorder="1" applyAlignment="1">
      <alignment horizontal="right"/>
    </xf>
    <xf numFmtId="0" fontId="22" fillId="0" borderId="0" xfId="0" applyFont="1"/>
    <xf numFmtId="0" fontId="5" fillId="0" borderId="1" xfId="0" applyFont="1" applyBorder="1" applyAlignment="1">
      <alignment horizontal="center"/>
    </xf>
    <xf numFmtId="2" fontId="18" fillId="0" borderId="4" xfId="0" applyNumberFormat="1" applyFont="1" applyBorder="1" applyAlignment="1">
      <alignment horizontal="right" vertical="center" wrapText="1"/>
    </xf>
    <xf numFmtId="2" fontId="18" fillId="0" borderId="1" xfId="0" applyNumberFormat="1" applyFont="1" applyBorder="1" applyAlignment="1">
      <alignment horizontal="right" vertical="center" wrapText="1"/>
    </xf>
    <xf numFmtId="2" fontId="18" fillId="0" borderId="1" xfId="0" applyNumberFormat="1" applyFont="1" applyBorder="1" applyAlignment="1">
      <alignment horizontal="right"/>
    </xf>
    <xf numFmtId="0" fontId="18" fillId="0" borderId="7" xfId="0" applyFont="1" applyBorder="1" applyAlignment="1">
      <alignment horizontal="center"/>
    </xf>
    <xf numFmtId="2" fontId="18" fillId="0" borderId="2" xfId="1" applyNumberFormat="1" applyFont="1" applyBorder="1"/>
    <xf numFmtId="2" fontId="18" fillId="0" borderId="4" xfId="1" quotePrefix="1" applyNumberFormat="1" applyFont="1" applyBorder="1" applyAlignment="1">
      <alignment horizontal="right"/>
    </xf>
    <xf numFmtId="166" fontId="18" fillId="0" borderId="4" xfId="1" applyNumberFormat="1" applyFont="1" applyBorder="1" applyAlignment="1">
      <alignment horizontal="right" vertical="center"/>
    </xf>
    <xf numFmtId="0" fontId="18" fillId="0" borderId="7" xfId="1" applyFont="1" applyBorder="1" applyAlignment="1">
      <alignment horizontal="left"/>
    </xf>
    <xf numFmtId="0" fontId="18" fillId="0" borderId="8" xfId="1" applyFont="1" applyBorder="1" applyAlignment="1">
      <alignment horizontal="left"/>
    </xf>
    <xf numFmtId="0" fontId="5" fillId="0" borderId="2" xfId="0" applyFont="1" applyBorder="1" applyAlignment="1">
      <alignment horizontal="left"/>
    </xf>
    <xf numFmtId="0" fontId="18" fillId="0" borderId="16" xfId="0" applyFont="1" applyBorder="1"/>
    <xf numFmtId="49" fontId="18" fillId="0" borderId="4" xfId="1" applyNumberFormat="1" applyFont="1" applyBorder="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49" fontId="18" fillId="0" borderId="4" xfId="0" applyNumberFormat="1" applyFont="1" applyBorder="1" applyAlignment="1">
      <alignment horizontal="center"/>
    </xf>
    <xf numFmtId="164" fontId="18" fillId="0" borderId="4" xfId="1" applyNumberFormat="1" applyFont="1" applyBorder="1"/>
    <xf numFmtId="1" fontId="18" fillId="0" borderId="15" xfId="1" applyNumberFormat="1" applyFont="1" applyBorder="1"/>
    <xf numFmtId="0" fontId="18" fillId="0" borderId="7" xfId="1" applyFont="1" applyBorder="1" applyAlignment="1">
      <alignment horizontal="left" vertical="top"/>
    </xf>
    <xf numFmtId="0" fontId="18" fillId="0" borderId="8" xfId="1" applyFont="1" applyBorder="1" applyAlignment="1">
      <alignment horizontal="left" vertical="top"/>
    </xf>
    <xf numFmtId="0" fontId="18" fillId="0" borderId="9" xfId="1" applyFont="1" applyBorder="1" applyAlignment="1">
      <alignment horizontal="left" vertical="top"/>
    </xf>
    <xf numFmtId="0" fontId="18" fillId="0" borderId="0" xfId="0" applyFont="1" applyAlignment="1">
      <alignment horizontal="left"/>
    </xf>
    <xf numFmtId="0" fontId="5" fillId="0" borderId="16" xfId="0" applyFont="1" applyBorder="1"/>
    <xf numFmtId="0" fontId="5" fillId="0" borderId="15" xfId="0" applyFont="1" applyBorder="1"/>
    <xf numFmtId="0" fontId="5" fillId="0" borderId="8" xfId="0" applyFont="1" applyBorder="1"/>
    <xf numFmtId="0" fontId="5" fillId="0" borderId="8" xfId="0" applyFont="1" applyBorder="1" applyAlignment="1">
      <alignment horizontal="right"/>
    </xf>
    <xf numFmtId="0" fontId="5" fillId="0" borderId="6" xfId="0" applyFont="1" applyBorder="1"/>
    <xf numFmtId="0" fontId="5" fillId="0" borderId="6" xfId="0" applyFont="1" applyBorder="1" applyAlignment="1">
      <alignment horizontal="right"/>
    </xf>
    <xf numFmtId="0" fontId="5" fillId="0" borderId="2" xfId="0" applyFont="1" applyBorder="1" applyAlignment="1">
      <alignment horizontal="center" vertical="top" wrapText="1"/>
    </xf>
    <xf numFmtId="0" fontId="5" fillId="0" borderId="13" xfId="0" applyFont="1" applyBorder="1" applyAlignment="1">
      <alignment horizontal="center" vertical="top" wrapText="1"/>
    </xf>
    <xf numFmtId="2" fontId="18" fillId="0" borderId="14" xfId="0" applyNumberFormat="1" applyFont="1" applyBorder="1"/>
    <xf numFmtId="0" fontId="5" fillId="2" borderId="17" xfId="4" applyFont="1" applyFill="1" applyBorder="1"/>
    <xf numFmtId="0" fontId="18" fillId="0" borderId="0" xfId="4" applyFont="1"/>
    <xf numFmtId="0" fontId="5" fillId="0" borderId="17" xfId="4" applyFont="1" applyBorder="1"/>
    <xf numFmtId="0" fontId="5" fillId="0" borderId="20" xfId="4" applyFont="1" applyBorder="1"/>
    <xf numFmtId="0" fontId="5" fillId="0" borderId="4" xfId="4" applyFont="1" applyBorder="1"/>
    <xf numFmtId="0" fontId="18" fillId="0" borderId="17" xfId="4" applyFont="1" applyBorder="1"/>
    <xf numFmtId="0" fontId="18" fillId="0" borderId="19" xfId="4" applyFont="1" applyBorder="1"/>
    <xf numFmtId="0" fontId="5" fillId="0" borderId="26" xfId="4" applyFont="1" applyBorder="1" applyAlignment="1">
      <alignment horizontal="center"/>
    </xf>
    <xf numFmtId="0" fontId="5" fillId="0" borderId="18" xfId="4" applyFont="1" applyBorder="1" applyAlignment="1">
      <alignment horizontal="center"/>
    </xf>
    <xf numFmtId="0" fontId="5" fillId="0" borderId="19" xfId="4" applyFont="1" applyBorder="1" applyAlignment="1">
      <alignment horizontal="center"/>
    </xf>
    <xf numFmtId="2" fontId="18" fillId="0" borderId="19" xfId="4" applyNumberFormat="1" applyFont="1" applyBorder="1" applyAlignment="1">
      <alignment horizontal="right"/>
    </xf>
    <xf numFmtId="2" fontId="18" fillId="0" borderId="19" xfId="4" applyNumberFormat="1" applyFont="1" applyBorder="1"/>
    <xf numFmtId="2" fontId="18" fillId="0" borderId="22" xfId="4" applyNumberFormat="1" applyFont="1" applyBorder="1"/>
    <xf numFmtId="0" fontId="18" fillId="0" borderId="27" xfId="4" applyFont="1" applyBorder="1"/>
    <xf numFmtId="0" fontId="18" fillId="0" borderId="28" xfId="4" applyFont="1" applyBorder="1"/>
    <xf numFmtId="0" fontId="18" fillId="0" borderId="28" xfId="4" applyFont="1" applyBorder="1" applyAlignment="1">
      <alignment horizontal="center"/>
    </xf>
    <xf numFmtId="0" fontId="18" fillId="0" borderId="23" xfId="4" applyFont="1" applyBorder="1" applyAlignment="1">
      <alignment horizontal="center"/>
    </xf>
    <xf numFmtId="0" fontId="18" fillId="0" borderId="0" xfId="4" applyFont="1" applyAlignment="1">
      <alignment horizontal="left" wrapText="1"/>
    </xf>
    <xf numFmtId="0" fontId="18" fillId="0" borderId="6" xfId="4" applyFont="1" applyBorder="1" applyAlignment="1">
      <alignment horizontal="left" wrapText="1"/>
    </xf>
    <xf numFmtId="2" fontId="18" fillId="0" borderId="19" xfId="4" quotePrefix="1" applyNumberFormat="1" applyFont="1" applyBorder="1"/>
    <xf numFmtId="2" fontId="18" fillId="0" borderId="19" xfId="4" applyNumberFormat="1" applyFont="1" applyBorder="1" applyAlignment="1">
      <alignment wrapText="1"/>
    </xf>
    <xf numFmtId="0" fontId="5" fillId="0" borderId="20" xfId="4" applyFont="1" applyBorder="1" applyAlignment="1">
      <alignment horizontal="center"/>
    </xf>
    <xf numFmtId="0" fontId="5" fillId="0" borderId="4" xfId="4" applyFont="1" applyBorder="1" applyAlignment="1">
      <alignment horizontal="center"/>
    </xf>
    <xf numFmtId="2" fontId="18" fillId="0" borderId="20" xfId="4" applyNumberFormat="1" applyFont="1" applyBorder="1"/>
    <xf numFmtId="0" fontId="18" fillId="0" borderId="29" xfId="4" applyFont="1" applyBorder="1" applyAlignment="1">
      <alignment horizontal="center"/>
    </xf>
    <xf numFmtId="0" fontId="18" fillId="0" borderId="15" xfId="4" applyFont="1" applyBorder="1" applyAlignment="1">
      <alignment horizontal="center"/>
    </xf>
    <xf numFmtId="0" fontId="18" fillId="0" borderId="7" xfId="4" applyFont="1" applyBorder="1"/>
    <xf numFmtId="0" fontId="18" fillId="0" borderId="8" xfId="4" applyFont="1" applyBorder="1"/>
    <xf numFmtId="0" fontId="18" fillId="0" borderId="9" xfId="4" applyFont="1" applyBorder="1"/>
    <xf numFmtId="0" fontId="18" fillId="0" borderId="12" xfId="4" applyFont="1" applyBorder="1"/>
    <xf numFmtId="0" fontId="18" fillId="0" borderId="10" xfId="4" applyFont="1" applyBorder="1"/>
    <xf numFmtId="0" fontId="18" fillId="0" borderId="11" xfId="4" applyFont="1" applyBorder="1"/>
    <xf numFmtId="0" fontId="18" fillId="0" borderId="6" xfId="4" applyFont="1" applyBorder="1"/>
    <xf numFmtId="0" fontId="18" fillId="0" borderId="3" xfId="4" applyFont="1" applyBorder="1"/>
    <xf numFmtId="0" fontId="5" fillId="0" borderId="21" xfId="4" applyFont="1" applyBorder="1" applyAlignment="1">
      <alignment horizontal="center"/>
    </xf>
    <xf numFmtId="2" fontId="18" fillId="0" borderId="21" xfId="4" applyNumberFormat="1" applyFont="1" applyBorder="1"/>
    <xf numFmtId="2" fontId="18" fillId="0" borderId="22" xfId="4" applyNumberFormat="1" applyFont="1" applyBorder="1" applyAlignment="1">
      <alignment horizontal="right"/>
    </xf>
    <xf numFmtId="0" fontId="18" fillId="0" borderId="0" xfId="4" applyFont="1" applyAlignment="1">
      <alignment horizontal="center"/>
    </xf>
    <xf numFmtId="0" fontId="5" fillId="0" borderId="0" xfId="4" applyFont="1" applyAlignment="1">
      <alignment horizontal="center"/>
    </xf>
    <xf numFmtId="0" fontId="5" fillId="0" borderId="28" xfId="4" applyFont="1" applyBorder="1" applyAlignment="1">
      <alignment horizontal="center"/>
    </xf>
    <xf numFmtId="0" fontId="5" fillId="0" borderId="29" xfId="4" applyFont="1" applyBorder="1" applyAlignment="1">
      <alignment horizontal="center"/>
    </xf>
    <xf numFmtId="2" fontId="18" fillId="0" borderId="4" xfId="4" applyNumberFormat="1" applyFont="1" applyBorder="1" applyAlignment="1">
      <alignment horizontal="right"/>
    </xf>
    <xf numFmtId="2" fontId="18" fillId="0" borderId="26" xfId="4" applyNumberFormat="1" applyFont="1" applyBorder="1" applyAlignment="1">
      <alignment horizontal="right"/>
    </xf>
    <xf numFmtId="0" fontId="18" fillId="0" borderId="19" xfId="4" applyFont="1" applyBorder="1" applyAlignment="1">
      <alignment horizontal="right"/>
    </xf>
    <xf numFmtId="0" fontId="18" fillId="0" borderId="20" xfId="4" applyFont="1" applyBorder="1"/>
    <xf numFmtId="0" fontId="18" fillId="0" borderId="8" xfId="4" applyFont="1" applyBorder="1" applyAlignment="1">
      <alignment horizontal="center"/>
    </xf>
    <xf numFmtId="49" fontId="18" fillId="0" borderId="4" xfId="1" quotePrefix="1" applyNumberFormat="1" applyFont="1" applyBorder="1" applyAlignment="1">
      <alignment horizontal="center" wrapText="1"/>
    </xf>
    <xf numFmtId="0" fontId="18" fillId="0" borderId="6" xfId="0" applyFont="1" applyBorder="1" applyAlignment="1">
      <alignment horizontal="center"/>
    </xf>
    <xf numFmtId="0" fontId="7" fillId="0" borderId="6" xfId="0" applyFont="1" applyBorder="1" applyAlignment="1">
      <alignment horizontal="left" vertical="center" wrapText="1"/>
    </xf>
    <xf numFmtId="0" fontId="7" fillId="0" borderId="11" xfId="0" applyFont="1" applyBorder="1" applyAlignment="1">
      <alignment horizontal="left" vertical="center"/>
    </xf>
    <xf numFmtId="0" fontId="7" fillId="0" borderId="0" xfId="0" applyFont="1" applyAlignment="1">
      <alignment horizontal="left" vertical="center"/>
    </xf>
    <xf numFmtId="0" fontId="16" fillId="0" borderId="5" xfId="0" applyFont="1" applyBorder="1"/>
    <xf numFmtId="0" fontId="18" fillId="0" borderId="5" xfId="0" applyFont="1" applyBorder="1"/>
    <xf numFmtId="0" fontId="6" fillId="0" borderId="7" xfId="0" applyFont="1" applyBorder="1"/>
    <xf numFmtId="0" fontId="6" fillId="0" borderId="8" xfId="0" applyFont="1" applyBorder="1"/>
    <xf numFmtId="0" fontId="6" fillId="0" borderId="6" xfId="0" applyFont="1" applyBorder="1"/>
    <xf numFmtId="1" fontId="6" fillId="0" borderId="4" xfId="0" applyNumberFormat="1" applyFont="1" applyBorder="1" applyAlignment="1">
      <alignment wrapText="1"/>
    </xf>
    <xf numFmtId="0" fontId="0" fillId="0" borderId="4" xfId="0" applyBorder="1"/>
    <xf numFmtId="0" fontId="6" fillId="0" borderId="1" xfId="0" applyFont="1" applyBorder="1"/>
    <xf numFmtId="0" fontId="6" fillId="0" borderId="4" xfId="0" applyFont="1" applyBorder="1"/>
    <xf numFmtId="0" fontId="23" fillId="0" borderId="0" xfId="0" applyFont="1"/>
    <xf numFmtId="2" fontId="6" fillId="0" borderId="1" xfId="0" applyNumberFormat="1" applyFont="1" applyBorder="1"/>
    <xf numFmtId="0" fontId="14" fillId="0" borderId="0" xfId="0" applyFont="1" applyAlignment="1">
      <alignment horizontal="left"/>
    </xf>
    <xf numFmtId="0" fontId="14" fillId="0" borderId="0" xfId="0" applyFont="1"/>
    <xf numFmtId="0" fontId="8" fillId="0" borderId="0" xfId="1" applyFont="1"/>
    <xf numFmtId="2" fontId="7" fillId="0" borderId="0" xfId="1" applyNumberFormat="1" applyFont="1"/>
    <xf numFmtId="2" fontId="6" fillId="0" borderId="4" xfId="0" applyNumberFormat="1" applyFont="1" applyBorder="1" applyAlignment="1">
      <alignment horizontal="right" vertical="center"/>
    </xf>
    <xf numFmtId="0" fontId="18" fillId="0" borderId="0" xfId="0" applyFont="1" applyAlignment="1">
      <alignment horizontal="left" wrapText="1"/>
    </xf>
    <xf numFmtId="0" fontId="19" fillId="0" borderId="15" xfId="0" applyFont="1" applyBorder="1" applyAlignment="1">
      <alignment horizontal="right"/>
    </xf>
    <xf numFmtId="0" fontId="19" fillId="0" borderId="8" xfId="0" applyFont="1" applyBorder="1" applyAlignment="1">
      <alignment horizontal="right"/>
    </xf>
    <xf numFmtId="0" fontId="19" fillId="0" borderId="9" xfId="0" applyFont="1" applyBorder="1" applyAlignment="1">
      <alignment horizontal="right"/>
    </xf>
    <xf numFmtId="0" fontId="18" fillId="0" borderId="1" xfId="1" applyFont="1" applyBorder="1" applyAlignment="1">
      <alignment horizontal="left"/>
    </xf>
    <xf numFmtId="0" fontId="18" fillId="0" borderId="5" xfId="1" applyFont="1" applyBorder="1" applyAlignment="1">
      <alignment horizontal="left"/>
    </xf>
    <xf numFmtId="0" fontId="18" fillId="0" borderId="15" xfId="1" applyFont="1" applyBorder="1" applyAlignment="1">
      <alignment wrapText="1"/>
    </xf>
    <xf numFmtId="0" fontId="18" fillId="0" borderId="9" xfId="1" applyFont="1" applyBorder="1" applyAlignment="1">
      <alignment wrapText="1"/>
    </xf>
    <xf numFmtId="0" fontId="7" fillId="0" borderId="9" xfId="1" applyFont="1" applyBorder="1" applyAlignment="1">
      <alignment wrapText="1"/>
    </xf>
    <xf numFmtId="0" fontId="7" fillId="0" borderId="7" xfId="1" applyFont="1" applyBorder="1" applyAlignment="1">
      <alignment vertical="top" wrapText="1"/>
    </xf>
    <xf numFmtId="0" fontId="7" fillId="0" borderId="8" xfId="1" applyFont="1" applyBorder="1" applyAlignment="1">
      <alignment vertical="top" wrapText="1"/>
    </xf>
    <xf numFmtId="0" fontId="7" fillId="0" borderId="9" xfId="1" applyFont="1" applyBorder="1" applyAlignment="1">
      <alignment vertical="top" wrapText="1"/>
    </xf>
    <xf numFmtId="0" fontId="7" fillId="0" borderId="1" xfId="1" applyFont="1" applyBorder="1" applyAlignment="1">
      <alignment vertical="top"/>
    </xf>
    <xf numFmtId="0" fontId="7" fillId="0" borderId="2" xfId="1" applyFont="1" applyBorder="1" applyAlignment="1">
      <alignment wrapText="1"/>
    </xf>
    <xf numFmtId="0" fontId="18" fillId="0" borderId="12" xfId="0" applyFont="1" applyBorder="1" applyAlignment="1">
      <alignment wrapText="1"/>
    </xf>
    <xf numFmtId="0" fontId="18" fillId="0" borderId="6" xfId="1" applyFont="1" applyBorder="1" applyAlignment="1">
      <alignment wrapText="1"/>
    </xf>
    <xf numFmtId="0" fontId="7" fillId="0" borderId="1" xfId="1" applyFont="1" applyBorder="1" applyAlignment="1">
      <alignment wrapText="1"/>
    </xf>
    <xf numFmtId="0" fontId="7" fillId="0" borderId="5" xfId="1" applyFont="1" applyBorder="1" applyAlignment="1">
      <alignment wrapText="1"/>
    </xf>
    <xf numFmtId="167" fontId="7" fillId="0" borderId="15" xfId="2" applyNumberFormat="1" applyFont="1" applyBorder="1"/>
    <xf numFmtId="40" fontId="7" fillId="0" borderId="5" xfId="2" applyNumberFormat="1" applyFont="1" applyBorder="1"/>
    <xf numFmtId="40" fontId="7" fillId="0" borderId="2" xfId="2" applyNumberFormat="1" applyFont="1" applyBorder="1"/>
    <xf numFmtId="166" fontId="7" fillId="0" borderId="0" xfId="2" applyNumberFormat="1" applyFont="1" applyAlignment="1">
      <alignment horizontal="center"/>
    </xf>
    <xf numFmtId="0" fontId="7" fillId="0" borderId="0" xfId="3" applyFont="1" applyAlignment="1">
      <alignment wrapText="1"/>
    </xf>
    <xf numFmtId="0" fontId="18" fillId="0" borderId="8" xfId="2" applyFont="1" applyBorder="1"/>
    <xf numFmtId="0" fontId="18" fillId="0" borderId="9" xfId="2" applyFont="1" applyBorder="1"/>
    <xf numFmtId="0" fontId="18" fillId="0" borderId="0" xfId="2" applyFont="1" applyAlignment="1">
      <alignment horizontal="left"/>
    </xf>
    <xf numFmtId="0" fontId="18" fillId="0" borderId="0" xfId="2" applyFont="1" applyAlignment="1">
      <alignment horizontal="center"/>
    </xf>
    <xf numFmtId="168" fontId="18" fillId="0" borderId="0" xfId="2" applyNumberFormat="1" applyFont="1"/>
    <xf numFmtId="166" fontId="18" fillId="0" borderId="0" xfId="2" applyNumberFormat="1" applyFont="1" applyAlignment="1">
      <alignment horizontal="center"/>
    </xf>
    <xf numFmtId="2" fontId="6" fillId="0" borderId="0" xfId="0" applyNumberFormat="1" applyFont="1"/>
    <xf numFmtId="0" fontId="6" fillId="0" borderId="12" xfId="1" applyFont="1" applyBorder="1" applyAlignment="1">
      <alignment horizontal="left"/>
    </xf>
    <xf numFmtId="0" fontId="7" fillId="0" borderId="7" xfId="1" applyFont="1" applyBorder="1" applyAlignment="1">
      <alignment horizontal="left"/>
    </xf>
    <xf numFmtId="0" fontId="7" fillId="0" borderId="8" xfId="1" applyFont="1" applyBorder="1" applyAlignment="1">
      <alignment horizontal="left"/>
    </xf>
    <xf numFmtId="0" fontId="6" fillId="0" borderId="11" xfId="1" applyFont="1" applyBorder="1" applyAlignment="1">
      <alignment horizontal="left"/>
    </xf>
    <xf numFmtId="0" fontId="7" fillId="0" borderId="0" xfId="1" applyFont="1" applyAlignment="1">
      <alignment horizontal="center"/>
    </xf>
    <xf numFmtId="0" fontId="17" fillId="0" borderId="1" xfId="1" applyFont="1" applyBorder="1"/>
    <xf numFmtId="0" fontId="17" fillId="0" borderId="2" xfId="1" applyFont="1" applyBorder="1"/>
    <xf numFmtId="0" fontId="6" fillId="0" borderId="0" xfId="1" applyFont="1"/>
    <xf numFmtId="0" fontId="6" fillId="0" borderId="11" xfId="1" applyFont="1" applyBorder="1"/>
    <xf numFmtId="0" fontId="6" fillId="0" borderId="16" xfId="1" applyFont="1" applyBorder="1"/>
    <xf numFmtId="0" fontId="17" fillId="0" borderId="4" xfId="1" applyFont="1" applyBorder="1" applyAlignment="1">
      <alignment horizontal="center"/>
    </xf>
    <xf numFmtId="0" fontId="17" fillId="0" borderId="2" xfId="1" applyFont="1" applyBorder="1" applyAlignment="1">
      <alignment horizontal="center"/>
    </xf>
    <xf numFmtId="0" fontId="6" fillId="0" borderId="1" xfId="1" applyFont="1" applyBorder="1"/>
    <xf numFmtId="0" fontId="6" fillId="0" borderId="4" xfId="1" applyFont="1" applyBorder="1"/>
    <xf numFmtId="2" fontId="6" fillId="0" borderId="4" xfId="1" quotePrefix="1" applyNumberFormat="1" applyFont="1" applyBorder="1" applyAlignment="1">
      <alignment horizontal="right"/>
    </xf>
    <xf numFmtId="166" fontId="6" fillId="0" borderId="4" xfId="1" applyNumberFormat="1" applyFont="1" applyBorder="1" applyAlignment="1">
      <alignment horizontal="right" vertical="center"/>
    </xf>
    <xf numFmtId="2" fontId="6" fillId="0" borderId="4" xfId="1" quotePrefix="1" applyNumberFormat="1" applyFont="1" applyBorder="1" applyAlignment="1">
      <alignment horizontal="right" wrapText="1"/>
    </xf>
    <xf numFmtId="0" fontId="6" fillId="0" borderId="4" xfId="1" applyFont="1" applyBorder="1" applyAlignment="1">
      <alignment horizontal="center"/>
    </xf>
    <xf numFmtId="0" fontId="6" fillId="0" borderId="8" xfId="1" applyFont="1" applyBorder="1"/>
    <xf numFmtId="0" fontId="6" fillId="0" borderId="9" xfId="1" applyFont="1" applyBorder="1"/>
    <xf numFmtId="0" fontId="6" fillId="0" borderId="1" xfId="1" applyFont="1" applyBorder="1" applyAlignment="1">
      <alignment horizontal="left"/>
    </xf>
    <xf numFmtId="0" fontId="6" fillId="0" borderId="5" xfId="1" applyFont="1" applyBorder="1" applyAlignment="1">
      <alignment horizontal="left"/>
    </xf>
    <xf numFmtId="0" fontId="6" fillId="0" borderId="5" xfId="1" applyFont="1" applyBorder="1"/>
    <xf numFmtId="0" fontId="6" fillId="0" borderId="2" xfId="0" applyFont="1" applyBorder="1"/>
    <xf numFmtId="0" fontId="7" fillId="0" borderId="6" xfId="0" applyFont="1" applyBorder="1" applyAlignment="1">
      <alignment horizontal="left"/>
    </xf>
    <xf numFmtId="49" fontId="6" fillId="0" borderId="4" xfId="0" applyNumberFormat="1" applyFont="1" applyBorder="1" applyAlignment="1">
      <alignment horizontal="center"/>
    </xf>
    <xf numFmtId="0" fontId="5" fillId="0" borderId="0" xfId="0" applyFont="1" applyAlignment="1">
      <alignment horizontal="right"/>
    </xf>
    <xf numFmtId="0" fontId="18" fillId="0" borderId="8" xfId="4" applyFont="1" applyBorder="1" applyAlignment="1">
      <alignment wrapText="1"/>
    </xf>
    <xf numFmtId="0" fontId="18" fillId="0" borderId="6" xfId="4" applyFont="1" applyBorder="1" applyAlignment="1">
      <alignment wrapText="1"/>
    </xf>
    <xf numFmtId="0" fontId="18" fillId="0" borderId="12" xfId="4" applyFont="1" applyBorder="1" applyAlignment="1">
      <alignment horizontal="left"/>
    </xf>
    <xf numFmtId="0" fontId="18" fillId="0" borderId="0" xfId="4" applyFont="1" applyAlignment="1">
      <alignment wrapText="1"/>
    </xf>
    <xf numFmtId="0" fontId="6" fillId="0" borderId="7" xfId="4" applyFont="1" applyBorder="1"/>
    <xf numFmtId="0" fontId="18" fillId="0" borderId="9" xfId="4" applyFont="1" applyBorder="1" applyAlignment="1">
      <alignment horizontal="center"/>
    </xf>
    <xf numFmtId="0" fontId="6" fillId="0" borderId="6" xfId="4" applyFont="1" applyBorder="1"/>
    <xf numFmtId="2" fontId="6" fillId="0" borderId="19" xfId="4" applyNumberFormat="1" applyFont="1" applyBorder="1" applyAlignment="1">
      <alignment horizontal="right"/>
    </xf>
    <xf numFmtId="0" fontId="17" fillId="2" borderId="17" xfId="4" applyFont="1" applyFill="1" applyBorder="1"/>
    <xf numFmtId="0" fontId="6" fillId="0" borderId="0" xfId="4" applyFont="1"/>
    <xf numFmtId="0" fontId="17" fillId="0" borderId="17" xfId="4" applyFont="1" applyBorder="1"/>
    <xf numFmtId="0" fontId="17" fillId="0" borderId="20" xfId="4" applyFont="1" applyBorder="1"/>
    <xf numFmtId="0" fontId="17" fillId="0" borderId="4" xfId="4" applyFont="1" applyBorder="1"/>
    <xf numFmtId="0" fontId="6" fillId="0" borderId="17" xfId="4" applyFont="1" applyBorder="1"/>
    <xf numFmtId="0" fontId="6" fillId="0" borderId="19" xfId="4" applyFont="1" applyBorder="1"/>
    <xf numFmtId="0" fontId="17" fillId="0" borderId="26" xfId="4" applyFont="1" applyBorder="1" applyAlignment="1">
      <alignment horizontal="center"/>
    </xf>
    <xf numFmtId="0" fontId="17" fillId="0" borderId="18" xfId="4" applyFont="1" applyBorder="1" applyAlignment="1">
      <alignment horizontal="center"/>
    </xf>
    <xf numFmtId="2" fontId="6" fillId="0" borderId="22" xfId="4" applyNumberFormat="1" applyFont="1" applyBorder="1"/>
    <xf numFmtId="0" fontId="6" fillId="0" borderId="27" xfId="4" applyFont="1" applyBorder="1"/>
    <xf numFmtId="0" fontId="6" fillId="0" borderId="28" xfId="4" applyFont="1" applyBorder="1"/>
    <xf numFmtId="0" fontId="6" fillId="0" borderId="28" xfId="4" applyFont="1" applyBorder="1" applyAlignment="1">
      <alignment horizontal="center"/>
    </xf>
    <xf numFmtId="0" fontId="6" fillId="0" borderId="23" xfId="4" applyFont="1" applyBorder="1" applyAlignment="1">
      <alignment horizontal="center"/>
    </xf>
    <xf numFmtId="2" fontId="6" fillId="0" borderId="19" xfId="4" applyNumberFormat="1" applyFont="1" applyBorder="1" applyAlignment="1">
      <alignment horizontal="left"/>
    </xf>
    <xf numFmtId="2" fontId="6" fillId="0" borderId="22" xfId="4" applyNumberFormat="1" applyFont="1" applyBorder="1" applyAlignment="1">
      <alignment horizontal="center"/>
    </xf>
    <xf numFmtId="0" fontId="6" fillId="0" borderId="1" xfId="4" applyFont="1" applyBorder="1"/>
    <xf numFmtId="0" fontId="6" fillId="0" borderId="5" xfId="4" applyFont="1" applyBorder="1"/>
    <xf numFmtId="0" fontId="6" fillId="0" borderId="5" xfId="4" applyFont="1" applyBorder="1" applyAlignment="1">
      <alignment horizontal="center"/>
    </xf>
    <xf numFmtId="0" fontId="6" fillId="0" borderId="2" xfId="4" applyFont="1" applyBorder="1" applyAlignment="1">
      <alignment horizontal="center"/>
    </xf>
    <xf numFmtId="2" fontId="6" fillId="0" borderId="19" xfId="4" applyNumberFormat="1" applyFont="1" applyBorder="1" applyAlignment="1">
      <alignment horizontal="center"/>
    </xf>
    <xf numFmtId="2" fontId="6" fillId="0" borderId="4" xfId="4" applyNumberFormat="1" applyFont="1" applyBorder="1"/>
    <xf numFmtId="0" fontId="6" fillId="0" borderId="4" xfId="0" applyFont="1" applyBorder="1" applyAlignment="1">
      <alignment horizontal="center" wrapText="1"/>
    </xf>
    <xf numFmtId="0" fontId="6" fillId="0" borderId="11" xfId="0" applyFont="1" applyBorder="1" applyAlignment="1">
      <alignment vertical="top"/>
    </xf>
    <xf numFmtId="2" fontId="18" fillId="0" borderId="7" xfId="0" applyNumberFormat="1" applyFont="1" applyBorder="1"/>
    <xf numFmtId="2" fontId="18" fillId="0" borderId="15" xfId="0" applyNumberFormat="1" applyFont="1" applyBorder="1"/>
    <xf numFmtId="0" fontId="5" fillId="0" borderId="6" xfId="0" applyFont="1" applyBorder="1" applyAlignment="1">
      <alignment horizontal="center"/>
    </xf>
    <xf numFmtId="0" fontId="6" fillId="0" borderId="11" xfId="0" applyFont="1" applyBorder="1" applyProtection="1">
      <protection locked="0"/>
    </xf>
    <xf numFmtId="0" fontId="6" fillId="0" borderId="11" xfId="0" applyFont="1" applyBorder="1" applyAlignment="1">
      <alignment vertical="center"/>
    </xf>
    <xf numFmtId="0" fontId="18" fillId="0" borderId="9" xfId="1" applyFont="1" applyBorder="1" applyAlignment="1">
      <alignment horizontal="center"/>
    </xf>
    <xf numFmtId="0" fontId="18" fillId="0" borderId="11" xfId="1" applyFont="1" applyBorder="1" applyAlignment="1">
      <alignment horizontal="left" vertical="center"/>
    </xf>
    <xf numFmtId="0" fontId="18" fillId="0" borderId="6" xfId="1" applyFont="1" applyBorder="1" applyAlignment="1">
      <alignment horizontal="left" vertical="center"/>
    </xf>
    <xf numFmtId="0" fontId="18" fillId="0" borderId="3" xfId="1" applyFont="1" applyBorder="1" applyAlignment="1">
      <alignment horizontal="left" vertical="center"/>
    </xf>
    <xf numFmtId="0" fontId="18" fillId="0" borderId="12" xfId="1" applyFont="1" applyBorder="1" applyAlignment="1">
      <alignment horizontal="left" wrapText="1"/>
    </xf>
    <xf numFmtId="0" fontId="8" fillId="2" borderId="2" xfId="0" applyFont="1" applyFill="1" applyBorder="1"/>
    <xf numFmtId="0" fontId="8" fillId="2" borderId="2" xfId="1" applyFont="1" applyFill="1" applyBorder="1"/>
    <xf numFmtId="0" fontId="5" fillId="2" borderId="2" xfId="0" applyFont="1" applyFill="1" applyBorder="1"/>
    <xf numFmtId="0" fontId="5" fillId="2" borderId="2" xfId="1" applyFont="1" applyFill="1" applyBorder="1"/>
    <xf numFmtId="0" fontId="8" fillId="2" borderId="2" xfId="0" applyFont="1" applyFill="1" applyBorder="1" applyAlignment="1">
      <alignment wrapText="1"/>
    </xf>
    <xf numFmtId="0" fontId="17" fillId="2" borderId="18" xfId="4" applyFont="1" applyFill="1" applyBorder="1"/>
    <xf numFmtId="0" fontId="5" fillId="2" borderId="18" xfId="4" applyFont="1" applyFill="1" applyBorder="1"/>
    <xf numFmtId="0" fontId="17" fillId="2" borderId="2" xfId="0" applyFont="1" applyFill="1" applyBorder="1"/>
    <xf numFmtId="0" fontId="5" fillId="0" borderId="11" xfId="1" applyFont="1" applyBorder="1"/>
    <xf numFmtId="0" fontId="5" fillId="0" borderId="3" xfId="1" applyFont="1" applyBorder="1"/>
    <xf numFmtId="0" fontId="5" fillId="2" borderId="1" xfId="0" applyFont="1" applyFill="1" applyBorder="1"/>
    <xf numFmtId="0" fontId="5" fillId="2" borderId="2" xfId="0" applyFont="1" applyFill="1" applyBorder="1" applyAlignment="1">
      <alignment horizontal="center"/>
    </xf>
    <xf numFmtId="0" fontId="5" fillId="0" borderId="12" xfId="1" applyFont="1" applyBorder="1"/>
    <xf numFmtId="0" fontId="5" fillId="0" borderId="10" xfId="1" applyFont="1" applyBorder="1"/>
    <xf numFmtId="0" fontId="8" fillId="0" borderId="11" xfId="1" applyFont="1" applyBorder="1"/>
    <xf numFmtId="0" fontId="8" fillId="0" borderId="3" xfId="0" applyFont="1" applyBorder="1" applyAlignment="1">
      <alignment horizontal="center"/>
    </xf>
    <xf numFmtId="0" fontId="8" fillId="2" borderId="2" xfId="0" applyFont="1" applyFill="1" applyBorder="1" applyAlignment="1">
      <alignment horizontal="center"/>
    </xf>
    <xf numFmtId="0" fontId="8" fillId="0" borderId="11" xfId="2" applyFont="1" applyBorder="1"/>
    <xf numFmtId="0" fontId="8" fillId="0" borderId="3" xfId="2" applyFont="1" applyBorder="1"/>
    <xf numFmtId="0" fontId="8" fillId="0" borderId="3" xfId="1" applyFont="1" applyBorder="1"/>
    <xf numFmtId="0" fontId="8" fillId="2" borderId="1" xfId="2" applyFont="1" applyFill="1" applyBorder="1"/>
    <xf numFmtId="0" fontId="8" fillId="2" borderId="2" xfId="2" applyFont="1" applyFill="1" applyBorder="1"/>
    <xf numFmtId="0" fontId="8" fillId="5" borderId="1" xfId="1" applyFont="1" applyFill="1" applyBorder="1"/>
    <xf numFmtId="0" fontId="18" fillId="0" borderId="7" xfId="0" applyFont="1" applyBorder="1" applyAlignment="1">
      <alignment horizontal="left" wrapText="1"/>
    </xf>
    <xf numFmtId="0" fontId="18" fillId="0" borderId="8" xfId="0" applyFont="1" applyBorder="1" applyAlignment="1">
      <alignment horizontal="left" wrapText="1"/>
    </xf>
    <xf numFmtId="0" fontId="7" fillId="0" borderId="7" xfId="0" applyFont="1" applyBorder="1" applyAlignment="1">
      <alignment horizontal="left" wrapText="1"/>
    </xf>
    <xf numFmtId="0" fontId="7" fillId="0" borderId="0" xfId="0" applyFont="1" applyAlignment="1">
      <alignment horizontal="left" wrapText="1"/>
    </xf>
    <xf numFmtId="0" fontId="18" fillId="0" borderId="12" xfId="0" applyFont="1" applyBorder="1" applyAlignment="1">
      <alignment horizontal="left" wrapText="1"/>
    </xf>
    <xf numFmtId="0" fontId="18" fillId="0" borderId="0" xfId="0" applyFont="1" applyAlignment="1">
      <alignment horizontal="left" wrapText="1"/>
    </xf>
    <xf numFmtId="0" fontId="18" fillId="0" borderId="7" xfId="1" applyFont="1" applyBorder="1" applyAlignment="1">
      <alignment horizontal="left"/>
    </xf>
    <xf numFmtId="0" fontId="18" fillId="0" borderId="8" xfId="1" applyFont="1" applyBorder="1" applyAlignment="1">
      <alignment horizontal="left"/>
    </xf>
    <xf numFmtId="0" fontId="7" fillId="0" borderId="12" xfId="3" applyFont="1" applyBorder="1" applyAlignment="1">
      <alignment horizontal="left" wrapText="1"/>
    </xf>
    <xf numFmtId="0" fontId="7" fillId="0" borderId="0" xfId="3" applyFont="1" applyAlignment="1">
      <alignment horizontal="left" wrapText="1"/>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wrapText="1"/>
    </xf>
    <xf numFmtId="0" fontId="7" fillId="0" borderId="6" xfId="0" applyFont="1" applyBorder="1" applyAlignment="1">
      <alignment horizontal="left" wrapText="1"/>
    </xf>
    <xf numFmtId="0" fontId="7" fillId="0" borderId="1" xfId="1" applyFont="1" applyBorder="1" applyAlignment="1">
      <alignment horizontal="left"/>
    </xf>
    <xf numFmtId="0" fontId="7" fillId="0" borderId="5" xfId="1" applyFont="1" applyBorder="1" applyAlignment="1">
      <alignment horizontal="left"/>
    </xf>
    <xf numFmtId="0" fontId="18" fillId="0" borderId="1" xfId="1" applyFont="1" applyBorder="1" applyAlignment="1">
      <alignment horizontal="left"/>
    </xf>
    <xf numFmtId="0" fontId="18" fillId="0" borderId="5" xfId="1" applyFont="1" applyBorder="1" applyAlignment="1">
      <alignment horizontal="left"/>
    </xf>
    <xf numFmtId="0" fontId="7" fillId="0" borderId="1" xfId="1" applyFont="1" applyBorder="1" applyAlignment="1">
      <alignment horizontal="left" wrapText="1"/>
    </xf>
    <xf numFmtId="0" fontId="7" fillId="0" borderId="5" xfId="1" applyFont="1" applyBorder="1" applyAlignment="1">
      <alignment horizontal="left" wrapText="1"/>
    </xf>
    <xf numFmtId="0" fontId="7" fillId="0" borderId="2" xfId="1" applyFont="1" applyBorder="1" applyAlignment="1">
      <alignment horizontal="left" wrapText="1"/>
    </xf>
    <xf numFmtId="0" fontId="7" fillId="0" borderId="12" xfId="0" applyFont="1" applyBorder="1" applyAlignment="1">
      <alignment horizontal="left" wrapText="1"/>
    </xf>
    <xf numFmtId="0" fontId="7" fillId="0" borderId="8" xfId="0" applyFont="1" applyBorder="1" applyAlignment="1">
      <alignment horizontal="left" wrapText="1"/>
    </xf>
    <xf numFmtId="0" fontId="18" fillId="0" borderId="11" xfId="0" applyFont="1" applyBorder="1" applyAlignment="1">
      <alignment horizontal="left" wrapText="1"/>
    </xf>
    <xf numFmtId="0" fontId="18" fillId="0" borderId="6" xfId="0" applyFont="1" applyBorder="1" applyAlignment="1">
      <alignment horizontal="left" wrapText="1"/>
    </xf>
    <xf numFmtId="0" fontId="18" fillId="0" borderId="11" xfId="1" applyFont="1" applyBorder="1" applyAlignment="1">
      <alignment horizontal="left" wrapText="1"/>
    </xf>
    <xf numFmtId="0" fontId="18" fillId="0" borderId="6" xfId="1" applyFont="1" applyBorder="1" applyAlignment="1">
      <alignment horizontal="left" wrapText="1"/>
    </xf>
    <xf numFmtId="0" fontId="7" fillId="0" borderId="4" xfId="0" applyFont="1" applyBorder="1" applyAlignment="1">
      <alignment horizontal="left" wrapText="1"/>
    </xf>
    <xf numFmtId="0" fontId="7" fillId="0" borderId="16" xfId="0" applyFont="1" applyBorder="1" applyAlignment="1">
      <alignment horizontal="left" wrapText="1"/>
    </xf>
    <xf numFmtId="0" fontId="6" fillId="0" borderId="7" xfId="1" applyFont="1" applyBorder="1" applyAlignment="1">
      <alignment horizontal="left"/>
    </xf>
    <xf numFmtId="0" fontId="6" fillId="0" borderId="8" xfId="1" applyFont="1" applyBorder="1" applyAlignment="1">
      <alignment horizontal="left"/>
    </xf>
    <xf numFmtId="0" fontId="7" fillId="0" borderId="7" xfId="1" applyFont="1" applyBorder="1" applyAlignment="1">
      <alignment horizontal="left" wrapText="1"/>
    </xf>
    <xf numFmtId="0" fontId="7" fillId="0" borderId="8" xfId="1" applyFont="1" applyBorder="1" applyAlignment="1">
      <alignment horizontal="left" wrapText="1"/>
    </xf>
    <xf numFmtId="0" fontId="6" fillId="0" borderId="11" xfId="1" applyFont="1" applyBorder="1" applyAlignment="1">
      <alignment horizontal="left" vertical="top" wrapText="1"/>
    </xf>
    <xf numFmtId="0" fontId="6" fillId="0" borderId="6" xfId="1" applyFont="1" applyBorder="1" applyAlignment="1">
      <alignment horizontal="left" vertical="top" wrapText="1"/>
    </xf>
    <xf numFmtId="0" fontId="18" fillId="0" borderId="1" xfId="0" applyFont="1" applyBorder="1" applyAlignment="1">
      <alignment horizontal="left" wrapText="1"/>
    </xf>
    <xf numFmtId="0" fontId="18" fillId="0" borderId="5" xfId="0" applyFont="1" applyBorder="1" applyAlignment="1">
      <alignment horizontal="left" wrapText="1"/>
    </xf>
    <xf numFmtId="0" fontId="18" fillId="0" borderId="10" xfId="0" applyFont="1" applyBorder="1" applyAlignment="1">
      <alignment horizontal="left" wrapText="1"/>
    </xf>
    <xf numFmtId="0" fontId="7" fillId="0" borderId="3" xfId="0" applyFont="1" applyBorder="1" applyAlignment="1">
      <alignment horizontal="left" wrapText="1"/>
    </xf>
    <xf numFmtId="2" fontId="7" fillId="0" borderId="1" xfId="1" applyNumberFormat="1" applyFont="1" applyBorder="1" applyAlignment="1">
      <alignment horizontal="center"/>
    </xf>
    <xf numFmtId="2" fontId="7" fillId="0" borderId="5" xfId="1" applyNumberFormat="1" applyFont="1" applyBorder="1" applyAlignment="1">
      <alignment horizontal="center"/>
    </xf>
    <xf numFmtId="2" fontId="7" fillId="0" borderId="2" xfId="1" applyNumberFormat="1" applyFont="1" applyBorder="1" applyAlignment="1">
      <alignment horizontal="center"/>
    </xf>
    <xf numFmtId="0" fontId="7" fillId="0" borderId="4" xfId="1" applyFont="1" applyBorder="1" applyAlignment="1">
      <alignment horizontal="left"/>
    </xf>
    <xf numFmtId="0" fontId="14" fillId="0" borderId="7" xfId="0" applyFont="1" applyBorder="1" applyAlignment="1">
      <alignment horizontal="left"/>
    </xf>
    <xf numFmtId="0" fontId="14" fillId="0" borderId="8" xfId="0" applyFont="1" applyBorder="1" applyAlignment="1">
      <alignment horizontal="left"/>
    </xf>
    <xf numFmtId="0" fontId="7" fillId="0" borderId="7" xfId="0" applyFont="1" applyBorder="1" applyAlignment="1">
      <alignment horizontal="left"/>
    </xf>
    <xf numFmtId="0" fontId="7" fillId="0" borderId="8" xfId="0" applyFont="1" applyBorder="1" applyAlignment="1">
      <alignment horizontal="left"/>
    </xf>
    <xf numFmtId="0" fontId="7" fillId="0" borderId="9" xfId="0" applyFont="1" applyBorder="1" applyAlignment="1">
      <alignment horizontal="left"/>
    </xf>
  </cellXfs>
  <cellStyles count="8">
    <cellStyle name="Normal" xfId="0" builtinId="0"/>
    <cellStyle name="Normal 2" xfId="1" xr:uid="{00000000-0005-0000-0000-000001000000}"/>
    <cellStyle name="Normal 3" xfId="4" xr:uid="{00000000-0005-0000-0000-000002000000}"/>
    <cellStyle name="Normal 4" xfId="5" xr:uid="{64DFD5AE-932A-43CB-89FD-77DBA7A77495}"/>
    <cellStyle name="Normal 5" xfId="6" xr:uid="{0B908675-5FC1-47F7-A420-9E22167CE1EC}"/>
    <cellStyle name="표준 3" xfId="7" xr:uid="{62E14E76-F9FB-4938-A6D0-9109D4D5C877}"/>
    <cellStyle name="標準 2" xfId="2" xr:uid="{00000000-0005-0000-0000-000003000000}"/>
    <cellStyle name="標準_COMP FORMS Japan"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863"/>
  <sheetViews>
    <sheetView tabSelected="1" topLeftCell="A684" zoomScale="90" zoomScaleNormal="90" workbookViewId="0">
      <selection activeCell="E701" sqref="E701:E703"/>
    </sheetView>
  </sheetViews>
  <sheetFormatPr defaultColWidth="9.140625" defaultRowHeight="12.75" x14ac:dyDescent="0.2"/>
  <cols>
    <col min="1" max="1" width="19.85546875" style="19" customWidth="1"/>
    <col min="2" max="9" width="28.5703125" style="19" customWidth="1"/>
    <col min="10" max="10" width="29.42578125" style="19" customWidth="1"/>
    <col min="11" max="11" width="20.7109375" style="19" customWidth="1"/>
    <col min="12" max="12" width="15.85546875" style="19" customWidth="1"/>
    <col min="13" max="16" width="10.28515625" style="19" customWidth="1"/>
    <col min="17" max="16384" width="9.140625" style="19"/>
  </cols>
  <sheetData>
    <row r="1" spans="1:7" x14ac:dyDescent="0.2">
      <c r="A1" s="24" t="s">
        <v>765</v>
      </c>
      <c r="B1" s="18"/>
      <c r="C1" s="18"/>
      <c r="D1" s="18"/>
      <c r="E1" s="18"/>
      <c r="F1" s="24"/>
      <c r="G1" s="18"/>
    </row>
    <row r="2" spans="1:7" x14ac:dyDescent="0.2">
      <c r="A2" s="25" t="s">
        <v>766</v>
      </c>
      <c r="B2" s="18"/>
      <c r="C2" s="18"/>
      <c r="D2" s="18"/>
      <c r="E2" s="18"/>
      <c r="F2" s="24"/>
      <c r="G2" s="18"/>
    </row>
    <row r="3" spans="1:7" x14ac:dyDescent="0.2">
      <c r="A3" s="24" t="s">
        <v>767</v>
      </c>
      <c r="B3" s="18"/>
      <c r="C3" s="18"/>
      <c r="D3" s="18"/>
      <c r="E3" s="18"/>
      <c r="F3" s="24"/>
      <c r="G3" s="18"/>
    </row>
    <row r="4" spans="1:7" x14ac:dyDescent="0.2">
      <c r="A4" s="24"/>
      <c r="B4" s="18"/>
      <c r="C4" s="18"/>
      <c r="D4" s="18"/>
      <c r="E4" s="18"/>
      <c r="F4" s="24"/>
      <c r="G4" s="18"/>
    </row>
    <row r="5" spans="1:7" x14ac:dyDescent="0.2">
      <c r="A5" s="125" t="s">
        <v>12</v>
      </c>
      <c r="B5" s="680" t="s">
        <v>795</v>
      </c>
      <c r="C5" s="7"/>
      <c r="F5" s="24"/>
      <c r="G5" s="18"/>
    </row>
    <row r="6" spans="1:7" x14ac:dyDescent="0.2">
      <c r="A6" s="96" t="s">
        <v>14</v>
      </c>
      <c r="B6" s="56" t="s">
        <v>661</v>
      </c>
      <c r="C6" s="41" t="s">
        <v>15</v>
      </c>
      <c r="F6" s="24"/>
      <c r="G6" s="18"/>
    </row>
    <row r="7" spans="1:7" x14ac:dyDescent="0.2">
      <c r="A7" s="47" t="s">
        <v>16</v>
      </c>
      <c r="B7" s="22"/>
      <c r="C7" s="22">
        <v>2021</v>
      </c>
      <c r="D7" s="22">
        <v>2022</v>
      </c>
      <c r="E7" s="22">
        <v>2023</v>
      </c>
      <c r="F7" s="24"/>
      <c r="G7" s="18"/>
    </row>
    <row r="8" spans="1:7" x14ac:dyDescent="0.2">
      <c r="A8" s="47" t="s">
        <v>17</v>
      </c>
      <c r="B8" s="23"/>
      <c r="C8" s="23">
        <v>170</v>
      </c>
      <c r="D8" s="23">
        <v>170</v>
      </c>
      <c r="E8" s="23">
        <v>264</v>
      </c>
      <c r="F8" s="24"/>
      <c r="G8" s="18"/>
    </row>
    <row r="9" spans="1:7" x14ac:dyDescent="0.2">
      <c r="A9" s="47" t="s">
        <v>18</v>
      </c>
      <c r="B9" s="23"/>
      <c r="C9" s="23"/>
      <c r="D9" s="23">
        <f>D8+0.05*C8</f>
        <v>178.5</v>
      </c>
      <c r="E9" s="23"/>
      <c r="F9" s="24"/>
      <c r="G9" s="18"/>
    </row>
    <row r="10" spans="1:7" x14ac:dyDescent="0.2">
      <c r="A10" s="47" t="s">
        <v>19</v>
      </c>
      <c r="B10" s="126"/>
      <c r="C10" s="127"/>
      <c r="D10" s="127" t="s">
        <v>796</v>
      </c>
      <c r="E10" s="127"/>
      <c r="F10" s="24"/>
      <c r="G10" s="18"/>
    </row>
    <row r="11" spans="1:7" x14ac:dyDescent="0.2">
      <c r="A11" s="47" t="s">
        <v>20</v>
      </c>
      <c r="B11" s="23"/>
      <c r="C11" s="23">
        <v>148.4</v>
      </c>
      <c r="D11" s="23">
        <v>177.5</v>
      </c>
      <c r="E11" s="23"/>
      <c r="F11" s="24"/>
      <c r="G11" s="18"/>
    </row>
    <row r="12" spans="1:7" x14ac:dyDescent="0.2">
      <c r="A12" s="47" t="s">
        <v>21</v>
      </c>
      <c r="B12" s="23"/>
      <c r="C12" s="23">
        <f>C8-C11</f>
        <v>21.599999999999994</v>
      </c>
      <c r="D12" s="23">
        <f>D9-D11</f>
        <v>1</v>
      </c>
      <c r="E12" s="23"/>
      <c r="F12" s="24"/>
      <c r="G12" s="18"/>
    </row>
    <row r="13" spans="1:7" x14ac:dyDescent="0.2">
      <c r="A13" s="50" t="s">
        <v>22</v>
      </c>
      <c r="B13" s="36"/>
      <c r="C13" s="36">
        <v>2022</v>
      </c>
      <c r="D13" s="36"/>
      <c r="E13" s="36"/>
      <c r="F13" s="24"/>
      <c r="G13" s="18"/>
    </row>
    <row r="14" spans="1:7" x14ac:dyDescent="0.2">
      <c r="A14" s="50" t="s">
        <v>23</v>
      </c>
      <c r="B14" s="30"/>
      <c r="C14" s="30"/>
      <c r="D14" s="30"/>
      <c r="E14" s="31"/>
      <c r="F14" s="24"/>
      <c r="G14" s="18"/>
    </row>
    <row r="15" spans="1:7" ht="31.9" customHeight="1" x14ac:dyDescent="0.2">
      <c r="A15" s="715" t="s">
        <v>797</v>
      </c>
      <c r="B15" s="716"/>
      <c r="C15" s="716"/>
      <c r="D15" s="716"/>
      <c r="E15" s="741"/>
      <c r="F15" s="24"/>
      <c r="G15" s="18"/>
    </row>
    <row r="16" spans="1:7" x14ac:dyDescent="0.2">
      <c r="A16" s="24"/>
      <c r="B16" s="18"/>
      <c r="C16" s="18"/>
      <c r="D16" s="18"/>
      <c r="E16" s="18"/>
      <c r="F16" s="24"/>
      <c r="G16" s="18"/>
    </row>
    <row r="17" spans="1:7" x14ac:dyDescent="0.2">
      <c r="A17" s="24"/>
      <c r="B17" s="18"/>
      <c r="C17" s="18"/>
      <c r="D17" s="18"/>
      <c r="E17" s="18"/>
      <c r="F17" s="24"/>
      <c r="G17" s="18"/>
    </row>
    <row r="18" spans="1:7" x14ac:dyDescent="0.2">
      <c r="A18" s="125" t="s">
        <v>12</v>
      </c>
      <c r="B18" s="680" t="s">
        <v>202</v>
      </c>
      <c r="C18" s="7"/>
    </row>
    <row r="19" spans="1:7" x14ac:dyDescent="0.2">
      <c r="A19" s="96" t="s">
        <v>14</v>
      </c>
      <c r="B19" s="56" t="s">
        <v>638</v>
      </c>
      <c r="C19" s="41" t="s">
        <v>15</v>
      </c>
    </row>
    <row r="20" spans="1:7" x14ac:dyDescent="0.2">
      <c r="A20" s="47" t="s">
        <v>16</v>
      </c>
      <c r="B20" s="22"/>
      <c r="C20" s="22">
        <v>2019</v>
      </c>
      <c r="D20" s="22">
        <v>2020</v>
      </c>
      <c r="E20" s="22">
        <v>2021</v>
      </c>
      <c r="F20" s="22">
        <v>2022</v>
      </c>
      <c r="G20" s="22">
        <v>2023</v>
      </c>
    </row>
    <row r="21" spans="1:7" x14ac:dyDescent="0.2">
      <c r="A21" s="47" t="s">
        <v>17</v>
      </c>
      <c r="B21" s="23"/>
      <c r="C21" s="23">
        <v>215</v>
      </c>
      <c r="D21" s="23">
        <v>215</v>
      </c>
      <c r="E21" s="23">
        <v>242</v>
      </c>
      <c r="F21" s="23">
        <v>242</v>
      </c>
      <c r="G21" s="23">
        <v>242</v>
      </c>
    </row>
    <row r="22" spans="1:7" x14ac:dyDescent="0.2">
      <c r="A22" s="47" t="s">
        <v>18</v>
      </c>
      <c r="B22" s="23"/>
      <c r="C22" s="23">
        <v>265</v>
      </c>
      <c r="D22" s="23">
        <v>265</v>
      </c>
      <c r="E22" s="23">
        <f>E21+0.25*C21</f>
        <v>295.75</v>
      </c>
      <c r="F22" s="23">
        <f>F21+0.25*D21</f>
        <v>295.75</v>
      </c>
      <c r="G22" s="23">
        <f>G21+0.25*E21</f>
        <v>302.5</v>
      </c>
    </row>
    <row r="23" spans="1:7" x14ac:dyDescent="0.2">
      <c r="A23" s="47" t="s">
        <v>19</v>
      </c>
      <c r="B23" s="126"/>
      <c r="C23" s="570">
        <v>1</v>
      </c>
      <c r="D23" s="570">
        <v>2</v>
      </c>
      <c r="E23" s="570">
        <v>3</v>
      </c>
      <c r="F23" s="570">
        <v>4</v>
      </c>
      <c r="G23" s="570">
        <v>5</v>
      </c>
    </row>
    <row r="24" spans="1:7" x14ac:dyDescent="0.2">
      <c r="A24" s="47" t="s">
        <v>20</v>
      </c>
      <c r="B24" s="23"/>
      <c r="C24" s="23">
        <v>7.12</v>
      </c>
      <c r="D24" s="23">
        <v>10.18</v>
      </c>
      <c r="E24" s="23">
        <v>12.5</v>
      </c>
      <c r="F24" s="23">
        <v>11.74</v>
      </c>
      <c r="G24" s="23"/>
    </row>
    <row r="25" spans="1:7" x14ac:dyDescent="0.2">
      <c r="A25" s="47" t="s">
        <v>21</v>
      </c>
      <c r="B25" s="23"/>
      <c r="C25" s="23">
        <f>C22-C24</f>
        <v>257.88</v>
      </c>
      <c r="D25" s="23">
        <f>D22-D24</f>
        <v>254.82</v>
      </c>
      <c r="E25" s="23">
        <f>E22-E24</f>
        <v>283.25</v>
      </c>
      <c r="F25" s="23">
        <f>F22-F24</f>
        <v>284.01</v>
      </c>
      <c r="G25" s="23"/>
    </row>
    <row r="26" spans="1:7" x14ac:dyDescent="0.2">
      <c r="A26" s="50" t="s">
        <v>22</v>
      </c>
      <c r="B26" s="36"/>
      <c r="C26" s="36">
        <v>2021</v>
      </c>
      <c r="D26" s="36">
        <v>2022</v>
      </c>
      <c r="E26" s="36">
        <v>2023</v>
      </c>
      <c r="F26" s="36">
        <v>2024</v>
      </c>
      <c r="G26" s="36">
        <v>2025</v>
      </c>
    </row>
    <row r="27" spans="1:7" x14ac:dyDescent="0.2">
      <c r="A27" s="50" t="s">
        <v>23</v>
      </c>
      <c r="B27" s="30"/>
      <c r="C27" s="30"/>
      <c r="D27" s="30"/>
      <c r="E27" s="30"/>
      <c r="F27" s="30"/>
      <c r="G27" s="31"/>
    </row>
    <row r="28" spans="1:7" x14ac:dyDescent="0.2">
      <c r="A28" s="244" t="s">
        <v>798</v>
      </c>
      <c r="B28" s="237"/>
      <c r="G28" s="21"/>
    </row>
    <row r="29" spans="1:7" x14ac:dyDescent="0.2">
      <c r="A29" s="567">
        <v>1</v>
      </c>
      <c r="B29" s="568" t="s">
        <v>799</v>
      </c>
      <c r="C29" s="30"/>
      <c r="D29" s="30"/>
      <c r="E29" s="30"/>
      <c r="F29" s="30"/>
      <c r="G29" s="31"/>
    </row>
    <row r="30" spans="1:7" x14ac:dyDescent="0.2">
      <c r="A30" s="244">
        <v>2</v>
      </c>
      <c r="B30" s="237" t="s">
        <v>800</v>
      </c>
      <c r="G30" s="21"/>
    </row>
    <row r="31" spans="1:7" x14ac:dyDescent="0.2">
      <c r="A31" s="244">
        <v>3</v>
      </c>
      <c r="B31" s="237" t="s">
        <v>801</v>
      </c>
      <c r="G31" s="21"/>
    </row>
    <row r="32" spans="1:7" x14ac:dyDescent="0.2">
      <c r="A32" s="244">
        <v>4</v>
      </c>
      <c r="B32" s="237" t="s">
        <v>802</v>
      </c>
      <c r="G32" s="21"/>
    </row>
    <row r="33" spans="1:10" x14ac:dyDescent="0.2">
      <c r="A33" s="236">
        <v>5</v>
      </c>
      <c r="B33" s="569" t="s">
        <v>803</v>
      </c>
      <c r="C33" s="33"/>
      <c r="D33" s="33"/>
      <c r="E33" s="33"/>
      <c r="F33" s="33"/>
      <c r="G33" s="34"/>
    </row>
    <row r="35" spans="1:10" x14ac:dyDescent="0.2">
      <c r="A35" s="96" t="s">
        <v>14</v>
      </c>
      <c r="B35" s="56" t="s">
        <v>637</v>
      </c>
      <c r="C35" s="41" t="s">
        <v>15</v>
      </c>
    </row>
    <row r="36" spans="1:10" x14ac:dyDescent="0.2">
      <c r="A36" s="47" t="s">
        <v>16</v>
      </c>
      <c r="B36" s="22">
        <v>2018</v>
      </c>
      <c r="C36" s="22">
        <v>2019</v>
      </c>
      <c r="D36" s="22">
        <v>2020</v>
      </c>
      <c r="E36" s="22">
        <v>2021</v>
      </c>
      <c r="F36" s="22">
        <v>2022</v>
      </c>
      <c r="G36" s="22">
        <v>2023</v>
      </c>
    </row>
    <row r="37" spans="1:10" x14ac:dyDescent="0.2">
      <c r="A37" s="47" t="s">
        <v>17</v>
      </c>
      <c r="B37" s="23">
        <v>45</v>
      </c>
      <c r="C37" s="23">
        <v>45</v>
      </c>
      <c r="D37" s="23">
        <v>45</v>
      </c>
      <c r="E37" s="23">
        <v>45</v>
      </c>
      <c r="F37" s="23">
        <v>45</v>
      </c>
      <c r="G37" s="23">
        <v>45</v>
      </c>
    </row>
    <row r="38" spans="1:10" x14ac:dyDescent="0.2">
      <c r="A38" s="47" t="s">
        <v>18</v>
      </c>
      <c r="B38" s="23">
        <v>63</v>
      </c>
      <c r="C38" s="23">
        <v>63</v>
      </c>
      <c r="D38" s="23">
        <v>63</v>
      </c>
      <c r="E38" s="23">
        <v>63</v>
      </c>
      <c r="F38" s="23">
        <v>63</v>
      </c>
      <c r="G38" s="23">
        <v>63</v>
      </c>
    </row>
    <row r="39" spans="1:10" x14ac:dyDescent="0.2">
      <c r="A39" s="47" t="s">
        <v>19</v>
      </c>
      <c r="B39" s="22" t="s">
        <v>301</v>
      </c>
      <c r="C39" s="22" t="s">
        <v>301</v>
      </c>
      <c r="D39" s="22" t="s">
        <v>301</v>
      </c>
      <c r="E39" s="22" t="s">
        <v>301</v>
      </c>
      <c r="F39" s="22" t="s">
        <v>301</v>
      </c>
      <c r="G39" s="22" t="s">
        <v>301</v>
      </c>
    </row>
    <row r="40" spans="1:10" x14ac:dyDescent="0.2">
      <c r="A40" s="47" t="s">
        <v>20</v>
      </c>
      <c r="B40" s="23">
        <v>18.100000000000001</v>
      </c>
      <c r="C40" s="23">
        <v>9.9499999999999993</v>
      </c>
      <c r="D40" s="23">
        <v>11.79</v>
      </c>
      <c r="E40" s="23">
        <v>13.29</v>
      </c>
      <c r="F40" s="23">
        <v>8.1999999999999993</v>
      </c>
      <c r="G40" s="23"/>
    </row>
    <row r="41" spans="1:10" x14ac:dyDescent="0.2">
      <c r="A41" s="47" t="s">
        <v>21</v>
      </c>
      <c r="B41" s="23">
        <f>B38-B40</f>
        <v>44.9</v>
      </c>
      <c r="C41" s="23">
        <f>C38-C40</f>
        <v>53.05</v>
      </c>
      <c r="D41" s="23">
        <f>D38-D40</f>
        <v>51.21</v>
      </c>
      <c r="E41" s="23">
        <f>E38-E40</f>
        <v>49.71</v>
      </c>
      <c r="F41" s="23">
        <f>F38-F40</f>
        <v>54.8</v>
      </c>
      <c r="G41" s="23"/>
    </row>
    <row r="42" spans="1:10" x14ac:dyDescent="0.2">
      <c r="A42" s="50" t="s">
        <v>22</v>
      </c>
      <c r="B42" s="36">
        <v>2020</v>
      </c>
      <c r="C42" s="36">
        <v>2021</v>
      </c>
      <c r="D42" s="36">
        <v>2022</v>
      </c>
      <c r="E42" s="36">
        <v>2023</v>
      </c>
      <c r="F42" s="36">
        <v>2024</v>
      </c>
      <c r="G42" s="36">
        <v>2025</v>
      </c>
    </row>
    <row r="43" spans="1:10" x14ac:dyDescent="0.2">
      <c r="A43" s="50" t="s">
        <v>154</v>
      </c>
      <c r="B43" s="30"/>
      <c r="C43" s="30"/>
      <c r="D43" s="30"/>
      <c r="E43" s="31"/>
      <c r="F43" s="31"/>
      <c r="G43" s="31"/>
    </row>
    <row r="44" spans="1:10" x14ac:dyDescent="0.2">
      <c r="A44" s="236" t="s">
        <v>804</v>
      </c>
      <c r="B44" s="33"/>
      <c r="C44" s="33"/>
      <c r="D44" s="33"/>
      <c r="E44" s="34"/>
      <c r="F44" s="34"/>
      <c r="G44" s="34"/>
    </row>
    <row r="46" spans="1:10" customFormat="1" ht="15" x14ac:dyDescent="0.25">
      <c r="A46" s="96" t="s">
        <v>14</v>
      </c>
      <c r="B46" s="56" t="s">
        <v>74</v>
      </c>
      <c r="C46" s="41" t="s">
        <v>15</v>
      </c>
      <c r="D46" s="19"/>
      <c r="E46" s="19"/>
      <c r="F46" s="19"/>
    </row>
    <row r="47" spans="1:10" customFormat="1" ht="15" x14ac:dyDescent="0.25">
      <c r="A47" s="47" t="s">
        <v>16</v>
      </c>
      <c r="B47" s="573">
        <v>2015</v>
      </c>
      <c r="C47" s="573">
        <v>2016</v>
      </c>
      <c r="D47" s="573">
        <v>2017</v>
      </c>
      <c r="E47" s="22">
        <v>2018</v>
      </c>
      <c r="F47" s="22">
        <v>2019</v>
      </c>
      <c r="G47" s="22">
        <v>2020</v>
      </c>
      <c r="H47" s="22">
        <v>2021</v>
      </c>
      <c r="I47" s="22">
        <v>2022</v>
      </c>
      <c r="J47" s="22">
        <v>2023</v>
      </c>
    </row>
    <row r="48" spans="1:10" customFormat="1" ht="15" x14ac:dyDescent="0.25">
      <c r="A48" s="47" t="s">
        <v>17</v>
      </c>
      <c r="B48" s="46">
        <v>10</v>
      </c>
      <c r="C48" s="46">
        <v>10</v>
      </c>
      <c r="D48" s="46">
        <v>10</v>
      </c>
      <c r="E48" s="23">
        <v>10</v>
      </c>
      <c r="F48" s="23">
        <v>10</v>
      </c>
      <c r="G48" s="23">
        <v>10</v>
      </c>
      <c r="H48" s="23">
        <v>10</v>
      </c>
      <c r="I48" s="23">
        <v>10</v>
      </c>
      <c r="J48" s="23">
        <v>10</v>
      </c>
    </row>
    <row r="49" spans="1:10" customFormat="1" ht="15" x14ac:dyDescent="0.25">
      <c r="A49" s="22" t="s">
        <v>18</v>
      </c>
      <c r="B49" s="574"/>
      <c r="C49" s="573">
        <v>-13.719999999999999</v>
      </c>
      <c r="D49" s="573">
        <v>-14.919999999999998</v>
      </c>
      <c r="E49" s="573">
        <v>-28.950000000000003</v>
      </c>
      <c r="F49" s="573">
        <v>-32.5</v>
      </c>
      <c r="G49" s="573">
        <v>-35.980000000000004</v>
      </c>
      <c r="H49" s="573">
        <v>-47.510000000000005</v>
      </c>
      <c r="I49" s="573">
        <v>-49.740000000000009</v>
      </c>
      <c r="J49" s="23">
        <f>J48+I52</f>
        <v>-49.240000000000009</v>
      </c>
    </row>
    <row r="50" spans="1:10" customFormat="1" ht="15" x14ac:dyDescent="0.25">
      <c r="A50" s="47" t="s">
        <v>19</v>
      </c>
      <c r="B50" s="572"/>
      <c r="C50" s="572">
        <v>1</v>
      </c>
      <c r="D50" s="572">
        <v>2</v>
      </c>
      <c r="E50" s="572">
        <v>3</v>
      </c>
      <c r="F50" s="572">
        <v>4</v>
      </c>
      <c r="G50" s="572">
        <v>5</v>
      </c>
      <c r="H50" s="572">
        <v>6</v>
      </c>
      <c r="I50" s="47">
        <v>7</v>
      </c>
      <c r="J50" s="22">
        <v>8</v>
      </c>
    </row>
    <row r="51" spans="1:10" customFormat="1" ht="15" x14ac:dyDescent="0.25">
      <c r="A51" s="47" t="s">
        <v>20</v>
      </c>
      <c r="B51" s="572">
        <v>33.72</v>
      </c>
      <c r="C51" s="572">
        <v>11.2</v>
      </c>
      <c r="D51" s="572">
        <v>24.03</v>
      </c>
      <c r="E51" s="23">
        <v>13.55</v>
      </c>
      <c r="F51" s="23">
        <v>13.48</v>
      </c>
      <c r="G51" s="23">
        <v>21.53</v>
      </c>
      <c r="H51" s="23">
        <v>12.23</v>
      </c>
      <c r="I51" s="257">
        <v>9.5</v>
      </c>
      <c r="J51" s="23"/>
    </row>
    <row r="52" spans="1:10" customFormat="1" ht="15" x14ac:dyDescent="0.25">
      <c r="A52" s="47" t="s">
        <v>21</v>
      </c>
      <c r="B52" s="572">
        <v>-23.72</v>
      </c>
      <c r="C52" s="572">
        <v>-24.919999999999998</v>
      </c>
      <c r="D52" s="572">
        <v>-38.950000000000003</v>
      </c>
      <c r="E52" s="46">
        <v>-42.5</v>
      </c>
      <c r="F52" s="46">
        <v>-45.980000000000004</v>
      </c>
      <c r="G52" s="46">
        <v>-57.510000000000005</v>
      </c>
      <c r="H52" s="46">
        <v>-59.740000000000009</v>
      </c>
      <c r="I52" s="46">
        <f>I49-I51</f>
        <v>-59.240000000000009</v>
      </c>
      <c r="J52" s="571"/>
    </row>
    <row r="53" spans="1:10" customFormat="1" ht="15" x14ac:dyDescent="0.25">
      <c r="A53" s="50" t="s">
        <v>22</v>
      </c>
      <c r="B53" s="567">
        <v>2016</v>
      </c>
      <c r="C53" s="567">
        <v>2017</v>
      </c>
      <c r="D53" s="567">
        <v>2018</v>
      </c>
      <c r="E53" s="36">
        <v>2019</v>
      </c>
      <c r="F53" s="36">
        <v>2020</v>
      </c>
      <c r="G53" s="22">
        <v>2021</v>
      </c>
      <c r="H53" s="22">
        <v>2022</v>
      </c>
      <c r="I53" s="268">
        <v>2023</v>
      </c>
      <c r="J53" s="22">
        <v>2024</v>
      </c>
    </row>
    <row r="54" spans="1:10" customFormat="1" ht="15" x14ac:dyDescent="0.25">
      <c r="A54" s="50" t="s">
        <v>23</v>
      </c>
      <c r="B54" s="30"/>
      <c r="C54" s="30"/>
      <c r="D54" s="30"/>
      <c r="E54" s="30"/>
      <c r="F54" s="259"/>
      <c r="G54" s="259"/>
      <c r="H54" s="259"/>
      <c r="I54" s="259"/>
      <c r="J54" s="259"/>
    </row>
    <row r="55" spans="1:10" customFormat="1" ht="15" x14ac:dyDescent="0.25">
      <c r="A55" s="47" t="s">
        <v>416</v>
      </c>
      <c r="B55" s="59"/>
      <c r="C55" s="59"/>
      <c r="D55" s="59"/>
      <c r="E55" s="59"/>
      <c r="F55" s="566"/>
      <c r="G55" s="566"/>
      <c r="H55" s="566"/>
      <c r="I55" s="566"/>
      <c r="J55" s="275"/>
    </row>
    <row r="56" spans="1:10" x14ac:dyDescent="0.2">
      <c r="A56" s="567">
        <v>1</v>
      </c>
      <c r="B56" s="568" t="s">
        <v>806</v>
      </c>
      <c r="C56" s="30"/>
      <c r="D56" s="30"/>
      <c r="E56" s="30"/>
      <c r="F56" s="30"/>
      <c r="G56" s="30"/>
      <c r="H56" s="30"/>
      <c r="I56" s="30"/>
      <c r="J56" s="31"/>
    </row>
    <row r="57" spans="1:10" x14ac:dyDescent="0.2">
      <c r="A57" s="244">
        <v>2</v>
      </c>
      <c r="B57" s="237" t="s">
        <v>807</v>
      </c>
      <c r="J57" s="21"/>
    </row>
    <row r="58" spans="1:10" x14ac:dyDescent="0.2">
      <c r="A58" s="244">
        <v>3</v>
      </c>
      <c r="B58" s="237" t="s">
        <v>808</v>
      </c>
      <c r="J58" s="21"/>
    </row>
    <row r="59" spans="1:10" x14ac:dyDescent="0.2">
      <c r="A59" s="244">
        <v>4</v>
      </c>
      <c r="B59" s="237" t="s">
        <v>809</v>
      </c>
      <c r="J59" s="21"/>
    </row>
    <row r="60" spans="1:10" x14ac:dyDescent="0.2">
      <c r="A60" s="244">
        <v>5</v>
      </c>
      <c r="B60" s="237" t="s">
        <v>810</v>
      </c>
      <c r="J60" s="21"/>
    </row>
    <row r="61" spans="1:10" x14ac:dyDescent="0.2">
      <c r="A61" s="244">
        <v>6</v>
      </c>
      <c r="B61" s="237" t="s">
        <v>811</v>
      </c>
      <c r="J61" s="21"/>
    </row>
    <row r="62" spans="1:10" x14ac:dyDescent="0.2">
      <c r="A62" s="244">
        <v>7</v>
      </c>
      <c r="B62" s="237" t="s">
        <v>812</v>
      </c>
      <c r="J62" s="21"/>
    </row>
    <row r="63" spans="1:10" x14ac:dyDescent="0.2">
      <c r="A63" s="32">
        <v>8</v>
      </c>
      <c r="B63" s="33" t="s">
        <v>813</v>
      </c>
      <c r="C63" s="33"/>
      <c r="D63" s="33"/>
      <c r="E63" s="33"/>
      <c r="F63" s="33"/>
      <c r="G63" s="33"/>
      <c r="H63" s="33"/>
      <c r="I63" s="33"/>
      <c r="J63" s="34"/>
    </row>
    <row r="64" spans="1:10" x14ac:dyDescent="0.2">
      <c r="F64" s="263"/>
    </row>
    <row r="65" spans="1:10" customFormat="1" ht="15" x14ac:dyDescent="0.25">
      <c r="A65" s="96" t="s">
        <v>14</v>
      </c>
      <c r="B65" s="56" t="s">
        <v>79</v>
      </c>
      <c r="C65" s="41" t="s">
        <v>15</v>
      </c>
      <c r="D65" s="19"/>
      <c r="E65" s="19"/>
      <c r="F65" s="263"/>
      <c r="G65" s="19"/>
      <c r="H65" s="19"/>
      <c r="I65" s="19"/>
      <c r="J65" s="19"/>
    </row>
    <row r="66" spans="1:10" customFormat="1" ht="15" x14ac:dyDescent="0.25">
      <c r="A66" s="47" t="s">
        <v>16</v>
      </c>
      <c r="B66" s="573">
        <v>2015</v>
      </c>
      <c r="C66" s="573">
        <v>2016</v>
      </c>
      <c r="D66" s="573">
        <v>2017</v>
      </c>
      <c r="E66" s="22">
        <v>2018</v>
      </c>
      <c r="F66" s="22">
        <v>2019</v>
      </c>
      <c r="G66" s="22">
        <v>2020</v>
      </c>
      <c r="H66" s="22">
        <v>2021</v>
      </c>
      <c r="I66" s="268">
        <v>2022</v>
      </c>
      <c r="J66" s="22">
        <v>2023</v>
      </c>
    </row>
    <row r="67" spans="1:10" customFormat="1" ht="15" x14ac:dyDescent="0.25">
      <c r="A67" s="47" t="s">
        <v>17</v>
      </c>
      <c r="B67" s="46">
        <v>10</v>
      </c>
      <c r="C67" s="46">
        <v>10</v>
      </c>
      <c r="D67" s="46">
        <v>10</v>
      </c>
      <c r="E67" s="23">
        <v>10</v>
      </c>
      <c r="F67" s="23">
        <v>10</v>
      </c>
      <c r="G67" s="23">
        <v>10</v>
      </c>
      <c r="H67" s="23">
        <v>10</v>
      </c>
      <c r="I67" s="257">
        <v>10</v>
      </c>
      <c r="J67" s="23">
        <v>10</v>
      </c>
    </row>
    <row r="68" spans="1:10" customFormat="1" ht="15" x14ac:dyDescent="0.25">
      <c r="A68" s="47" t="s">
        <v>18</v>
      </c>
      <c r="B68" s="572"/>
      <c r="C68" s="575">
        <f>C67+B71</f>
        <v>10.3</v>
      </c>
      <c r="D68" s="572">
        <v>6.07</v>
      </c>
      <c r="E68" s="46">
        <v>-1.3299999999999983</v>
      </c>
      <c r="F68" s="46">
        <v>-8.8299999999999983</v>
      </c>
      <c r="G68" s="46">
        <v>-10.39</v>
      </c>
      <c r="H68" s="46">
        <v>-14.75</v>
      </c>
      <c r="I68" s="46">
        <v>-14.75</v>
      </c>
      <c r="J68" s="22">
        <v>-14.45</v>
      </c>
    </row>
    <row r="69" spans="1:10" customFormat="1" ht="15" x14ac:dyDescent="0.25">
      <c r="A69" s="47" t="s">
        <v>19</v>
      </c>
      <c r="B69" s="572"/>
      <c r="C69" s="572">
        <v>1</v>
      </c>
      <c r="D69" s="572">
        <v>2</v>
      </c>
      <c r="E69" s="572">
        <v>3</v>
      </c>
      <c r="F69" s="572">
        <v>4</v>
      </c>
      <c r="G69" s="572">
        <v>5</v>
      </c>
      <c r="H69" s="572">
        <v>6</v>
      </c>
      <c r="I69" s="572">
        <v>7</v>
      </c>
      <c r="J69" s="22">
        <v>8</v>
      </c>
    </row>
    <row r="70" spans="1:10" customFormat="1" ht="15" x14ac:dyDescent="0.25">
      <c r="A70" s="47" t="s">
        <v>20</v>
      </c>
      <c r="B70" s="575">
        <v>9.6999999999999993</v>
      </c>
      <c r="C70" s="575">
        <v>14.23</v>
      </c>
      <c r="D70" s="575">
        <v>17.399999999999999</v>
      </c>
      <c r="E70" s="23">
        <v>17.5</v>
      </c>
      <c r="F70" s="23">
        <v>11.56</v>
      </c>
      <c r="G70" s="23">
        <v>14.36</v>
      </c>
      <c r="H70" s="23">
        <v>10</v>
      </c>
      <c r="I70" s="23">
        <v>9.6999999999999993</v>
      </c>
      <c r="J70" s="23" t="s">
        <v>805</v>
      </c>
    </row>
    <row r="71" spans="1:10" customFormat="1" ht="15" x14ac:dyDescent="0.25">
      <c r="A71" s="47" t="s">
        <v>21</v>
      </c>
      <c r="B71" s="575">
        <v>0.30000000000000071</v>
      </c>
      <c r="C71" s="575">
        <f>C68-C70</f>
        <v>-3.9299999999999997</v>
      </c>
      <c r="D71" s="575">
        <f t="shared" ref="D71:I71" si="0">D68-D70</f>
        <v>-11.329999999999998</v>
      </c>
      <c r="E71" s="575">
        <f t="shared" si="0"/>
        <v>-18.829999999999998</v>
      </c>
      <c r="F71" s="575">
        <f t="shared" si="0"/>
        <v>-20.39</v>
      </c>
      <c r="G71" s="575">
        <f t="shared" si="0"/>
        <v>-24.75</v>
      </c>
      <c r="H71" s="575">
        <f t="shared" si="0"/>
        <v>-24.75</v>
      </c>
      <c r="I71" s="575">
        <f t="shared" si="0"/>
        <v>-24.45</v>
      </c>
      <c r="J71" s="23"/>
    </row>
    <row r="72" spans="1:10" customFormat="1" ht="15" x14ac:dyDescent="0.25">
      <c r="A72" s="50" t="s">
        <v>22</v>
      </c>
      <c r="B72" s="567">
        <v>2016</v>
      </c>
      <c r="C72" s="567">
        <v>2017</v>
      </c>
      <c r="D72" s="567">
        <v>2018</v>
      </c>
      <c r="E72" s="36">
        <v>2019</v>
      </c>
      <c r="F72" s="36">
        <v>2020</v>
      </c>
      <c r="G72" s="36">
        <v>2021</v>
      </c>
      <c r="H72" s="36">
        <v>2022</v>
      </c>
      <c r="I72" s="36">
        <v>2023</v>
      </c>
      <c r="J72" s="36">
        <v>2024</v>
      </c>
    </row>
    <row r="73" spans="1:10" customFormat="1" ht="15" x14ac:dyDescent="0.25">
      <c r="A73" s="50" t="s">
        <v>23</v>
      </c>
      <c r="B73" s="30"/>
      <c r="C73" s="30"/>
      <c r="D73" s="30"/>
      <c r="E73" s="30"/>
      <c r="F73" s="30"/>
      <c r="G73" s="30"/>
      <c r="H73" s="30"/>
      <c r="I73" s="30"/>
      <c r="J73" s="31"/>
    </row>
    <row r="74" spans="1:10" customFormat="1" ht="15" x14ac:dyDescent="0.25">
      <c r="A74" s="47" t="s">
        <v>416</v>
      </c>
      <c r="B74" s="59"/>
      <c r="C74" s="59"/>
      <c r="D74" s="59"/>
      <c r="E74" s="59"/>
      <c r="F74" s="59"/>
      <c r="G74" s="59"/>
      <c r="H74" s="59"/>
      <c r="I74" s="59"/>
      <c r="J74" s="57"/>
    </row>
    <row r="75" spans="1:10" customFormat="1" ht="15" x14ac:dyDescent="0.25">
      <c r="A75" s="567">
        <v>1</v>
      </c>
      <c r="B75" s="568" t="s">
        <v>806</v>
      </c>
      <c r="C75" s="30"/>
      <c r="D75" s="30"/>
      <c r="E75" s="30"/>
      <c r="F75" s="30"/>
      <c r="G75" s="30"/>
      <c r="H75" s="30"/>
      <c r="I75" s="30"/>
      <c r="J75" s="31"/>
    </row>
    <row r="76" spans="1:10" customFormat="1" ht="15" x14ac:dyDescent="0.25">
      <c r="A76" s="244">
        <v>2</v>
      </c>
      <c r="B76" s="237" t="s">
        <v>807</v>
      </c>
      <c r="C76" s="19"/>
      <c r="D76" s="19"/>
      <c r="E76" s="19"/>
      <c r="F76" s="19"/>
      <c r="G76" s="19"/>
      <c r="H76" s="19"/>
      <c r="I76" s="19"/>
      <c r="J76" s="21"/>
    </row>
    <row r="77" spans="1:10" customFormat="1" ht="15" x14ac:dyDescent="0.25">
      <c r="A77" s="244">
        <v>3</v>
      </c>
      <c r="B77" s="237" t="s">
        <v>808</v>
      </c>
      <c r="C77" s="19"/>
      <c r="D77" s="19"/>
      <c r="E77" s="19"/>
      <c r="F77" s="19"/>
      <c r="G77" s="19"/>
      <c r="H77" s="19"/>
      <c r="I77" s="19"/>
      <c r="J77" s="21"/>
    </row>
    <row r="78" spans="1:10" customFormat="1" ht="15" x14ac:dyDescent="0.25">
      <c r="A78" s="244">
        <v>4</v>
      </c>
      <c r="B78" s="237" t="s">
        <v>809</v>
      </c>
      <c r="C78" s="19"/>
      <c r="D78" s="19"/>
      <c r="E78" s="19"/>
      <c r="F78" s="19"/>
      <c r="G78" s="19"/>
      <c r="H78" s="19"/>
      <c r="I78" s="19"/>
      <c r="J78" s="21"/>
    </row>
    <row r="79" spans="1:10" customFormat="1" ht="15" x14ac:dyDescent="0.25">
      <c r="A79" s="244">
        <v>5</v>
      </c>
      <c r="B79" s="237" t="s">
        <v>810</v>
      </c>
      <c r="C79" s="19"/>
      <c r="D79" s="19"/>
      <c r="E79" s="19"/>
      <c r="F79" s="19"/>
      <c r="G79" s="19"/>
      <c r="H79" s="19"/>
      <c r="I79" s="19"/>
      <c r="J79" s="21"/>
    </row>
    <row r="80" spans="1:10" customFormat="1" ht="15" x14ac:dyDescent="0.25">
      <c r="A80" s="244">
        <v>6</v>
      </c>
      <c r="B80" s="237" t="s">
        <v>811</v>
      </c>
      <c r="C80" s="19"/>
      <c r="D80" s="19"/>
      <c r="E80" s="19"/>
      <c r="F80" s="19"/>
      <c r="G80" s="19"/>
      <c r="H80" s="19"/>
      <c r="I80" s="19"/>
      <c r="J80" s="21"/>
    </row>
    <row r="81" spans="1:10" customFormat="1" ht="15" x14ac:dyDescent="0.25">
      <c r="A81" s="244">
        <v>7</v>
      </c>
      <c r="B81" s="237" t="s">
        <v>812</v>
      </c>
      <c r="C81" s="19"/>
      <c r="D81" s="19"/>
      <c r="E81" s="19"/>
      <c r="F81" s="19"/>
      <c r="G81" s="19"/>
      <c r="H81" s="19"/>
      <c r="I81" s="19"/>
      <c r="J81" s="21"/>
    </row>
    <row r="82" spans="1:10" customFormat="1" ht="15" x14ac:dyDescent="0.25">
      <c r="A82" s="253">
        <v>8</v>
      </c>
      <c r="B82" s="265" t="s">
        <v>813</v>
      </c>
      <c r="C82" s="33"/>
      <c r="D82" s="33"/>
      <c r="E82" s="33"/>
      <c r="F82" s="33"/>
      <c r="G82" s="33"/>
      <c r="H82" s="33"/>
      <c r="I82" s="33"/>
      <c r="J82" s="34"/>
    </row>
    <row r="85" spans="1:10" x14ac:dyDescent="0.2">
      <c r="A85" s="128" t="s">
        <v>12</v>
      </c>
      <c r="B85" s="681" t="s">
        <v>166</v>
      </c>
      <c r="C85" s="7"/>
      <c r="D85" s="7"/>
      <c r="E85" s="7"/>
      <c r="F85" s="7"/>
    </row>
    <row r="86" spans="1:10" x14ac:dyDescent="0.2">
      <c r="A86" s="129" t="s">
        <v>14</v>
      </c>
      <c r="B86" s="13" t="s">
        <v>638</v>
      </c>
      <c r="C86" s="130" t="s">
        <v>15</v>
      </c>
      <c r="D86" s="7"/>
      <c r="E86" s="7"/>
      <c r="F86" s="7"/>
    </row>
    <row r="87" spans="1:10" x14ac:dyDescent="0.2">
      <c r="A87" s="8" t="s">
        <v>16</v>
      </c>
      <c r="B87" s="9"/>
      <c r="C87" s="284">
        <v>2017</v>
      </c>
      <c r="D87" s="130">
        <v>2018</v>
      </c>
      <c r="E87" s="130">
        <v>2019</v>
      </c>
      <c r="F87" s="130">
        <v>2020</v>
      </c>
      <c r="G87" s="130">
        <v>2021</v>
      </c>
      <c r="H87" s="130">
        <v>2022</v>
      </c>
      <c r="I87" s="130">
        <v>2023</v>
      </c>
      <c r="J87" s="578"/>
    </row>
    <row r="88" spans="1:10" x14ac:dyDescent="0.2">
      <c r="A88" s="8" t="s">
        <v>17</v>
      </c>
      <c r="B88" s="9"/>
      <c r="C88" s="131">
        <v>200</v>
      </c>
      <c r="D88" s="29">
        <v>200</v>
      </c>
      <c r="E88" s="29">
        <v>215</v>
      </c>
      <c r="F88" s="29">
        <v>215</v>
      </c>
      <c r="G88" s="29">
        <v>242</v>
      </c>
      <c r="H88" s="29">
        <v>242</v>
      </c>
      <c r="I88" s="29">
        <v>242</v>
      </c>
      <c r="J88" s="579"/>
    </row>
    <row r="89" spans="1:10" x14ac:dyDescent="0.2">
      <c r="A89" s="8" t="s">
        <v>18</v>
      </c>
      <c r="B89" s="9"/>
      <c r="C89" s="131">
        <v>450</v>
      </c>
      <c r="D89" s="29">
        <v>450</v>
      </c>
      <c r="E89" s="29">
        <f>E88+C92+200</f>
        <v>416.56</v>
      </c>
      <c r="F89" s="29">
        <v>465</v>
      </c>
      <c r="G89" s="29">
        <f>G88+0.25*E88+200</f>
        <v>495.75</v>
      </c>
      <c r="H89" s="29">
        <f>H88+0.25*F88+200</f>
        <v>495.75</v>
      </c>
      <c r="I89" s="29">
        <f>I88+0.25*G88+200</f>
        <v>502.5</v>
      </c>
      <c r="J89" s="579"/>
    </row>
    <row r="90" spans="1:10" x14ac:dyDescent="0.2">
      <c r="A90" s="8" t="s">
        <v>19</v>
      </c>
      <c r="B90" s="9"/>
      <c r="C90" s="131"/>
      <c r="D90" s="29"/>
      <c r="E90" s="742" t="s">
        <v>167</v>
      </c>
      <c r="F90" s="743"/>
      <c r="G90" s="743"/>
      <c r="H90" s="743"/>
      <c r="I90" s="744"/>
      <c r="J90" s="579"/>
    </row>
    <row r="91" spans="1:10" x14ac:dyDescent="0.2">
      <c r="A91" s="8" t="s">
        <v>20</v>
      </c>
      <c r="B91" s="9"/>
      <c r="C91" s="29">
        <v>448.44</v>
      </c>
      <c r="D91" s="29">
        <v>385.14</v>
      </c>
      <c r="E91" s="29">
        <v>216.09</v>
      </c>
      <c r="F91" s="29">
        <v>326.05</v>
      </c>
      <c r="G91" s="29">
        <v>200.65</v>
      </c>
      <c r="H91" s="29">
        <v>212.33</v>
      </c>
      <c r="I91" s="29"/>
      <c r="J91" s="579"/>
    </row>
    <row r="92" spans="1:10" x14ac:dyDescent="0.2">
      <c r="A92" s="8" t="s">
        <v>21</v>
      </c>
      <c r="B92" s="9"/>
      <c r="C92" s="29">
        <f t="shared" ref="C92:H92" si="1">C89-C91</f>
        <v>1.5600000000000023</v>
      </c>
      <c r="D92" s="29">
        <f t="shared" si="1"/>
        <v>64.860000000000014</v>
      </c>
      <c r="E92" s="29">
        <f t="shared" si="1"/>
        <v>200.47</v>
      </c>
      <c r="F92" s="29">
        <f t="shared" si="1"/>
        <v>138.94999999999999</v>
      </c>
      <c r="G92" s="29">
        <f t="shared" si="1"/>
        <v>295.10000000000002</v>
      </c>
      <c r="H92" s="29">
        <f t="shared" si="1"/>
        <v>283.41999999999996</v>
      </c>
      <c r="I92" s="29"/>
      <c r="J92" s="579"/>
    </row>
    <row r="93" spans="1:10" x14ac:dyDescent="0.2">
      <c r="A93" s="37" t="s">
        <v>22</v>
      </c>
      <c r="B93" s="38"/>
      <c r="C93" s="45">
        <v>2019</v>
      </c>
      <c r="D93" s="38">
        <v>2020</v>
      </c>
      <c r="E93" s="38">
        <v>2021</v>
      </c>
      <c r="F93" s="38">
        <v>2022</v>
      </c>
      <c r="G93" s="38">
        <v>2023</v>
      </c>
      <c r="H93" s="38">
        <v>2024</v>
      </c>
      <c r="I93" s="38">
        <v>2025</v>
      </c>
      <c r="J93" s="7"/>
    </row>
    <row r="94" spans="1:10" x14ac:dyDescent="0.2">
      <c r="A94" s="717" t="s">
        <v>206</v>
      </c>
      <c r="B94" s="718"/>
      <c r="C94" s="718"/>
      <c r="D94" s="718"/>
      <c r="E94" s="718"/>
      <c r="F94" s="718"/>
      <c r="G94" s="59"/>
      <c r="H94" s="59"/>
      <c r="I94" s="57"/>
    </row>
    <row r="95" spans="1:10" x14ac:dyDescent="0.2">
      <c r="A95" s="746" t="s">
        <v>374</v>
      </c>
      <c r="B95" s="747"/>
      <c r="C95" s="747"/>
      <c r="D95" s="747"/>
      <c r="E95" s="747"/>
      <c r="F95" s="747"/>
      <c r="G95" s="30"/>
      <c r="H95" s="30"/>
      <c r="I95" s="31"/>
    </row>
    <row r="96" spans="1:10" x14ac:dyDescent="0.2">
      <c r="A96" s="132" t="s">
        <v>250</v>
      </c>
      <c r="B96" s="576"/>
      <c r="C96" s="576"/>
      <c r="D96" s="133"/>
      <c r="E96" s="133"/>
      <c r="F96" s="133"/>
      <c r="I96" s="21"/>
    </row>
    <row r="97" spans="1:10" x14ac:dyDescent="0.2">
      <c r="A97" s="132" t="s">
        <v>577</v>
      </c>
      <c r="B97" s="576"/>
      <c r="C97" s="576"/>
      <c r="D97" s="133"/>
      <c r="E97" s="133"/>
      <c r="F97" s="133"/>
      <c r="I97" s="21"/>
    </row>
    <row r="98" spans="1:10" x14ac:dyDescent="0.2">
      <c r="A98" s="132" t="s">
        <v>417</v>
      </c>
      <c r="B98" s="576"/>
      <c r="C98" s="576"/>
      <c r="D98" s="133"/>
      <c r="E98" s="133"/>
      <c r="F98" s="133"/>
      <c r="I98" s="21"/>
    </row>
    <row r="99" spans="1:10" x14ac:dyDescent="0.2">
      <c r="A99" s="290" t="s">
        <v>582</v>
      </c>
      <c r="B99" s="576"/>
      <c r="C99" s="576"/>
      <c r="D99" s="133"/>
      <c r="E99" s="133"/>
      <c r="F99" s="133"/>
      <c r="I99" s="21"/>
    </row>
    <row r="100" spans="1:10" x14ac:dyDescent="0.2">
      <c r="A100" s="289" t="s">
        <v>695</v>
      </c>
      <c r="B100" s="576"/>
      <c r="C100" s="576"/>
      <c r="D100" s="133"/>
      <c r="E100" s="133"/>
      <c r="F100" s="133"/>
      <c r="I100" s="21"/>
    </row>
    <row r="101" spans="1:10" x14ac:dyDescent="0.2">
      <c r="A101" s="290" t="s">
        <v>694</v>
      </c>
      <c r="B101" s="577"/>
      <c r="C101" s="577"/>
      <c r="D101" s="577"/>
      <c r="E101" s="577"/>
      <c r="F101" s="577"/>
      <c r="I101" s="21"/>
    </row>
    <row r="102" spans="1:10" x14ac:dyDescent="0.2">
      <c r="A102" s="134" t="s">
        <v>814</v>
      </c>
      <c r="B102" s="15"/>
      <c r="C102" s="15"/>
      <c r="D102" s="15"/>
      <c r="E102" s="15"/>
      <c r="F102" s="15"/>
      <c r="G102" s="33"/>
      <c r="H102" s="33"/>
      <c r="I102" s="34"/>
    </row>
    <row r="104" spans="1:10" x14ac:dyDescent="0.2">
      <c r="A104" s="129" t="s">
        <v>14</v>
      </c>
      <c r="B104" s="13" t="s">
        <v>657</v>
      </c>
      <c r="C104" s="130" t="s">
        <v>15</v>
      </c>
      <c r="D104" s="7"/>
      <c r="E104" s="7"/>
      <c r="F104" s="7"/>
    </row>
    <row r="105" spans="1:10" x14ac:dyDescent="0.2">
      <c r="A105" s="135" t="s">
        <v>16</v>
      </c>
      <c r="B105" s="9"/>
      <c r="C105" s="130">
        <v>2017</v>
      </c>
      <c r="D105" s="130">
        <v>2018</v>
      </c>
      <c r="E105" s="130">
        <v>2019</v>
      </c>
      <c r="F105" s="130">
        <v>2020</v>
      </c>
      <c r="G105" s="130">
        <v>2021</v>
      </c>
      <c r="H105" s="130">
        <v>2022</v>
      </c>
      <c r="I105" s="130">
        <v>2023</v>
      </c>
      <c r="J105" s="130">
        <v>2024</v>
      </c>
    </row>
    <row r="106" spans="1:10" x14ac:dyDescent="0.2">
      <c r="A106" s="135" t="s">
        <v>17</v>
      </c>
      <c r="B106" s="9"/>
      <c r="C106" s="29">
        <v>250</v>
      </c>
      <c r="D106" s="29">
        <v>250</v>
      </c>
      <c r="E106" s="29">
        <v>250</v>
      </c>
      <c r="F106" s="29">
        <v>250</v>
      </c>
      <c r="G106" s="29">
        <v>250</v>
      </c>
      <c r="H106" s="29">
        <v>250</v>
      </c>
      <c r="I106" s="382">
        <v>300</v>
      </c>
      <c r="J106" s="382">
        <v>300</v>
      </c>
    </row>
    <row r="107" spans="1:10" x14ac:dyDescent="0.2">
      <c r="A107" s="135" t="s">
        <v>18</v>
      </c>
      <c r="B107" s="9"/>
      <c r="C107" s="29">
        <v>312.5</v>
      </c>
      <c r="D107" s="29">
        <v>312.5</v>
      </c>
      <c r="E107" s="29">
        <v>312.5</v>
      </c>
      <c r="F107" s="29">
        <f>F106+D110</f>
        <v>251.98000000000002</v>
      </c>
      <c r="G107" s="29">
        <f>G106+0.25*E106</f>
        <v>312.5</v>
      </c>
      <c r="H107" s="29">
        <f>H106+0.25*F106</f>
        <v>312.5</v>
      </c>
      <c r="I107" s="382">
        <f>I106+0.25*G106</f>
        <v>362.5</v>
      </c>
      <c r="J107" s="382">
        <f>J106+0.25*H106</f>
        <v>362.5</v>
      </c>
    </row>
    <row r="108" spans="1:10" ht="15" customHeight="1" x14ac:dyDescent="0.2">
      <c r="A108" s="135" t="s">
        <v>19</v>
      </c>
      <c r="B108" s="9"/>
      <c r="C108" s="742" t="s">
        <v>696</v>
      </c>
      <c r="D108" s="743"/>
      <c r="E108" s="743"/>
      <c r="F108" s="743"/>
      <c r="G108" s="743"/>
      <c r="H108" s="743"/>
      <c r="I108" s="743"/>
      <c r="J108" s="744"/>
    </row>
    <row r="109" spans="1:10" x14ac:dyDescent="0.2">
      <c r="A109" s="135" t="s">
        <v>20</v>
      </c>
      <c r="B109" s="9"/>
      <c r="C109" s="29">
        <v>219.03</v>
      </c>
      <c r="D109" s="29">
        <v>310.52</v>
      </c>
      <c r="E109" s="29">
        <v>158.13999999999999</v>
      </c>
      <c r="F109" s="29">
        <v>162.13</v>
      </c>
      <c r="G109" s="29">
        <v>30.84</v>
      </c>
      <c r="H109" s="29">
        <v>12.74</v>
      </c>
      <c r="I109" s="29"/>
      <c r="J109" s="29"/>
    </row>
    <row r="110" spans="1:10" x14ac:dyDescent="0.2">
      <c r="A110" s="135" t="s">
        <v>21</v>
      </c>
      <c r="B110" s="9"/>
      <c r="C110" s="29">
        <f>C107-C109</f>
        <v>93.47</v>
      </c>
      <c r="D110" s="29">
        <f t="shared" ref="D110:G110" si="2">D107-D109</f>
        <v>1.9800000000000182</v>
      </c>
      <c r="E110" s="29">
        <f t="shared" si="2"/>
        <v>154.36000000000001</v>
      </c>
      <c r="F110" s="29">
        <f t="shared" si="2"/>
        <v>89.850000000000023</v>
      </c>
      <c r="G110" s="29">
        <f t="shared" si="2"/>
        <v>281.66000000000003</v>
      </c>
      <c r="H110" s="29">
        <f>H107-H109</f>
        <v>299.76</v>
      </c>
      <c r="I110" s="29"/>
      <c r="J110" s="29"/>
    </row>
    <row r="111" spans="1:10" x14ac:dyDescent="0.2">
      <c r="A111" s="136" t="s">
        <v>22</v>
      </c>
      <c r="B111" s="38"/>
      <c r="C111" s="38">
        <v>2019</v>
      </c>
      <c r="D111" s="38">
        <v>2020</v>
      </c>
      <c r="E111" s="38">
        <v>2021</v>
      </c>
      <c r="F111" s="38">
        <v>2022</v>
      </c>
      <c r="G111" s="38">
        <v>2023</v>
      </c>
      <c r="H111" s="38">
        <v>2024</v>
      </c>
      <c r="I111" s="38">
        <v>2025</v>
      </c>
      <c r="J111" s="38">
        <v>2026</v>
      </c>
    </row>
    <row r="112" spans="1:10" x14ac:dyDescent="0.2">
      <c r="A112" s="37" t="s">
        <v>207</v>
      </c>
      <c r="B112" s="45"/>
      <c r="C112" s="45"/>
      <c r="D112" s="45"/>
      <c r="E112" s="45"/>
      <c r="F112" s="45"/>
      <c r="G112" s="30"/>
      <c r="H112" s="30"/>
      <c r="I112" s="30"/>
      <c r="J112" s="31"/>
    </row>
    <row r="113" spans="1:10" x14ac:dyDescent="0.2">
      <c r="A113" s="17" t="s">
        <v>252</v>
      </c>
      <c r="B113" s="7"/>
      <c r="C113" s="7"/>
      <c r="D113" s="7"/>
      <c r="E113" s="7"/>
      <c r="F113" s="7"/>
      <c r="J113" s="21"/>
    </row>
    <row r="114" spans="1:10" x14ac:dyDescent="0.2">
      <c r="A114" s="17" t="s">
        <v>418</v>
      </c>
      <c r="B114" s="7"/>
      <c r="C114" s="7"/>
      <c r="D114" s="7"/>
      <c r="E114" s="7"/>
      <c r="F114" s="7"/>
      <c r="J114" s="21"/>
    </row>
    <row r="115" spans="1:10" x14ac:dyDescent="0.2">
      <c r="A115" s="20" t="s">
        <v>583</v>
      </c>
      <c r="B115" s="7"/>
      <c r="C115" s="7"/>
      <c r="D115" s="7"/>
      <c r="E115" s="7"/>
      <c r="F115" s="7"/>
      <c r="J115" s="21"/>
    </row>
    <row r="116" spans="1:10" x14ac:dyDescent="0.2">
      <c r="A116" s="20" t="s">
        <v>815</v>
      </c>
      <c r="B116" s="7"/>
      <c r="C116" s="7"/>
      <c r="D116" s="7"/>
      <c r="E116" s="7"/>
      <c r="F116" s="7"/>
      <c r="J116" s="21"/>
    </row>
    <row r="117" spans="1:10" ht="12.75" customHeight="1" x14ac:dyDescent="0.2">
      <c r="A117" s="32" t="s">
        <v>816</v>
      </c>
      <c r="B117" s="15"/>
      <c r="C117" s="15"/>
      <c r="D117" s="15"/>
      <c r="E117" s="15"/>
      <c r="F117" s="15"/>
      <c r="G117" s="33"/>
      <c r="H117" s="33"/>
      <c r="I117" s="33"/>
      <c r="J117" s="34"/>
    </row>
    <row r="119" spans="1:10" x14ac:dyDescent="0.2">
      <c r="A119" s="129" t="s">
        <v>14</v>
      </c>
      <c r="B119" s="13" t="s">
        <v>637</v>
      </c>
      <c r="C119" s="130" t="s">
        <v>15</v>
      </c>
      <c r="D119" s="7"/>
      <c r="E119" s="7"/>
      <c r="F119" s="7"/>
    </row>
    <row r="120" spans="1:10" x14ac:dyDescent="0.2">
      <c r="A120" s="135" t="s">
        <v>16</v>
      </c>
      <c r="B120" s="9"/>
      <c r="C120" s="130">
        <v>2017</v>
      </c>
      <c r="D120" s="130">
        <v>2018</v>
      </c>
      <c r="E120" s="130">
        <v>2019</v>
      </c>
      <c r="F120" s="130">
        <v>2020</v>
      </c>
      <c r="G120" s="130">
        <v>2021</v>
      </c>
      <c r="H120" s="130">
        <v>2022</v>
      </c>
      <c r="I120" s="130">
        <v>2023</v>
      </c>
      <c r="J120" s="130">
        <v>2024</v>
      </c>
    </row>
    <row r="121" spans="1:10" x14ac:dyDescent="0.2">
      <c r="A121" s="135" t="s">
        <v>17</v>
      </c>
      <c r="B121" s="9"/>
      <c r="C121" s="29">
        <v>130</v>
      </c>
      <c r="D121" s="29">
        <v>130</v>
      </c>
      <c r="E121" s="29">
        <v>130</v>
      </c>
      <c r="F121" s="29">
        <v>130</v>
      </c>
      <c r="G121" s="29">
        <v>130</v>
      </c>
      <c r="H121" s="29">
        <v>130</v>
      </c>
      <c r="I121" s="29">
        <v>130</v>
      </c>
      <c r="J121" s="29">
        <v>130</v>
      </c>
    </row>
    <row r="122" spans="1:10" x14ac:dyDescent="0.2">
      <c r="A122" s="135" t="s">
        <v>18</v>
      </c>
      <c r="B122" s="9"/>
      <c r="C122" s="29">
        <v>257</v>
      </c>
      <c r="D122" s="29">
        <v>257</v>
      </c>
      <c r="E122" s="29">
        <f>E121*1.4+75</f>
        <v>257</v>
      </c>
      <c r="F122" s="29">
        <f>F121*1.4+75</f>
        <v>257</v>
      </c>
      <c r="G122" s="29">
        <f>G121+0.4*E121+75</f>
        <v>257</v>
      </c>
      <c r="H122" s="29">
        <f>H121+0.4*F121+75</f>
        <v>257</v>
      </c>
      <c r="I122" s="29">
        <f>I121+0.4*G121+75</f>
        <v>257</v>
      </c>
      <c r="J122" s="29">
        <f>J121+0.4*H121+75</f>
        <v>257</v>
      </c>
    </row>
    <row r="123" spans="1:10" ht="14.45" customHeight="1" x14ac:dyDescent="0.2">
      <c r="A123" s="135" t="s">
        <v>19</v>
      </c>
      <c r="B123" s="9"/>
      <c r="C123" s="742" t="s">
        <v>167</v>
      </c>
      <c r="D123" s="743"/>
      <c r="E123" s="743"/>
      <c r="F123" s="743"/>
      <c r="G123" s="743"/>
      <c r="H123" s="743"/>
      <c r="I123" s="743"/>
      <c r="J123" s="744"/>
    </row>
    <row r="124" spans="1:10" x14ac:dyDescent="0.2">
      <c r="A124" s="135" t="s">
        <v>20</v>
      </c>
      <c r="B124" s="9"/>
      <c r="C124" s="29">
        <v>59.08</v>
      </c>
      <c r="D124" s="29">
        <v>145.32</v>
      </c>
      <c r="E124" s="29">
        <v>116.8</v>
      </c>
      <c r="F124" s="29">
        <v>110.73</v>
      </c>
      <c r="G124" s="29">
        <v>94</v>
      </c>
      <c r="H124" s="29">
        <v>69.739999999999995</v>
      </c>
      <c r="I124" s="29"/>
      <c r="J124" s="29"/>
    </row>
    <row r="125" spans="1:10" x14ac:dyDescent="0.2">
      <c r="A125" s="135" t="s">
        <v>21</v>
      </c>
      <c r="B125" s="9"/>
      <c r="C125" s="29">
        <f>C122-C124</f>
        <v>197.92000000000002</v>
      </c>
      <c r="D125" s="29">
        <f t="shared" ref="D125:G125" si="3">D122-D124</f>
        <v>111.68</v>
      </c>
      <c r="E125" s="29">
        <f t="shared" si="3"/>
        <v>140.19999999999999</v>
      </c>
      <c r="F125" s="29">
        <f t="shared" si="3"/>
        <v>146.26999999999998</v>
      </c>
      <c r="G125" s="29">
        <f t="shared" si="3"/>
        <v>163</v>
      </c>
      <c r="H125" s="29">
        <f>H122-H124</f>
        <v>187.26</v>
      </c>
      <c r="I125" s="29"/>
      <c r="J125" s="29"/>
    </row>
    <row r="126" spans="1:10" x14ac:dyDescent="0.2">
      <c r="A126" s="136" t="s">
        <v>22</v>
      </c>
      <c r="B126" s="38"/>
      <c r="C126" s="38">
        <v>2019</v>
      </c>
      <c r="D126" s="38">
        <v>2020</v>
      </c>
      <c r="E126" s="38">
        <v>2021</v>
      </c>
      <c r="F126" s="38">
        <v>2022</v>
      </c>
      <c r="G126" s="38">
        <v>2023</v>
      </c>
      <c r="H126" s="38">
        <v>2024</v>
      </c>
      <c r="I126" s="38">
        <v>2025</v>
      </c>
      <c r="J126" s="38">
        <v>2026</v>
      </c>
    </row>
    <row r="127" spans="1:10" x14ac:dyDescent="0.2">
      <c r="A127" s="37" t="s">
        <v>253</v>
      </c>
      <c r="B127" s="45"/>
      <c r="C127" s="45"/>
      <c r="D127" s="45"/>
      <c r="E127" s="45"/>
      <c r="F127" s="45"/>
      <c r="G127" s="45"/>
      <c r="H127" s="30"/>
      <c r="I127" s="30"/>
      <c r="J127" s="31"/>
    </row>
    <row r="128" spans="1:10" x14ac:dyDescent="0.2">
      <c r="A128" s="17" t="s">
        <v>208</v>
      </c>
      <c r="B128" s="7"/>
      <c r="C128" s="7"/>
      <c r="D128" s="7"/>
      <c r="E128" s="7"/>
      <c r="F128" s="7"/>
      <c r="G128" s="7"/>
      <c r="J128" s="21"/>
    </row>
    <row r="129" spans="1:10" x14ac:dyDescent="0.2">
      <c r="A129" s="17" t="s">
        <v>254</v>
      </c>
      <c r="B129" s="7"/>
      <c r="C129" s="7"/>
      <c r="D129" s="7"/>
      <c r="E129" s="7"/>
      <c r="F129" s="7"/>
      <c r="G129" s="7"/>
      <c r="J129" s="21"/>
    </row>
    <row r="130" spans="1:10" x14ac:dyDescent="0.2">
      <c r="A130" s="17" t="s">
        <v>419</v>
      </c>
      <c r="B130" s="7"/>
      <c r="C130" s="7"/>
      <c r="D130" s="7"/>
      <c r="E130" s="7"/>
      <c r="F130" s="7"/>
      <c r="G130" s="7"/>
      <c r="J130" s="21"/>
    </row>
    <row r="131" spans="1:10" x14ac:dyDescent="0.2">
      <c r="A131" s="17" t="s">
        <v>584</v>
      </c>
      <c r="B131" s="7"/>
      <c r="C131" s="7"/>
      <c r="D131" s="7"/>
      <c r="E131" s="7"/>
      <c r="F131" s="7"/>
      <c r="G131" s="7"/>
      <c r="J131" s="21"/>
    </row>
    <row r="132" spans="1:10" x14ac:dyDescent="0.2">
      <c r="A132" s="17" t="s">
        <v>817</v>
      </c>
      <c r="B132" s="7"/>
      <c r="C132" s="7"/>
      <c r="D132" s="7"/>
      <c r="E132" s="7"/>
      <c r="F132" s="7"/>
      <c r="G132" s="7"/>
      <c r="J132" s="21"/>
    </row>
    <row r="133" spans="1:10" x14ac:dyDescent="0.2">
      <c r="A133" s="14" t="s">
        <v>818</v>
      </c>
      <c r="B133" s="15"/>
      <c r="C133" s="15"/>
      <c r="D133" s="15"/>
      <c r="E133" s="15"/>
      <c r="F133" s="15"/>
      <c r="G133" s="15"/>
      <c r="H133" s="33"/>
      <c r="I133" s="33"/>
      <c r="J133" s="34"/>
    </row>
    <row r="135" spans="1:10" x14ac:dyDescent="0.2">
      <c r="A135" s="129" t="s">
        <v>14</v>
      </c>
      <c r="B135" s="13" t="s">
        <v>660</v>
      </c>
      <c r="C135" s="130" t="s">
        <v>15</v>
      </c>
      <c r="D135" s="7"/>
      <c r="E135" s="7"/>
      <c r="F135" s="7"/>
    </row>
    <row r="136" spans="1:10" x14ac:dyDescent="0.2">
      <c r="A136" s="9" t="s">
        <v>16</v>
      </c>
      <c r="B136" s="9"/>
      <c r="C136" s="130">
        <v>2017</v>
      </c>
      <c r="D136" s="130">
        <v>2018</v>
      </c>
      <c r="E136" s="130">
        <v>2019</v>
      </c>
      <c r="F136" s="130">
        <v>2020</v>
      </c>
      <c r="G136" s="130">
        <v>2021</v>
      </c>
      <c r="H136" s="130">
        <v>2022</v>
      </c>
      <c r="I136" s="130">
        <v>2023</v>
      </c>
      <c r="J136" s="130">
        <v>2024</v>
      </c>
    </row>
    <row r="137" spans="1:10" x14ac:dyDescent="0.2">
      <c r="A137" s="9" t="s">
        <v>17</v>
      </c>
      <c r="B137" s="9"/>
      <c r="C137" s="29">
        <v>125</v>
      </c>
      <c r="D137" s="29">
        <v>125</v>
      </c>
      <c r="E137" s="29">
        <v>125</v>
      </c>
      <c r="F137" s="29">
        <v>125</v>
      </c>
      <c r="G137" s="29">
        <v>125</v>
      </c>
      <c r="H137" s="29">
        <v>125</v>
      </c>
      <c r="I137" s="29">
        <v>125</v>
      </c>
      <c r="J137" s="29">
        <v>125</v>
      </c>
    </row>
    <row r="138" spans="1:10" x14ac:dyDescent="0.2">
      <c r="A138" s="9" t="s">
        <v>18</v>
      </c>
      <c r="B138" s="9"/>
      <c r="C138" s="29">
        <v>275</v>
      </c>
      <c r="D138" s="29">
        <v>287.5</v>
      </c>
      <c r="E138" s="29">
        <f>E137*1.2+25+50+50</f>
        <v>275</v>
      </c>
      <c r="F138" s="29">
        <f>F137*1.2+25+50+50</f>
        <v>275</v>
      </c>
      <c r="G138" s="29">
        <f>G137+0.2*E137+25+50+50</f>
        <v>275</v>
      </c>
      <c r="H138" s="29">
        <f>H137+0.2*F137+24.94+50+50</f>
        <v>274.94</v>
      </c>
      <c r="I138" s="29">
        <f t="shared" ref="I138:J138" si="4">I137+0.2*G137+25+50+50</f>
        <v>275</v>
      </c>
      <c r="J138" s="29">
        <f t="shared" si="4"/>
        <v>275</v>
      </c>
    </row>
    <row r="139" spans="1:10" ht="14.45" customHeight="1" x14ac:dyDescent="0.2">
      <c r="A139" s="9" t="s">
        <v>19</v>
      </c>
      <c r="B139" s="9"/>
      <c r="C139" s="742" t="s">
        <v>167</v>
      </c>
      <c r="D139" s="743"/>
      <c r="E139" s="743"/>
      <c r="F139" s="743"/>
      <c r="G139" s="743"/>
      <c r="H139" s="743"/>
      <c r="I139" s="743"/>
      <c r="J139" s="744"/>
    </row>
    <row r="140" spans="1:10" x14ac:dyDescent="0.2">
      <c r="A140" s="9" t="s">
        <v>20</v>
      </c>
      <c r="B140" s="9"/>
      <c r="C140" s="29">
        <v>166.01</v>
      </c>
      <c r="D140" s="29">
        <v>115.22</v>
      </c>
      <c r="E140" s="29">
        <v>55.33</v>
      </c>
      <c r="F140" s="29">
        <v>2.12</v>
      </c>
      <c r="G140" s="29">
        <v>29.08</v>
      </c>
      <c r="H140" s="29">
        <v>0</v>
      </c>
      <c r="I140" s="29"/>
      <c r="J140" s="29"/>
    </row>
    <row r="141" spans="1:10" x14ac:dyDescent="0.2">
      <c r="A141" s="9" t="s">
        <v>21</v>
      </c>
      <c r="B141" s="9"/>
      <c r="C141" s="29">
        <f>C138-C140</f>
        <v>108.99000000000001</v>
      </c>
      <c r="D141" s="29">
        <f t="shared" ref="D141:G141" si="5">D138-D140</f>
        <v>172.28</v>
      </c>
      <c r="E141" s="29">
        <f t="shared" si="5"/>
        <v>219.67000000000002</v>
      </c>
      <c r="F141" s="29">
        <f t="shared" si="5"/>
        <v>272.88</v>
      </c>
      <c r="G141" s="29">
        <f t="shared" si="5"/>
        <v>245.92000000000002</v>
      </c>
      <c r="H141" s="29">
        <f>H138-H140</f>
        <v>274.94</v>
      </c>
      <c r="I141" s="29"/>
      <c r="J141" s="29"/>
    </row>
    <row r="142" spans="1:10" x14ac:dyDescent="0.2">
      <c r="A142" s="38" t="s">
        <v>22</v>
      </c>
      <c r="B142" s="38"/>
      <c r="C142" s="38">
        <v>2019</v>
      </c>
      <c r="D142" s="38">
        <v>2020</v>
      </c>
      <c r="E142" s="38">
        <v>2021</v>
      </c>
      <c r="F142" s="38">
        <v>2022</v>
      </c>
      <c r="G142" s="38">
        <v>2023</v>
      </c>
      <c r="H142" s="38">
        <v>2024</v>
      </c>
      <c r="I142" s="38">
        <v>2025</v>
      </c>
      <c r="J142" s="38">
        <v>2026</v>
      </c>
    </row>
    <row r="143" spans="1:10" x14ac:dyDescent="0.2">
      <c r="A143" s="37" t="s">
        <v>256</v>
      </c>
      <c r="B143" s="45"/>
      <c r="C143" s="45"/>
      <c r="D143" s="45"/>
      <c r="E143" s="45"/>
      <c r="F143" s="45"/>
      <c r="G143" s="30"/>
      <c r="H143" s="30"/>
      <c r="I143" s="30"/>
      <c r="J143" s="31"/>
    </row>
    <row r="144" spans="1:10" x14ac:dyDescent="0.2">
      <c r="A144" s="17" t="s">
        <v>257</v>
      </c>
      <c r="B144" s="7"/>
      <c r="C144" s="7"/>
      <c r="D144" s="7"/>
      <c r="E144" s="7"/>
      <c r="F144" s="7"/>
      <c r="J144" s="21"/>
    </row>
    <row r="145" spans="1:11" x14ac:dyDescent="0.2">
      <c r="A145" s="17" t="s">
        <v>258</v>
      </c>
      <c r="B145" s="7"/>
      <c r="C145" s="7"/>
      <c r="D145" s="7"/>
      <c r="E145" s="7"/>
      <c r="F145" s="7"/>
      <c r="J145" s="21"/>
    </row>
    <row r="146" spans="1:11" x14ac:dyDescent="0.2">
      <c r="A146" s="17" t="s">
        <v>209</v>
      </c>
      <c r="B146" s="7"/>
      <c r="C146" s="7"/>
      <c r="D146" s="7"/>
      <c r="E146" s="7"/>
      <c r="F146" s="7"/>
      <c r="J146" s="21"/>
    </row>
    <row r="147" spans="1:11" x14ac:dyDescent="0.2">
      <c r="A147" s="17" t="s">
        <v>255</v>
      </c>
      <c r="B147" s="7"/>
      <c r="C147" s="7"/>
      <c r="D147" s="7"/>
      <c r="E147" s="7"/>
      <c r="F147" s="7"/>
      <c r="J147" s="21"/>
    </row>
    <row r="148" spans="1:11" x14ac:dyDescent="0.2">
      <c r="A148" s="17" t="s">
        <v>420</v>
      </c>
      <c r="B148" s="7"/>
      <c r="C148" s="7"/>
      <c r="D148" s="7"/>
      <c r="E148" s="7"/>
      <c r="F148" s="7"/>
      <c r="J148" s="21"/>
    </row>
    <row r="149" spans="1:11" x14ac:dyDescent="0.2">
      <c r="A149" s="20" t="s">
        <v>585</v>
      </c>
      <c r="B149" s="7"/>
      <c r="C149" s="7"/>
      <c r="D149" s="7"/>
      <c r="E149" s="7"/>
      <c r="F149" s="7"/>
      <c r="J149" s="21"/>
    </row>
    <row r="150" spans="1:11" x14ac:dyDescent="0.2">
      <c r="A150" s="20" t="s">
        <v>819</v>
      </c>
      <c r="B150" s="7"/>
      <c r="C150" s="7"/>
      <c r="D150" s="7"/>
      <c r="E150" s="7"/>
      <c r="F150" s="7"/>
      <c r="J150" s="21"/>
    </row>
    <row r="151" spans="1:11" x14ac:dyDescent="0.2">
      <c r="A151" s="32" t="s">
        <v>820</v>
      </c>
      <c r="B151" s="33"/>
      <c r="C151" s="33"/>
      <c r="D151" s="33"/>
      <c r="E151" s="33"/>
      <c r="F151" s="33"/>
      <c r="G151" s="33"/>
      <c r="H151" s="33"/>
      <c r="I151" s="33"/>
      <c r="J151" s="34"/>
    </row>
    <row r="154" spans="1:11" x14ac:dyDescent="0.2">
      <c r="A154" s="137" t="s">
        <v>12</v>
      </c>
      <c r="B154" s="681" t="s">
        <v>165</v>
      </c>
      <c r="C154" s="7"/>
      <c r="D154" s="7"/>
      <c r="E154" s="7"/>
      <c r="F154" s="7"/>
      <c r="G154" s="7"/>
    </row>
    <row r="155" spans="1:11" x14ac:dyDescent="0.2">
      <c r="A155" s="16" t="s">
        <v>14</v>
      </c>
      <c r="B155" s="13" t="s">
        <v>638</v>
      </c>
      <c r="C155" s="130" t="s">
        <v>15</v>
      </c>
      <c r="D155" s="7"/>
      <c r="E155" s="7"/>
      <c r="F155" s="7"/>
      <c r="G155" s="7"/>
    </row>
    <row r="156" spans="1:11" x14ac:dyDescent="0.2">
      <c r="A156" s="8" t="s">
        <v>16</v>
      </c>
      <c r="B156" s="130">
        <v>2014</v>
      </c>
      <c r="C156" s="130">
        <v>2015</v>
      </c>
      <c r="D156" s="284">
        <v>2016</v>
      </c>
      <c r="E156" s="130">
        <v>2017</v>
      </c>
      <c r="F156" s="13">
        <v>2018</v>
      </c>
      <c r="G156" s="13">
        <v>2019</v>
      </c>
      <c r="H156" s="13">
        <v>2020</v>
      </c>
      <c r="I156" s="13">
        <v>2021</v>
      </c>
      <c r="J156" s="13">
        <v>2022</v>
      </c>
      <c r="K156" s="13">
        <v>2023</v>
      </c>
    </row>
    <row r="157" spans="1:11" x14ac:dyDescent="0.2">
      <c r="A157" s="8" t="s">
        <v>17</v>
      </c>
      <c r="B157" s="138">
        <v>200</v>
      </c>
      <c r="C157" s="138">
        <v>200</v>
      </c>
      <c r="D157" s="138">
        <v>200</v>
      </c>
      <c r="E157" s="138">
        <v>200</v>
      </c>
      <c r="F157" s="139">
        <v>200</v>
      </c>
      <c r="G157" s="139">
        <v>215</v>
      </c>
      <c r="H157" s="139">
        <v>215</v>
      </c>
      <c r="I157" s="139">
        <v>242</v>
      </c>
      <c r="J157" s="139">
        <v>242</v>
      </c>
      <c r="K157" s="139">
        <v>242</v>
      </c>
    </row>
    <row r="158" spans="1:11" x14ac:dyDescent="0.2">
      <c r="A158" s="8" t="s">
        <v>18</v>
      </c>
      <c r="B158" s="138">
        <v>250</v>
      </c>
      <c r="C158" s="138">
        <v>250</v>
      </c>
      <c r="D158" s="138">
        <v>250</v>
      </c>
      <c r="E158" s="138">
        <v>250</v>
      </c>
      <c r="F158" s="139">
        <v>250</v>
      </c>
      <c r="G158" s="139">
        <f>E157*0.25+G157</f>
        <v>265</v>
      </c>
      <c r="H158" s="139">
        <f>H157+0.25*G157</f>
        <v>268.75</v>
      </c>
      <c r="I158" s="139">
        <f>I157+0.25*H157</f>
        <v>295.75</v>
      </c>
      <c r="J158" s="139">
        <f>J157+0.25*I157</f>
        <v>302.5</v>
      </c>
      <c r="K158" s="139">
        <f>K157+0.25*J157</f>
        <v>302.5</v>
      </c>
    </row>
    <row r="159" spans="1:11" x14ac:dyDescent="0.2">
      <c r="A159" s="8" t="s">
        <v>19</v>
      </c>
      <c r="B159" s="140" t="s">
        <v>317</v>
      </c>
      <c r="C159" s="140" t="s">
        <v>317</v>
      </c>
      <c r="D159" s="140" t="s">
        <v>317</v>
      </c>
      <c r="E159" s="140" t="s">
        <v>317</v>
      </c>
      <c r="F159" s="140" t="s">
        <v>317</v>
      </c>
      <c r="G159" s="140" t="s">
        <v>375</v>
      </c>
      <c r="H159" s="140" t="s">
        <v>431</v>
      </c>
      <c r="I159" s="140" t="s">
        <v>671</v>
      </c>
      <c r="J159" s="140" t="s">
        <v>672</v>
      </c>
      <c r="K159" s="140" t="s">
        <v>672</v>
      </c>
    </row>
    <row r="160" spans="1:11" x14ac:dyDescent="0.2">
      <c r="A160" s="8" t="s">
        <v>20</v>
      </c>
      <c r="B160" s="138">
        <v>0</v>
      </c>
      <c r="C160" s="138">
        <v>0</v>
      </c>
      <c r="D160" s="138">
        <v>0</v>
      </c>
      <c r="E160" s="138">
        <v>0</v>
      </c>
      <c r="F160" s="139">
        <v>0</v>
      </c>
      <c r="G160" s="139">
        <v>0</v>
      </c>
      <c r="H160" s="139">
        <v>0</v>
      </c>
      <c r="I160" s="139">
        <v>0</v>
      </c>
      <c r="J160" s="139">
        <v>0</v>
      </c>
      <c r="K160" s="139"/>
    </row>
    <row r="161" spans="1:11" x14ac:dyDescent="0.2">
      <c r="A161" s="8" t="s">
        <v>21</v>
      </c>
      <c r="B161" s="138">
        <v>250</v>
      </c>
      <c r="C161" s="138">
        <v>250</v>
      </c>
      <c r="D161" s="138">
        <v>250</v>
      </c>
      <c r="E161" s="138">
        <v>250</v>
      </c>
      <c r="F161" s="139">
        <v>250</v>
      </c>
      <c r="G161" s="139">
        <f>G158</f>
        <v>265</v>
      </c>
      <c r="H161" s="139">
        <f>H158</f>
        <v>268.75</v>
      </c>
      <c r="I161" s="139">
        <f>I158</f>
        <v>295.75</v>
      </c>
      <c r="J161" s="139">
        <f>J158-J160</f>
        <v>302.5</v>
      </c>
      <c r="K161" s="139"/>
    </row>
    <row r="162" spans="1:11" x14ac:dyDescent="0.2">
      <c r="A162" s="37" t="s">
        <v>22</v>
      </c>
      <c r="B162" s="144">
        <v>2015</v>
      </c>
      <c r="C162" s="144">
        <v>2016</v>
      </c>
      <c r="D162" s="144">
        <v>2017</v>
      </c>
      <c r="E162" s="144">
        <v>2018</v>
      </c>
      <c r="F162" s="144">
        <v>2019</v>
      </c>
      <c r="G162" s="144">
        <v>2020</v>
      </c>
      <c r="H162" s="144">
        <v>2021</v>
      </c>
      <c r="I162" s="144">
        <v>2022</v>
      </c>
      <c r="J162" s="144">
        <v>2023</v>
      </c>
      <c r="K162" s="144">
        <v>2024</v>
      </c>
    </row>
    <row r="163" spans="1:11" x14ac:dyDescent="0.2">
      <c r="A163" s="8" t="s">
        <v>852</v>
      </c>
      <c r="B163" s="81"/>
      <c r="C163" s="81"/>
      <c r="D163" s="81"/>
      <c r="E163" s="81"/>
      <c r="F163" s="81"/>
      <c r="G163" s="81"/>
      <c r="H163" s="81"/>
      <c r="I163" s="81"/>
      <c r="J163" s="57"/>
      <c r="K163" s="57"/>
    </row>
    <row r="165" spans="1:11" x14ac:dyDescent="0.2">
      <c r="A165" s="16" t="s">
        <v>14</v>
      </c>
      <c r="B165" s="13" t="s">
        <v>657</v>
      </c>
      <c r="C165" s="130" t="s">
        <v>15</v>
      </c>
      <c r="D165" s="7"/>
      <c r="E165" s="7"/>
      <c r="F165" s="7"/>
      <c r="G165" s="7"/>
    </row>
    <row r="166" spans="1:11" x14ac:dyDescent="0.2">
      <c r="A166" s="8" t="s">
        <v>16</v>
      </c>
      <c r="B166" s="130">
        <v>2014</v>
      </c>
      <c r="C166" s="130">
        <v>2015</v>
      </c>
      <c r="D166" s="284">
        <v>2016</v>
      </c>
      <c r="E166" s="130">
        <v>2017</v>
      </c>
      <c r="F166" s="13">
        <v>2018</v>
      </c>
      <c r="G166" s="13">
        <v>2019</v>
      </c>
      <c r="H166" s="13">
        <v>2020</v>
      </c>
      <c r="I166" s="13">
        <v>2021</v>
      </c>
      <c r="J166" s="13">
        <v>2022</v>
      </c>
      <c r="K166" s="13">
        <v>2023</v>
      </c>
    </row>
    <row r="167" spans="1:11" x14ac:dyDescent="0.2">
      <c r="A167" s="8" t="s">
        <v>17</v>
      </c>
      <c r="B167" s="141">
        <v>2160</v>
      </c>
      <c r="C167" s="141">
        <v>2160</v>
      </c>
      <c r="D167" s="141">
        <v>2160</v>
      </c>
      <c r="E167" s="141">
        <v>2160</v>
      </c>
      <c r="F167" s="142">
        <v>2160</v>
      </c>
      <c r="G167" s="142">
        <v>2160</v>
      </c>
      <c r="H167" s="142">
        <v>2160</v>
      </c>
      <c r="I167" s="142">
        <v>2160</v>
      </c>
      <c r="J167" s="142">
        <v>2160</v>
      </c>
      <c r="K167" s="302">
        <v>2600</v>
      </c>
    </row>
    <row r="168" spans="1:11" x14ac:dyDescent="0.2">
      <c r="A168" s="8" t="s">
        <v>18</v>
      </c>
      <c r="B168" s="141">
        <v>2700</v>
      </c>
      <c r="C168" s="141">
        <v>2700</v>
      </c>
      <c r="D168" s="141">
        <v>2700</v>
      </c>
      <c r="E168" s="141">
        <v>2600</v>
      </c>
      <c r="F168" s="141">
        <v>2600</v>
      </c>
      <c r="G168" s="141">
        <v>2600</v>
      </c>
      <c r="H168" s="141">
        <f>H167+0.25*G167-200</f>
        <v>2500</v>
      </c>
      <c r="I168" s="286">
        <f>I167+0.25*H167</f>
        <v>2700</v>
      </c>
      <c r="J168" s="286">
        <f>2700-129.95</f>
        <v>2570.0500000000002</v>
      </c>
      <c r="K168" s="286">
        <f>K167+0.25*I167-100</f>
        <v>3040</v>
      </c>
    </row>
    <row r="169" spans="1:11" ht="27.6" customHeight="1" x14ac:dyDescent="0.2">
      <c r="A169" s="8" t="s">
        <v>19</v>
      </c>
      <c r="B169" s="143" t="s">
        <v>318</v>
      </c>
      <c r="C169" s="143" t="s">
        <v>318</v>
      </c>
      <c r="D169" s="143" t="s">
        <v>318</v>
      </c>
      <c r="E169" s="143" t="s">
        <v>319</v>
      </c>
      <c r="F169" s="143" t="s">
        <v>319</v>
      </c>
      <c r="G169" s="143" t="s">
        <v>319</v>
      </c>
      <c r="H169" s="143" t="s">
        <v>433</v>
      </c>
      <c r="I169" s="143" t="s">
        <v>318</v>
      </c>
      <c r="J169" s="303" t="s">
        <v>891</v>
      </c>
      <c r="K169" s="303" t="s">
        <v>890</v>
      </c>
    </row>
    <row r="170" spans="1:11" x14ac:dyDescent="0.2">
      <c r="A170" s="8" t="s">
        <v>20</v>
      </c>
      <c r="B170" s="141">
        <v>462.36</v>
      </c>
      <c r="C170" s="141">
        <v>490.22</v>
      </c>
      <c r="D170" s="141">
        <v>657.59</v>
      </c>
      <c r="E170" s="141">
        <v>496.85</v>
      </c>
      <c r="F170" s="142">
        <v>396</v>
      </c>
      <c r="G170" s="142">
        <v>1002.664409132517</v>
      </c>
      <c r="H170" s="142">
        <v>617</v>
      </c>
      <c r="I170" s="142">
        <v>516</v>
      </c>
      <c r="J170" s="142">
        <v>543</v>
      </c>
      <c r="K170" s="142"/>
    </row>
    <row r="171" spans="1:11" x14ac:dyDescent="0.2">
      <c r="A171" s="8" t="s">
        <v>21</v>
      </c>
      <c r="B171" s="141">
        <f t="shared" ref="B171:G171" si="6">B168-B170</f>
        <v>2237.64</v>
      </c>
      <c r="C171" s="141">
        <f t="shared" si="6"/>
        <v>2209.7799999999997</v>
      </c>
      <c r="D171" s="141">
        <f t="shared" si="6"/>
        <v>2042.4099999999999</v>
      </c>
      <c r="E171" s="141">
        <f t="shared" si="6"/>
        <v>2103.15</v>
      </c>
      <c r="F171" s="141">
        <f t="shared" si="6"/>
        <v>2204</v>
      </c>
      <c r="G171" s="141">
        <f t="shared" si="6"/>
        <v>1597.335590867483</v>
      </c>
      <c r="H171" s="141">
        <f t="shared" ref="H171:J171" si="7">H168-H170</f>
        <v>1883</v>
      </c>
      <c r="I171" s="141">
        <f t="shared" si="7"/>
        <v>2184</v>
      </c>
      <c r="J171" s="141">
        <f t="shared" si="7"/>
        <v>2027.0500000000002</v>
      </c>
      <c r="K171" s="141"/>
    </row>
    <row r="172" spans="1:11" x14ac:dyDescent="0.2">
      <c r="A172" s="37" t="s">
        <v>22</v>
      </c>
      <c r="B172" s="144">
        <v>2016</v>
      </c>
      <c r="C172" s="144">
        <v>2017</v>
      </c>
      <c r="D172" s="144">
        <v>2018</v>
      </c>
      <c r="E172" s="144">
        <v>2019</v>
      </c>
      <c r="F172" s="144">
        <v>2020</v>
      </c>
      <c r="G172" s="144">
        <v>2021</v>
      </c>
      <c r="H172" s="144">
        <v>2022</v>
      </c>
      <c r="I172" s="144">
        <v>2023</v>
      </c>
      <c r="J172" s="144">
        <v>2024</v>
      </c>
      <c r="K172" s="144">
        <v>2025</v>
      </c>
    </row>
    <row r="173" spans="1:11" x14ac:dyDescent="0.2">
      <c r="A173" s="717" t="s">
        <v>853</v>
      </c>
      <c r="B173" s="718"/>
      <c r="C173" s="718"/>
      <c r="D173" s="718"/>
      <c r="E173" s="718"/>
      <c r="F173" s="718"/>
      <c r="G173" s="718"/>
      <c r="H173" s="59"/>
      <c r="I173" s="59"/>
      <c r="J173" s="59"/>
      <c r="K173" s="57"/>
    </row>
    <row r="174" spans="1:11" x14ac:dyDescent="0.2">
      <c r="A174" s="612" t="s">
        <v>320</v>
      </c>
      <c r="B174" s="613"/>
      <c r="C174" s="613"/>
      <c r="D174" s="613"/>
      <c r="E174" s="613"/>
      <c r="F174" s="613"/>
      <c r="G174" s="613"/>
      <c r="H174" s="30"/>
      <c r="I174" s="30"/>
      <c r="J174" s="30"/>
      <c r="K174" s="31"/>
    </row>
    <row r="175" spans="1:11" x14ac:dyDescent="0.2">
      <c r="A175" s="145" t="s">
        <v>432</v>
      </c>
      <c r="B175" s="133"/>
      <c r="C175" s="133"/>
      <c r="D175" s="133"/>
      <c r="E175" s="133"/>
      <c r="F175" s="133"/>
      <c r="G175" s="133"/>
      <c r="K175" s="21"/>
    </row>
    <row r="176" spans="1:11" x14ac:dyDescent="0.2">
      <c r="A176" s="611" t="s">
        <v>887</v>
      </c>
      <c r="B176" s="133"/>
      <c r="C176" s="133"/>
      <c r="D176" s="133"/>
      <c r="E176" s="133"/>
      <c r="F176" s="133"/>
      <c r="G176" s="133"/>
      <c r="K176" s="21"/>
    </row>
    <row r="177" spans="1:11" x14ac:dyDescent="0.2">
      <c r="A177" s="614" t="s">
        <v>889</v>
      </c>
      <c r="B177" s="105"/>
      <c r="C177" s="105"/>
      <c r="D177" s="105"/>
      <c r="E177" s="105"/>
      <c r="F177" s="105"/>
      <c r="G177" s="105"/>
      <c r="H177" s="33"/>
      <c r="I177" s="33"/>
      <c r="J177" s="33"/>
      <c r="K177" s="34"/>
    </row>
    <row r="179" spans="1:11" x14ac:dyDescent="0.2">
      <c r="A179" s="16" t="s">
        <v>14</v>
      </c>
      <c r="B179" s="13" t="s">
        <v>637</v>
      </c>
      <c r="C179" s="285" t="s">
        <v>15</v>
      </c>
      <c r="D179" s="7"/>
      <c r="E179" s="7"/>
      <c r="F179" s="7"/>
    </row>
    <row r="180" spans="1:11" x14ac:dyDescent="0.2">
      <c r="A180" s="8" t="s">
        <v>16</v>
      </c>
      <c r="B180" s="130">
        <v>2014</v>
      </c>
      <c r="C180" s="130">
        <v>2015</v>
      </c>
      <c r="D180" s="284">
        <v>2016</v>
      </c>
      <c r="E180" s="130">
        <v>2017</v>
      </c>
      <c r="F180" s="13">
        <v>2018</v>
      </c>
      <c r="G180" s="13">
        <v>2019</v>
      </c>
      <c r="H180" s="13">
        <v>2020</v>
      </c>
      <c r="I180" s="13">
        <v>2021</v>
      </c>
      <c r="J180" s="13">
        <v>2022</v>
      </c>
      <c r="K180" s="13">
        <v>2023</v>
      </c>
    </row>
    <row r="181" spans="1:11" x14ac:dyDescent="0.2">
      <c r="A181" s="8" t="s">
        <v>17</v>
      </c>
      <c r="B181" s="138">
        <v>50</v>
      </c>
      <c r="C181" s="138">
        <v>50</v>
      </c>
      <c r="D181" s="138">
        <v>50</v>
      </c>
      <c r="E181" s="138">
        <v>50</v>
      </c>
      <c r="F181" s="138">
        <v>50</v>
      </c>
      <c r="G181" s="138">
        <v>50</v>
      </c>
      <c r="H181" s="138">
        <v>50</v>
      </c>
      <c r="I181" s="138">
        <v>50</v>
      </c>
      <c r="J181" s="138">
        <v>50</v>
      </c>
      <c r="K181" s="138">
        <v>50</v>
      </c>
    </row>
    <row r="182" spans="1:11" x14ac:dyDescent="0.2">
      <c r="A182" s="8" t="s">
        <v>18</v>
      </c>
      <c r="B182" s="138">
        <v>75</v>
      </c>
      <c r="C182" s="138">
        <v>50</v>
      </c>
      <c r="D182" s="138">
        <v>50</v>
      </c>
      <c r="E182" s="138">
        <f>E181*1.5-25</f>
        <v>50</v>
      </c>
      <c r="F182" s="138">
        <f>F181*1.4-25</f>
        <v>45</v>
      </c>
      <c r="G182" s="138">
        <f>G181*1.4-25</f>
        <v>45</v>
      </c>
      <c r="H182" s="138">
        <f t="shared" ref="H182:J182" si="8">H181*1.4-25</f>
        <v>45</v>
      </c>
      <c r="I182" s="138">
        <f t="shared" si="8"/>
        <v>45</v>
      </c>
      <c r="J182" s="138">
        <f t="shared" si="8"/>
        <v>45</v>
      </c>
      <c r="K182" s="138">
        <f>K181*1.4</f>
        <v>70</v>
      </c>
    </row>
    <row r="183" spans="1:11" x14ac:dyDescent="0.2">
      <c r="A183" s="8" t="s">
        <v>19</v>
      </c>
      <c r="B183" s="138" t="s">
        <v>321</v>
      </c>
      <c r="C183" s="138" t="s">
        <v>322</v>
      </c>
      <c r="D183" s="138" t="s">
        <v>322</v>
      </c>
      <c r="E183" s="138" t="s">
        <v>322</v>
      </c>
      <c r="F183" s="138" t="s">
        <v>323</v>
      </c>
      <c r="G183" s="138" t="s">
        <v>323</v>
      </c>
      <c r="H183" s="138" t="s">
        <v>323</v>
      </c>
      <c r="I183" s="138" t="s">
        <v>323</v>
      </c>
      <c r="J183" s="138" t="s">
        <v>323</v>
      </c>
      <c r="K183" s="138" t="s">
        <v>851</v>
      </c>
    </row>
    <row r="184" spans="1:11" x14ac:dyDescent="0.2">
      <c r="A184" s="8" t="s">
        <v>20</v>
      </c>
      <c r="B184" s="138">
        <v>0</v>
      </c>
      <c r="C184" s="138">
        <v>0</v>
      </c>
      <c r="D184" s="138">
        <v>0</v>
      </c>
      <c r="E184" s="138">
        <v>0</v>
      </c>
      <c r="F184" s="138">
        <v>0</v>
      </c>
      <c r="G184" s="138">
        <v>0</v>
      </c>
      <c r="H184" s="138">
        <v>0</v>
      </c>
      <c r="I184" s="138">
        <v>0</v>
      </c>
      <c r="J184" s="138">
        <v>0</v>
      </c>
      <c r="K184" s="138"/>
    </row>
    <row r="185" spans="1:11" x14ac:dyDescent="0.2">
      <c r="A185" s="8" t="s">
        <v>21</v>
      </c>
      <c r="B185" s="138">
        <f>B182</f>
        <v>75</v>
      </c>
      <c r="C185" s="138">
        <f t="shared" ref="C185:G185" si="9">C182</f>
        <v>50</v>
      </c>
      <c r="D185" s="138">
        <f t="shared" si="9"/>
        <v>50</v>
      </c>
      <c r="E185" s="138">
        <f t="shared" si="9"/>
        <v>50</v>
      </c>
      <c r="F185" s="138">
        <f t="shared" si="9"/>
        <v>45</v>
      </c>
      <c r="G185" s="138">
        <f t="shared" si="9"/>
        <v>45</v>
      </c>
      <c r="H185" s="138">
        <f t="shared" ref="H185:I185" si="10">H182</f>
        <v>45</v>
      </c>
      <c r="I185" s="138">
        <f t="shared" si="10"/>
        <v>45</v>
      </c>
      <c r="J185" s="138">
        <f>J182-J184</f>
        <v>45</v>
      </c>
      <c r="K185" s="138"/>
    </row>
    <row r="186" spans="1:11" x14ac:dyDescent="0.2">
      <c r="A186" s="37" t="s">
        <v>22</v>
      </c>
      <c r="B186" s="144">
        <v>2015</v>
      </c>
      <c r="C186" s="144">
        <v>2016</v>
      </c>
      <c r="D186" s="144">
        <v>2017</v>
      </c>
      <c r="E186" s="144">
        <v>2018</v>
      </c>
      <c r="F186" s="144">
        <v>2019</v>
      </c>
      <c r="G186" s="144">
        <v>2020</v>
      </c>
      <c r="H186" s="144">
        <v>2021</v>
      </c>
      <c r="I186" s="144">
        <v>2022</v>
      </c>
      <c r="J186" s="144">
        <v>2023</v>
      </c>
      <c r="K186" s="144">
        <v>2024</v>
      </c>
    </row>
    <row r="187" spans="1:11" x14ac:dyDescent="0.2">
      <c r="A187" s="717" t="s">
        <v>854</v>
      </c>
      <c r="B187" s="718"/>
      <c r="C187" s="718"/>
      <c r="D187" s="718"/>
      <c r="E187" s="718"/>
      <c r="F187" s="718"/>
      <c r="G187" s="718"/>
      <c r="H187" s="59"/>
      <c r="I187" s="59"/>
      <c r="J187" s="59"/>
      <c r="K187" s="57"/>
    </row>
    <row r="188" spans="1:11" x14ac:dyDescent="0.2">
      <c r="A188" s="585" t="s">
        <v>718</v>
      </c>
      <c r="B188" s="586"/>
      <c r="C188" s="586"/>
      <c r="D188" s="586"/>
      <c r="E188" s="586"/>
      <c r="F188" s="586"/>
      <c r="G188" s="586"/>
      <c r="H188" s="59"/>
      <c r="I188" s="59"/>
      <c r="J188" s="59"/>
      <c r="K188" s="57"/>
    </row>
    <row r="189" spans="1:11" x14ac:dyDescent="0.2">
      <c r="A189" s="263"/>
      <c r="B189" s="263"/>
      <c r="C189" s="263"/>
      <c r="D189" s="263"/>
      <c r="E189" s="263"/>
      <c r="F189" s="263"/>
      <c r="G189" s="263"/>
    </row>
    <row r="190" spans="1:11" x14ac:dyDescent="0.2">
      <c r="A190" s="306" t="s">
        <v>14</v>
      </c>
      <c r="B190" s="307" t="s">
        <v>660</v>
      </c>
      <c r="C190" s="308" t="s">
        <v>15</v>
      </c>
      <c r="D190" s="309"/>
      <c r="E190" s="309"/>
      <c r="F190" s="309"/>
      <c r="G190" s="309"/>
    </row>
    <row r="191" spans="1:11" x14ac:dyDescent="0.2">
      <c r="A191" s="310" t="s">
        <v>16</v>
      </c>
      <c r="B191" s="308">
        <v>2014</v>
      </c>
      <c r="C191" s="308">
        <v>2015</v>
      </c>
      <c r="D191" s="311">
        <v>2016</v>
      </c>
      <c r="E191" s="308">
        <v>2017</v>
      </c>
      <c r="F191" s="307">
        <v>2018</v>
      </c>
      <c r="G191" s="307">
        <v>2019</v>
      </c>
      <c r="H191" s="13">
        <v>2020</v>
      </c>
      <c r="I191" s="13">
        <v>2021</v>
      </c>
      <c r="J191" s="13">
        <v>2022</v>
      </c>
      <c r="K191" s="13">
        <v>2023</v>
      </c>
    </row>
    <row r="192" spans="1:11" x14ac:dyDescent="0.2">
      <c r="A192" s="310" t="s">
        <v>17</v>
      </c>
      <c r="B192" s="312">
        <v>3940</v>
      </c>
      <c r="C192" s="312">
        <v>3940</v>
      </c>
      <c r="D192" s="312">
        <v>3940</v>
      </c>
      <c r="E192" s="312">
        <v>3940</v>
      </c>
      <c r="F192" s="312">
        <v>3940</v>
      </c>
      <c r="G192" s="312">
        <v>3940</v>
      </c>
      <c r="H192" s="141">
        <v>3940</v>
      </c>
      <c r="I192" s="141">
        <v>3940</v>
      </c>
      <c r="J192" s="141">
        <v>3940</v>
      </c>
      <c r="K192" s="141">
        <v>3940</v>
      </c>
    </row>
    <row r="193" spans="1:11" x14ac:dyDescent="0.2">
      <c r="A193" s="310" t="s">
        <v>18</v>
      </c>
      <c r="B193" s="312">
        <f>B192*1.3-50</f>
        <v>5072</v>
      </c>
      <c r="C193" s="312">
        <f t="shared" ref="C193:E193" si="11">C192*1.3-50</f>
        <v>5072</v>
      </c>
      <c r="D193" s="312">
        <f t="shared" si="11"/>
        <v>5072</v>
      </c>
      <c r="E193" s="312">
        <f t="shared" si="11"/>
        <v>5072</v>
      </c>
      <c r="F193" s="312">
        <f t="shared" ref="F193:K193" si="12">F192*1.2-50</f>
        <v>4678</v>
      </c>
      <c r="G193" s="312">
        <f t="shared" si="12"/>
        <v>4678</v>
      </c>
      <c r="H193" s="141">
        <f t="shared" si="12"/>
        <v>4678</v>
      </c>
      <c r="I193" s="141">
        <f t="shared" si="12"/>
        <v>4678</v>
      </c>
      <c r="J193" s="141">
        <f t="shared" si="12"/>
        <v>4678</v>
      </c>
      <c r="K193" s="141">
        <f t="shared" si="12"/>
        <v>4678</v>
      </c>
    </row>
    <row r="194" spans="1:11" x14ac:dyDescent="0.2">
      <c r="A194" s="310" t="s">
        <v>19</v>
      </c>
      <c r="B194" s="312" t="s">
        <v>325</v>
      </c>
      <c r="C194" s="312" t="s">
        <v>325</v>
      </c>
      <c r="D194" s="312" t="s">
        <v>325</v>
      </c>
      <c r="E194" s="312" t="s">
        <v>325</v>
      </c>
      <c r="F194" s="312" t="s">
        <v>326</v>
      </c>
      <c r="G194" s="312" t="s">
        <v>326</v>
      </c>
      <c r="H194" s="141" t="s">
        <v>326</v>
      </c>
      <c r="I194" s="141" t="s">
        <v>326</v>
      </c>
      <c r="J194" s="141" t="s">
        <v>326</v>
      </c>
      <c r="K194" s="141" t="s">
        <v>326</v>
      </c>
    </row>
    <row r="195" spans="1:11" x14ac:dyDescent="0.2">
      <c r="A195" s="310" t="s">
        <v>20</v>
      </c>
      <c r="B195" s="312">
        <v>2892.02</v>
      </c>
      <c r="C195" s="312">
        <v>2599.0703200000003</v>
      </c>
      <c r="D195" s="312">
        <v>2934.78017</v>
      </c>
      <c r="E195" s="312">
        <v>2406.0276984999996</v>
      </c>
      <c r="F195" s="312">
        <v>2798</v>
      </c>
      <c r="G195" s="312">
        <v>2858.8298242939013</v>
      </c>
      <c r="H195" s="141">
        <v>2105</v>
      </c>
      <c r="I195" s="141">
        <v>2823</v>
      </c>
      <c r="J195" s="141">
        <v>2197</v>
      </c>
      <c r="K195" s="141"/>
    </row>
    <row r="196" spans="1:11" x14ac:dyDescent="0.2">
      <c r="A196" s="310" t="s">
        <v>21</v>
      </c>
      <c r="B196" s="312">
        <f>B193-B195</f>
        <v>2179.98</v>
      </c>
      <c r="C196" s="312">
        <f t="shared" ref="C196:G196" si="13">C193-C195</f>
        <v>2472.9296799999997</v>
      </c>
      <c r="D196" s="312">
        <f t="shared" si="13"/>
        <v>2137.21983</v>
      </c>
      <c r="E196" s="312">
        <f t="shared" si="13"/>
        <v>2665.9723015000004</v>
      </c>
      <c r="F196" s="312">
        <f t="shared" si="13"/>
        <v>1880</v>
      </c>
      <c r="G196" s="312">
        <f t="shared" si="13"/>
        <v>1819.1701757060987</v>
      </c>
      <c r="H196" s="141">
        <f t="shared" ref="H196:I196" si="14">H193-H195</f>
        <v>2573</v>
      </c>
      <c r="I196" s="141">
        <f t="shared" si="14"/>
        <v>1855</v>
      </c>
      <c r="J196" s="141">
        <f>J193-J195</f>
        <v>2481</v>
      </c>
      <c r="K196" s="141"/>
    </row>
    <row r="197" spans="1:11" x14ac:dyDescent="0.2">
      <c r="A197" s="313" t="s">
        <v>22</v>
      </c>
      <c r="B197" s="314">
        <v>2015</v>
      </c>
      <c r="C197" s="314">
        <v>2016</v>
      </c>
      <c r="D197" s="315">
        <v>2017</v>
      </c>
      <c r="E197" s="314">
        <v>2018</v>
      </c>
      <c r="F197" s="316">
        <v>2019</v>
      </c>
      <c r="G197" s="316">
        <v>2020</v>
      </c>
      <c r="H197" s="39">
        <v>2021</v>
      </c>
      <c r="I197" s="39">
        <v>2022</v>
      </c>
      <c r="J197" s="39">
        <v>2023</v>
      </c>
      <c r="K197" s="39">
        <v>2024</v>
      </c>
    </row>
    <row r="198" spans="1:11" x14ac:dyDescent="0.2">
      <c r="A198" s="719" t="s">
        <v>855</v>
      </c>
      <c r="B198" s="720"/>
      <c r="C198" s="720"/>
      <c r="D198" s="720"/>
      <c r="E198" s="720"/>
      <c r="F198" s="720"/>
      <c r="G198" s="720"/>
      <c r="H198" s="59"/>
      <c r="I198" s="59"/>
      <c r="J198" s="59"/>
      <c r="K198" s="57"/>
    </row>
    <row r="199" spans="1:11" x14ac:dyDescent="0.2">
      <c r="A199" s="304" t="s">
        <v>673</v>
      </c>
      <c r="B199" s="305"/>
      <c r="C199" s="305"/>
      <c r="D199" s="305"/>
      <c r="E199" s="305"/>
      <c r="F199" s="305"/>
      <c r="G199" s="305"/>
      <c r="H199" s="33"/>
      <c r="I199" s="33"/>
      <c r="J199" s="33"/>
      <c r="K199" s="34"/>
    </row>
    <row r="201" spans="1:11" x14ac:dyDescent="0.2">
      <c r="A201" s="16" t="s">
        <v>14</v>
      </c>
      <c r="B201" s="13" t="s">
        <v>66</v>
      </c>
      <c r="C201" s="130" t="s">
        <v>15</v>
      </c>
      <c r="D201" s="7"/>
      <c r="E201" s="7"/>
      <c r="F201" s="7"/>
    </row>
    <row r="202" spans="1:11" x14ac:dyDescent="0.2">
      <c r="A202" s="8" t="s">
        <v>16</v>
      </c>
      <c r="B202" s="9"/>
      <c r="C202" s="41">
        <v>2020</v>
      </c>
      <c r="D202" s="41">
        <v>2021</v>
      </c>
      <c r="E202" s="41">
        <v>2022</v>
      </c>
      <c r="F202" s="41">
        <v>2023</v>
      </c>
    </row>
    <row r="203" spans="1:11" x14ac:dyDescent="0.2">
      <c r="A203" s="8" t="s">
        <v>17</v>
      </c>
      <c r="B203" s="29"/>
      <c r="C203" s="23">
        <v>6043</v>
      </c>
      <c r="D203" s="46">
        <v>5946.3120000000008</v>
      </c>
      <c r="E203" s="46">
        <v>5994.6559999999999</v>
      </c>
      <c r="F203" s="23">
        <v>5994.6559999999999</v>
      </c>
    </row>
    <row r="204" spans="1:11" x14ac:dyDescent="0.2">
      <c r="A204" s="8" t="s">
        <v>18</v>
      </c>
      <c r="B204" s="29"/>
      <c r="C204" s="23"/>
      <c r="D204" s="46"/>
      <c r="E204" s="46">
        <f>E203+C207</f>
        <v>5753.6559999999999</v>
      </c>
      <c r="F204" s="46">
        <f>F203+D207</f>
        <v>5441.9680000000008</v>
      </c>
    </row>
    <row r="205" spans="1:11" x14ac:dyDescent="0.2">
      <c r="A205" s="8" t="s">
        <v>19</v>
      </c>
      <c r="B205" s="29"/>
      <c r="C205" s="23"/>
      <c r="D205" s="23"/>
      <c r="E205" s="23" t="s">
        <v>741</v>
      </c>
      <c r="F205" s="23" t="s">
        <v>742</v>
      </c>
    </row>
    <row r="206" spans="1:11" x14ac:dyDescent="0.2">
      <c r="A206" s="8" t="s">
        <v>20</v>
      </c>
      <c r="B206" s="29"/>
      <c r="C206" s="23">
        <v>6284</v>
      </c>
      <c r="D206" s="23">
        <v>6499</v>
      </c>
      <c r="E206" s="23">
        <v>7341</v>
      </c>
      <c r="F206" s="23"/>
    </row>
    <row r="207" spans="1:11" x14ac:dyDescent="0.2">
      <c r="A207" s="8" t="s">
        <v>21</v>
      </c>
      <c r="B207" s="140"/>
      <c r="C207" s="23">
        <f>C203-C206</f>
        <v>-241</v>
      </c>
      <c r="D207" s="23">
        <f>D203-D206</f>
        <v>-552.68799999999919</v>
      </c>
      <c r="E207" s="23">
        <f>E204-E206</f>
        <v>-1587.3440000000001</v>
      </c>
      <c r="F207" s="23"/>
    </row>
    <row r="208" spans="1:11" x14ac:dyDescent="0.2">
      <c r="A208" s="37" t="s">
        <v>22</v>
      </c>
      <c r="B208" s="144"/>
      <c r="C208" s="36">
        <v>2022</v>
      </c>
      <c r="D208" s="36">
        <v>2023</v>
      </c>
      <c r="E208" s="36">
        <v>2024</v>
      </c>
      <c r="F208" s="36">
        <v>2025</v>
      </c>
    </row>
    <row r="209" spans="1:10" ht="12.75" customHeight="1" x14ac:dyDescent="0.2">
      <c r="A209" s="590" t="s">
        <v>23</v>
      </c>
      <c r="B209" s="591"/>
      <c r="C209" s="591"/>
      <c r="D209" s="591"/>
      <c r="E209" s="592"/>
      <c r="F209" s="592"/>
      <c r="G209" s="28"/>
      <c r="H209" s="28"/>
    </row>
    <row r="210" spans="1:10" ht="12.75" customHeight="1" x14ac:dyDescent="0.2">
      <c r="A210" s="593" t="s">
        <v>674</v>
      </c>
      <c r="B210" s="287"/>
      <c r="C210" s="287"/>
      <c r="D210" s="287"/>
      <c r="E210" s="287"/>
      <c r="F210" s="594"/>
      <c r="G210" s="28"/>
      <c r="H210" s="28"/>
    </row>
    <row r="211" spans="1:10" x14ac:dyDescent="0.2">
      <c r="C211" s="51"/>
    </row>
    <row r="212" spans="1:10" x14ac:dyDescent="0.2">
      <c r="A212" s="16" t="s">
        <v>14</v>
      </c>
      <c r="B212" s="13" t="s">
        <v>74</v>
      </c>
      <c r="C212" s="130" t="s">
        <v>15</v>
      </c>
      <c r="D212" s="7"/>
      <c r="E212" s="7"/>
      <c r="F212" s="7"/>
    </row>
    <row r="213" spans="1:10" x14ac:dyDescent="0.2">
      <c r="A213" s="8" t="s">
        <v>16</v>
      </c>
      <c r="B213" s="130">
        <v>2014</v>
      </c>
      <c r="C213" s="130">
        <v>2015</v>
      </c>
      <c r="D213" s="284">
        <v>2016</v>
      </c>
      <c r="E213" s="130">
        <v>2017</v>
      </c>
      <c r="F213" s="13">
        <v>2018</v>
      </c>
      <c r="G213" s="41">
        <v>2019</v>
      </c>
      <c r="H213" s="41">
        <v>2020</v>
      </c>
      <c r="I213" s="41">
        <v>2021</v>
      </c>
      <c r="J213" s="41">
        <v>2022</v>
      </c>
    </row>
    <row r="214" spans="1:10" x14ac:dyDescent="0.2">
      <c r="A214" s="8" t="s">
        <v>17</v>
      </c>
      <c r="B214" s="29">
        <v>190</v>
      </c>
      <c r="C214" s="29">
        <v>190</v>
      </c>
      <c r="D214" s="29">
        <v>190</v>
      </c>
      <c r="E214" s="29">
        <v>190</v>
      </c>
      <c r="F214" s="43">
        <v>190</v>
      </c>
      <c r="G214" s="23">
        <v>190</v>
      </c>
      <c r="H214" s="23">
        <v>159.80000000000001</v>
      </c>
      <c r="I214" s="23">
        <v>159.80000000000001</v>
      </c>
      <c r="J214" s="23">
        <v>159.80000000000001</v>
      </c>
    </row>
    <row r="215" spans="1:10" x14ac:dyDescent="0.2">
      <c r="A215" s="8" t="s">
        <v>18</v>
      </c>
      <c r="B215" s="29"/>
      <c r="C215" s="29"/>
      <c r="D215" s="29"/>
      <c r="E215" s="29"/>
      <c r="F215" s="43"/>
      <c r="G215" s="23"/>
      <c r="H215" s="23"/>
      <c r="I215" s="23"/>
      <c r="J215" s="23"/>
    </row>
    <row r="216" spans="1:10" x14ac:dyDescent="0.2">
      <c r="A216" s="8" t="s">
        <v>19</v>
      </c>
      <c r="B216" s="29"/>
      <c r="C216" s="29"/>
      <c r="D216" s="29"/>
      <c r="E216" s="29"/>
      <c r="F216" s="43"/>
      <c r="G216" s="23"/>
      <c r="H216" s="23"/>
      <c r="I216" s="23"/>
      <c r="J216" s="23"/>
    </row>
    <row r="217" spans="1:10" x14ac:dyDescent="0.2">
      <c r="A217" s="8" t="s">
        <v>20</v>
      </c>
      <c r="B217" s="29">
        <v>104.95522</v>
      </c>
      <c r="C217" s="29">
        <v>89.182190000000006</v>
      </c>
      <c r="D217" s="29">
        <v>79.192750000000004</v>
      </c>
      <c r="E217" s="102">
        <v>64.003107999999997</v>
      </c>
      <c r="F217" s="29">
        <v>37</v>
      </c>
      <c r="G217" s="23">
        <v>19.91</v>
      </c>
      <c r="H217" s="23">
        <v>13</v>
      </c>
      <c r="I217" s="23">
        <v>2</v>
      </c>
      <c r="J217" s="23">
        <v>3</v>
      </c>
    </row>
    <row r="218" spans="1:10" x14ac:dyDescent="0.2">
      <c r="A218" s="8" t="s">
        <v>21</v>
      </c>
      <c r="B218" s="140"/>
      <c r="C218" s="140"/>
      <c r="D218" s="140"/>
      <c r="E218" s="140"/>
      <c r="F218" s="146"/>
      <c r="G218" s="22"/>
      <c r="H218" s="22"/>
      <c r="I218" s="22"/>
      <c r="J218" s="22"/>
    </row>
    <row r="219" spans="1:10" x14ac:dyDescent="0.2">
      <c r="A219" s="37" t="s">
        <v>22</v>
      </c>
      <c r="B219" s="144"/>
      <c r="C219" s="144"/>
      <c r="D219" s="147"/>
      <c r="E219" s="144"/>
      <c r="F219" s="148"/>
      <c r="G219" s="36"/>
      <c r="H219" s="36"/>
      <c r="I219" s="36"/>
      <c r="J219" s="36"/>
    </row>
    <row r="220" spans="1:10" ht="36" customHeight="1" x14ac:dyDescent="0.2">
      <c r="A220" s="721" t="s">
        <v>324</v>
      </c>
      <c r="B220" s="722"/>
      <c r="C220" s="722"/>
      <c r="D220" s="722"/>
      <c r="E220" s="722"/>
      <c r="F220" s="722"/>
      <c r="G220" s="722"/>
      <c r="H220" s="722"/>
      <c r="I220" s="722"/>
      <c r="J220" s="723"/>
    </row>
    <row r="221" spans="1:10" x14ac:dyDescent="0.2">
      <c r="C221" s="51"/>
    </row>
    <row r="222" spans="1:10" x14ac:dyDescent="0.2">
      <c r="A222" s="16" t="s">
        <v>14</v>
      </c>
      <c r="B222" s="13" t="s">
        <v>79</v>
      </c>
      <c r="C222" s="130" t="s">
        <v>15</v>
      </c>
      <c r="D222" s="7"/>
      <c r="E222" s="7"/>
      <c r="F222" s="7"/>
    </row>
    <row r="223" spans="1:10" x14ac:dyDescent="0.2">
      <c r="A223" s="8" t="s">
        <v>16</v>
      </c>
      <c r="B223" s="130">
        <v>2014</v>
      </c>
      <c r="C223" s="130">
        <v>2015</v>
      </c>
      <c r="D223" s="284">
        <v>2016</v>
      </c>
      <c r="E223" s="130">
        <v>2017</v>
      </c>
      <c r="F223" s="13">
        <v>2018</v>
      </c>
      <c r="G223" s="41">
        <v>2019</v>
      </c>
      <c r="H223" s="41">
        <v>2020</v>
      </c>
      <c r="I223" s="41">
        <v>2021</v>
      </c>
      <c r="J223" s="41">
        <v>2022</v>
      </c>
    </row>
    <row r="224" spans="1:10" x14ac:dyDescent="0.2">
      <c r="A224" s="8" t="s">
        <v>17</v>
      </c>
      <c r="B224" s="140">
        <v>50</v>
      </c>
      <c r="C224" s="140">
        <v>50</v>
      </c>
      <c r="D224" s="140">
        <v>50</v>
      </c>
      <c r="E224" s="140">
        <v>50</v>
      </c>
      <c r="F224" s="146">
        <v>50</v>
      </c>
      <c r="G224" s="23">
        <v>50</v>
      </c>
      <c r="H224" s="23">
        <v>50</v>
      </c>
      <c r="I224" s="23">
        <v>50</v>
      </c>
      <c r="J224" s="23">
        <v>50</v>
      </c>
    </row>
    <row r="225" spans="1:10" x14ac:dyDescent="0.2">
      <c r="A225" s="8" t="s">
        <v>18</v>
      </c>
      <c r="B225" s="140"/>
      <c r="C225" s="140"/>
      <c r="D225" s="140"/>
      <c r="E225" s="140"/>
      <c r="F225" s="146"/>
      <c r="G225" s="22"/>
      <c r="H225" s="23"/>
      <c r="I225" s="23"/>
      <c r="J225" s="23"/>
    </row>
    <row r="226" spans="1:10" x14ac:dyDescent="0.2">
      <c r="A226" s="8" t="s">
        <v>19</v>
      </c>
      <c r="B226" s="140"/>
      <c r="C226" s="140"/>
      <c r="D226" s="140"/>
      <c r="E226" s="140"/>
      <c r="F226" s="146"/>
      <c r="G226" s="22"/>
      <c r="H226" s="23"/>
      <c r="I226" s="23"/>
      <c r="J226" s="23"/>
    </row>
    <row r="227" spans="1:10" x14ac:dyDescent="0.2">
      <c r="A227" s="8" t="s">
        <v>20</v>
      </c>
      <c r="B227" s="140">
        <v>102.32362999999999</v>
      </c>
      <c r="C227" s="140">
        <v>121.20529999999999</v>
      </c>
      <c r="D227" s="140">
        <v>66.934179999999998</v>
      </c>
      <c r="E227" s="140">
        <v>46.581100000000006</v>
      </c>
      <c r="F227" s="140">
        <v>62</v>
      </c>
      <c r="G227" s="22">
        <v>76.31</v>
      </c>
      <c r="H227" s="23">
        <v>46</v>
      </c>
      <c r="I227" s="23">
        <v>0</v>
      </c>
      <c r="J227" s="23">
        <v>0</v>
      </c>
    </row>
    <row r="228" spans="1:10" x14ac:dyDescent="0.2">
      <c r="A228" s="8" t="s">
        <v>21</v>
      </c>
      <c r="B228" s="140"/>
      <c r="C228" s="140"/>
      <c r="D228" s="140"/>
      <c r="E228" s="140"/>
      <c r="F228" s="146"/>
      <c r="G228" s="22"/>
      <c r="H228" s="23"/>
      <c r="I228" s="23"/>
      <c r="J228" s="23"/>
    </row>
    <row r="229" spans="1:10" x14ac:dyDescent="0.2">
      <c r="A229" s="8" t="s">
        <v>22</v>
      </c>
      <c r="B229" s="9"/>
      <c r="C229" s="9"/>
      <c r="D229" s="81"/>
      <c r="E229" s="9"/>
      <c r="F229" s="10"/>
      <c r="G229" s="22"/>
      <c r="H229" s="23"/>
      <c r="I229" s="23"/>
      <c r="J229" s="23"/>
    </row>
    <row r="230" spans="1:10" x14ac:dyDescent="0.2">
      <c r="A230" s="745" t="s">
        <v>23</v>
      </c>
      <c r="B230" s="745"/>
      <c r="C230" s="745"/>
      <c r="D230" s="745"/>
      <c r="E230" s="745"/>
      <c r="F230" s="745"/>
      <c r="G230" s="22"/>
      <c r="H230" s="23"/>
      <c r="I230" s="23"/>
      <c r="J230" s="23"/>
    </row>
    <row r="231" spans="1:10" ht="38.25" customHeight="1" x14ac:dyDescent="0.2">
      <c r="A231" s="734" t="s">
        <v>324</v>
      </c>
      <c r="B231" s="735"/>
      <c r="C231" s="735"/>
      <c r="D231" s="735"/>
      <c r="E231" s="735"/>
      <c r="F231" s="735"/>
      <c r="G231" s="735"/>
      <c r="H231" s="735"/>
      <c r="I231" s="735"/>
      <c r="J231" s="735"/>
    </row>
    <row r="232" spans="1:10" x14ac:dyDescent="0.2">
      <c r="A232" s="7"/>
      <c r="B232" s="7"/>
      <c r="C232" s="7"/>
      <c r="D232" s="7"/>
      <c r="E232" s="7"/>
      <c r="F232" s="7"/>
    </row>
    <row r="233" spans="1:10" x14ac:dyDescent="0.2">
      <c r="A233" s="7"/>
      <c r="B233" s="7"/>
      <c r="C233" s="7"/>
      <c r="D233" s="7"/>
      <c r="E233" s="7"/>
      <c r="F233" s="7"/>
    </row>
    <row r="234" spans="1:10" x14ac:dyDescent="0.2">
      <c r="A234" s="149" t="s">
        <v>12</v>
      </c>
      <c r="B234" s="680" t="s">
        <v>171</v>
      </c>
    </row>
    <row r="235" spans="1:10" x14ac:dyDescent="0.2">
      <c r="A235" s="32" t="s">
        <v>14</v>
      </c>
      <c r="B235" s="72" t="s">
        <v>637</v>
      </c>
      <c r="C235" s="41" t="s">
        <v>15</v>
      </c>
    </row>
    <row r="236" spans="1:10" x14ac:dyDescent="0.2">
      <c r="A236" s="41" t="s">
        <v>16</v>
      </c>
      <c r="B236" s="41"/>
      <c r="C236" s="41">
        <v>2016</v>
      </c>
      <c r="D236" s="41">
        <v>2017</v>
      </c>
      <c r="E236" s="41">
        <v>2018</v>
      </c>
      <c r="F236" s="41">
        <v>2019</v>
      </c>
      <c r="G236" s="41">
        <v>2020</v>
      </c>
      <c r="H236" s="41">
        <v>2021</v>
      </c>
      <c r="I236" s="41">
        <v>2022</v>
      </c>
      <c r="J236" s="41">
        <v>2023</v>
      </c>
    </row>
    <row r="237" spans="1:10" x14ac:dyDescent="0.2">
      <c r="A237" s="22" t="s">
        <v>17</v>
      </c>
      <c r="B237" s="22"/>
      <c r="C237" s="23">
        <v>1348</v>
      </c>
      <c r="D237" s="23">
        <v>1348</v>
      </c>
      <c r="E237" s="23">
        <v>1348</v>
      </c>
      <c r="F237" s="23">
        <v>1348</v>
      </c>
      <c r="G237" s="23">
        <v>1348</v>
      </c>
      <c r="H237" s="23">
        <v>1348</v>
      </c>
      <c r="I237" s="23">
        <v>1348</v>
      </c>
      <c r="J237" s="23">
        <v>1348</v>
      </c>
    </row>
    <row r="238" spans="1:10" x14ac:dyDescent="0.2">
      <c r="A238" s="22" t="s">
        <v>18</v>
      </c>
      <c r="B238" s="22"/>
      <c r="C238" s="23">
        <v>2040.2</v>
      </c>
      <c r="D238" s="23">
        <v>2070.1999999999998</v>
      </c>
      <c r="E238" s="23">
        <v>2070.1999999999998</v>
      </c>
      <c r="F238" s="23">
        <v>2045.1999999999998</v>
      </c>
      <c r="G238" s="23">
        <f>G237*1.15+125+35+35+100</f>
        <v>1845.1999999999998</v>
      </c>
      <c r="H238" s="23">
        <f>H237+0.15*F237+150+35+35+200</f>
        <v>1970.2</v>
      </c>
      <c r="I238" s="23">
        <f>I237+150+35+35+250+202.2</f>
        <v>2020.2</v>
      </c>
      <c r="J238" s="23">
        <f>J237+125+35+35+327+202.2</f>
        <v>2072.1999999999998</v>
      </c>
    </row>
    <row r="239" spans="1:10" x14ac:dyDescent="0.2">
      <c r="A239" s="22" t="s">
        <v>19</v>
      </c>
      <c r="B239" s="22"/>
      <c r="C239" s="23"/>
      <c r="D239" s="23"/>
      <c r="E239" s="23"/>
      <c r="F239" s="23"/>
      <c r="G239" s="23"/>
      <c r="H239" s="23"/>
      <c r="I239" s="23"/>
      <c r="J239" s="23"/>
    </row>
    <row r="240" spans="1:10" x14ac:dyDescent="0.2">
      <c r="A240" s="22" t="s">
        <v>20</v>
      </c>
      <c r="B240" s="22"/>
      <c r="C240" s="23">
        <v>1558.88</v>
      </c>
      <c r="D240" s="23">
        <v>1209.21</v>
      </c>
      <c r="E240" s="23">
        <v>786.81</v>
      </c>
      <c r="F240" s="23">
        <v>997.23400000000004</v>
      </c>
      <c r="G240" s="23">
        <v>1343</v>
      </c>
      <c r="H240" s="23">
        <v>1380.2959000000001</v>
      </c>
      <c r="I240" s="23">
        <v>1341.5989999999999</v>
      </c>
      <c r="J240" s="23"/>
    </row>
    <row r="241" spans="1:14" x14ac:dyDescent="0.2">
      <c r="A241" s="22" t="s">
        <v>21</v>
      </c>
      <c r="B241" s="22"/>
      <c r="C241" s="23">
        <v>481.32</v>
      </c>
      <c r="D241" s="23">
        <v>860.99</v>
      </c>
      <c r="E241" s="23">
        <v>1283.3900000000001</v>
      </c>
      <c r="F241" s="23">
        <v>1047.9659999999999</v>
      </c>
      <c r="G241" s="23">
        <f>G238-G240</f>
        <v>502.19999999999982</v>
      </c>
      <c r="H241" s="23">
        <f>H238-H240</f>
        <v>589.90409999999997</v>
      </c>
      <c r="I241" s="23">
        <f>I238-I240</f>
        <v>678.60100000000011</v>
      </c>
      <c r="J241" s="23"/>
    </row>
    <row r="242" spans="1:14" x14ac:dyDescent="0.2">
      <c r="A242" s="36" t="s">
        <v>22</v>
      </c>
      <c r="B242" s="36"/>
      <c r="C242" s="36">
        <v>2018</v>
      </c>
      <c r="D242" s="36">
        <v>2019</v>
      </c>
      <c r="E242" s="36">
        <v>2020</v>
      </c>
      <c r="F242" s="36">
        <v>2021</v>
      </c>
      <c r="G242" s="36">
        <v>2022</v>
      </c>
      <c r="H242" s="36">
        <v>2023</v>
      </c>
      <c r="I242" s="36">
        <v>2024</v>
      </c>
      <c r="J242" s="36">
        <v>2025</v>
      </c>
    </row>
    <row r="243" spans="1:14" x14ac:dyDescent="0.2">
      <c r="A243" s="1" t="s">
        <v>168</v>
      </c>
      <c r="B243" s="2"/>
      <c r="C243" s="2"/>
      <c r="D243" s="2"/>
      <c r="E243" s="2"/>
      <c r="F243" s="2"/>
      <c r="G243" s="2"/>
      <c r="H243" s="2"/>
      <c r="I243" s="2"/>
      <c r="J243" s="3"/>
      <c r="K243" s="4"/>
      <c r="L243" s="4"/>
      <c r="M243" s="4"/>
      <c r="N243" s="4"/>
    </row>
    <row r="244" spans="1:14" x14ac:dyDescent="0.2">
      <c r="A244" s="5" t="s">
        <v>169</v>
      </c>
      <c r="B244" s="4"/>
      <c r="C244" s="4"/>
      <c r="D244" s="4"/>
      <c r="E244" s="4"/>
      <c r="F244" s="4"/>
      <c r="G244" s="4"/>
      <c r="H244" s="4"/>
      <c r="I244" s="4"/>
      <c r="J244" s="6"/>
      <c r="K244" s="4"/>
      <c r="L244" s="4"/>
      <c r="M244" s="4"/>
      <c r="N244" s="4"/>
    </row>
    <row r="245" spans="1:14" x14ac:dyDescent="0.2">
      <c r="A245" s="5" t="s">
        <v>170</v>
      </c>
      <c r="B245" s="4"/>
      <c r="C245" s="4"/>
      <c r="D245" s="4"/>
      <c r="E245" s="4"/>
      <c r="F245" s="4"/>
      <c r="G245" s="4"/>
      <c r="H245" s="4"/>
      <c r="I245" s="4"/>
      <c r="J245" s="6"/>
      <c r="K245" s="4"/>
      <c r="L245" s="4"/>
      <c r="M245" s="4"/>
      <c r="N245" s="4"/>
    </row>
    <row r="246" spans="1:14" x14ac:dyDescent="0.2">
      <c r="A246" s="5" t="s">
        <v>394</v>
      </c>
      <c r="J246" s="21"/>
    </row>
    <row r="247" spans="1:14" x14ac:dyDescent="0.2">
      <c r="A247" s="5" t="s">
        <v>519</v>
      </c>
      <c r="J247" s="21"/>
    </row>
    <row r="248" spans="1:14" x14ac:dyDescent="0.2">
      <c r="A248" s="5" t="s">
        <v>520</v>
      </c>
      <c r="J248" s="21"/>
    </row>
    <row r="249" spans="1:14" x14ac:dyDescent="0.2">
      <c r="A249" s="5" t="s">
        <v>620</v>
      </c>
      <c r="J249" s="21"/>
    </row>
    <row r="250" spans="1:14" x14ac:dyDescent="0.2">
      <c r="A250" s="73" t="s">
        <v>821</v>
      </c>
      <c r="B250" s="33"/>
      <c r="C250" s="33"/>
      <c r="D250" s="33"/>
      <c r="E250" s="33"/>
      <c r="F250" s="33"/>
      <c r="G250" s="33"/>
      <c r="H250" s="33"/>
      <c r="I250" s="33"/>
      <c r="J250" s="34"/>
    </row>
    <row r="252" spans="1:14" x14ac:dyDescent="0.2">
      <c r="A252" s="317" t="s">
        <v>14</v>
      </c>
      <c r="B252" s="318" t="s">
        <v>664</v>
      </c>
      <c r="C252" s="319" t="s">
        <v>15</v>
      </c>
      <c r="D252" s="263"/>
      <c r="E252" s="263"/>
      <c r="F252" s="263"/>
      <c r="G252" s="263"/>
      <c r="H252" s="263"/>
      <c r="I252" s="263"/>
    </row>
    <row r="253" spans="1:14" x14ac:dyDescent="0.2">
      <c r="A253" s="320" t="s">
        <v>16</v>
      </c>
      <c r="B253" s="320"/>
      <c r="C253" s="321">
        <v>2016</v>
      </c>
      <c r="D253" s="321">
        <v>2017</v>
      </c>
      <c r="E253" s="321">
        <v>2018</v>
      </c>
      <c r="F253" s="321">
        <v>2019</v>
      </c>
      <c r="G253" s="321">
        <v>2020</v>
      </c>
      <c r="H253" s="321">
        <v>2021</v>
      </c>
      <c r="I253" s="321">
        <v>2022</v>
      </c>
      <c r="J253" s="321">
        <v>2023</v>
      </c>
    </row>
    <row r="254" spans="1:14" x14ac:dyDescent="0.2">
      <c r="A254" s="320" t="s">
        <v>17</v>
      </c>
      <c r="B254" s="320"/>
      <c r="C254" s="322">
        <v>452.47</v>
      </c>
      <c r="D254" s="322">
        <v>452.47</v>
      </c>
      <c r="E254" s="322">
        <v>530.59</v>
      </c>
      <c r="F254" s="322">
        <v>530.59</v>
      </c>
      <c r="G254" s="322">
        <v>530.59</v>
      </c>
      <c r="H254" s="322">
        <v>530.59</v>
      </c>
      <c r="I254" s="322">
        <v>558.65</v>
      </c>
      <c r="J254" s="322">
        <v>558.65</v>
      </c>
    </row>
    <row r="255" spans="1:14" x14ac:dyDescent="0.2">
      <c r="A255" s="320" t="s">
        <v>18</v>
      </c>
      <c r="B255" s="320"/>
      <c r="C255" s="322">
        <v>504.74</v>
      </c>
      <c r="D255" s="322">
        <f>D254+C258+55.98</f>
        <v>547.08000000000004</v>
      </c>
      <c r="E255" s="322">
        <f>E254+0.1*D254+73.98</f>
        <v>649.81700000000001</v>
      </c>
      <c r="F255" s="322">
        <f>F254+0.1*E254+9.62+60.44</f>
        <v>653.70900000000006</v>
      </c>
      <c r="G255" s="322">
        <f>G254+F258+79.44+4.78</f>
        <v>635.64900000000011</v>
      </c>
      <c r="H255" s="580">
        <f>H254+G258+100.44+4.78</f>
        <v>679.85600000000022</v>
      </c>
      <c r="I255" s="322">
        <f>I254+H258+60+4.78</f>
        <v>674.7560000000002</v>
      </c>
      <c r="J255" s="322">
        <f>J254+I258+5.18</f>
        <v>603.41600000000017</v>
      </c>
    </row>
    <row r="256" spans="1:14" x14ac:dyDescent="0.2">
      <c r="A256" s="320" t="s">
        <v>19</v>
      </c>
      <c r="B256" s="320"/>
      <c r="C256" s="323"/>
      <c r="D256" s="323"/>
      <c r="E256" s="257"/>
      <c r="F256" s="257"/>
      <c r="G256" s="257"/>
      <c r="H256" s="257"/>
      <c r="I256" s="257"/>
      <c r="J256" s="257"/>
    </row>
    <row r="257" spans="1:15" x14ac:dyDescent="0.2">
      <c r="A257" s="320" t="s">
        <v>20</v>
      </c>
      <c r="B257" s="320"/>
      <c r="C257" s="322">
        <v>466.11</v>
      </c>
      <c r="D257" s="323">
        <v>471.65</v>
      </c>
      <c r="E257" s="257">
        <v>553.98</v>
      </c>
      <c r="F257" s="257">
        <v>632.86999999999989</v>
      </c>
      <c r="G257" s="257">
        <v>591.60299999999995</v>
      </c>
      <c r="H257" s="46">
        <v>628.53</v>
      </c>
      <c r="I257" s="257">
        <v>635.16999999999996</v>
      </c>
      <c r="J257" s="257"/>
    </row>
    <row r="258" spans="1:15" x14ac:dyDescent="0.2">
      <c r="A258" s="320" t="s">
        <v>21</v>
      </c>
      <c r="B258" s="320"/>
      <c r="C258" s="257">
        <f t="shared" ref="C258:I258" si="15">C255-C257</f>
        <v>38.629999999999995</v>
      </c>
      <c r="D258" s="257">
        <f t="shared" si="15"/>
        <v>75.430000000000064</v>
      </c>
      <c r="E258" s="257">
        <f t="shared" si="15"/>
        <v>95.836999999999989</v>
      </c>
      <c r="F258" s="257">
        <f t="shared" si="15"/>
        <v>20.839000000000169</v>
      </c>
      <c r="G258" s="257">
        <f t="shared" si="15"/>
        <v>44.046000000000163</v>
      </c>
      <c r="H258" s="46">
        <f t="shared" si="15"/>
        <v>51.326000000000249</v>
      </c>
      <c r="I258" s="257">
        <f t="shared" si="15"/>
        <v>39.58600000000024</v>
      </c>
      <c r="J258" s="257"/>
    </row>
    <row r="259" spans="1:15" x14ac:dyDescent="0.2">
      <c r="A259" s="260" t="s">
        <v>22</v>
      </c>
      <c r="B259" s="260"/>
      <c r="C259" s="324">
        <v>2017</v>
      </c>
      <c r="D259" s="325">
        <v>2018</v>
      </c>
      <c r="E259" s="269">
        <v>2019</v>
      </c>
      <c r="F259" s="269">
        <v>2020</v>
      </c>
      <c r="G259" s="269">
        <v>2021</v>
      </c>
      <c r="H259" s="269">
        <v>2022</v>
      </c>
      <c r="I259" s="269">
        <v>2023</v>
      </c>
      <c r="J259" s="269">
        <v>2024</v>
      </c>
    </row>
    <row r="260" spans="1:15" x14ac:dyDescent="0.2">
      <c r="A260" s="326" t="s">
        <v>755</v>
      </c>
      <c r="B260" s="327"/>
      <c r="C260" s="327"/>
      <c r="D260" s="327"/>
      <c r="E260" s="327"/>
      <c r="F260" s="327"/>
      <c r="G260" s="327"/>
      <c r="H260" s="261"/>
      <c r="I260" s="261"/>
      <c r="J260" s="31"/>
    </row>
    <row r="261" spans="1:15" x14ac:dyDescent="0.2">
      <c r="A261" s="328" t="s">
        <v>756</v>
      </c>
      <c r="B261" s="329"/>
      <c r="C261" s="329"/>
      <c r="D261" s="329"/>
      <c r="E261" s="329"/>
      <c r="F261" s="329"/>
      <c r="G261" s="329"/>
      <c r="H261" s="263"/>
      <c r="I261" s="263"/>
      <c r="J261" s="21"/>
    </row>
    <row r="262" spans="1:15" x14ac:dyDescent="0.2">
      <c r="A262" s="328" t="s">
        <v>757</v>
      </c>
      <c r="B262" s="329"/>
      <c r="C262" s="329"/>
      <c r="D262" s="329"/>
      <c r="E262" s="329"/>
      <c r="F262" s="329"/>
      <c r="G262" s="329"/>
      <c r="H262" s="263"/>
      <c r="I262" s="263"/>
      <c r="J262" s="21"/>
    </row>
    <row r="263" spans="1:15" x14ac:dyDescent="0.2">
      <c r="A263" s="262" t="s">
        <v>758</v>
      </c>
      <c r="B263" s="263"/>
      <c r="C263" s="263"/>
      <c r="D263" s="263"/>
      <c r="E263" s="263"/>
      <c r="F263" s="263"/>
      <c r="G263" s="263"/>
      <c r="H263" s="263"/>
      <c r="I263" s="263"/>
      <c r="J263" s="21"/>
    </row>
    <row r="264" spans="1:15" x14ac:dyDescent="0.2">
      <c r="A264" s="262" t="s">
        <v>759</v>
      </c>
      <c r="B264" s="263"/>
      <c r="C264" s="263"/>
      <c r="D264" s="263"/>
      <c r="E264" s="263"/>
      <c r="F264" s="263"/>
      <c r="G264" s="263"/>
      <c r="H264" s="263"/>
      <c r="I264" s="263"/>
      <c r="J264" s="21"/>
    </row>
    <row r="265" spans="1:15" x14ac:dyDescent="0.2">
      <c r="A265" s="262" t="s">
        <v>760</v>
      </c>
      <c r="B265" s="263"/>
      <c r="C265" s="263"/>
      <c r="D265" s="263"/>
      <c r="E265" s="263"/>
      <c r="F265" s="263"/>
      <c r="G265" s="263"/>
      <c r="H265" s="263"/>
      <c r="I265" s="263"/>
      <c r="J265" s="21"/>
    </row>
    <row r="266" spans="1:15" x14ac:dyDescent="0.2">
      <c r="A266" s="244" t="s">
        <v>822</v>
      </c>
      <c r="B266" s="263"/>
      <c r="C266" s="263"/>
      <c r="D266" s="263"/>
      <c r="E266" s="263"/>
      <c r="F266" s="263"/>
      <c r="G266" s="263"/>
      <c r="H266" s="263"/>
      <c r="I266" s="263"/>
      <c r="J266" s="21"/>
    </row>
    <row r="267" spans="1:15" x14ac:dyDescent="0.2">
      <c r="A267" s="262" t="s">
        <v>823</v>
      </c>
      <c r="B267" s="263"/>
      <c r="C267" s="263"/>
      <c r="D267" s="263"/>
      <c r="E267" s="263"/>
      <c r="F267" s="263"/>
      <c r="G267" s="263"/>
      <c r="H267" s="263"/>
      <c r="I267" s="263"/>
      <c r="J267" s="21"/>
    </row>
    <row r="268" spans="1:15" x14ac:dyDescent="0.2">
      <c r="A268" s="253" t="s">
        <v>621</v>
      </c>
      <c r="B268" s="265"/>
      <c r="C268" s="265"/>
      <c r="D268" s="265"/>
      <c r="E268" s="265"/>
      <c r="F268" s="265"/>
      <c r="G268" s="265"/>
      <c r="H268" s="265"/>
      <c r="I268" s="265"/>
      <c r="J268" s="34"/>
    </row>
    <row r="270" spans="1:15" x14ac:dyDescent="0.2">
      <c r="A270" s="125" t="s">
        <v>12</v>
      </c>
      <c r="B270" s="680" t="s">
        <v>153</v>
      </c>
    </row>
    <row r="271" spans="1:15" x14ac:dyDescent="0.2">
      <c r="A271" s="74" t="s">
        <v>14</v>
      </c>
      <c r="B271" s="56" t="s">
        <v>638</v>
      </c>
      <c r="C271" s="41" t="s">
        <v>15</v>
      </c>
    </row>
    <row r="272" spans="1:15" x14ac:dyDescent="0.2">
      <c r="A272" s="75" t="s">
        <v>16</v>
      </c>
      <c r="B272" s="76">
        <v>2010</v>
      </c>
      <c r="C272" s="76">
        <v>2011</v>
      </c>
      <c r="D272" s="76">
        <v>2012</v>
      </c>
      <c r="E272" s="76">
        <v>2013</v>
      </c>
      <c r="F272" s="76">
        <v>2014</v>
      </c>
      <c r="G272" s="76">
        <v>2015</v>
      </c>
      <c r="H272" s="76">
        <v>2016</v>
      </c>
      <c r="I272" s="76">
        <v>2017</v>
      </c>
      <c r="J272" s="76">
        <v>2018</v>
      </c>
      <c r="K272" s="76">
        <v>2019</v>
      </c>
      <c r="L272" s="52">
        <v>2020</v>
      </c>
      <c r="M272" s="52">
        <v>2021</v>
      </c>
      <c r="N272" s="52">
        <v>2022</v>
      </c>
      <c r="O272" s="52">
        <v>2023</v>
      </c>
    </row>
    <row r="273" spans="1:15" x14ac:dyDescent="0.2">
      <c r="A273" s="75" t="s">
        <v>17</v>
      </c>
      <c r="B273" s="49">
        <v>200</v>
      </c>
      <c r="C273" s="49">
        <v>200</v>
      </c>
      <c r="D273" s="49">
        <v>200</v>
      </c>
      <c r="E273" s="49">
        <v>200</v>
      </c>
      <c r="F273" s="49">
        <v>200</v>
      </c>
      <c r="G273" s="49">
        <v>200</v>
      </c>
      <c r="H273" s="48">
        <v>200</v>
      </c>
      <c r="I273" s="49">
        <v>200</v>
      </c>
      <c r="J273" s="49">
        <v>200</v>
      </c>
      <c r="K273" s="49">
        <v>215</v>
      </c>
      <c r="L273" s="23">
        <v>215</v>
      </c>
      <c r="M273" s="23">
        <v>242</v>
      </c>
      <c r="N273" s="23">
        <v>242</v>
      </c>
      <c r="O273" s="23">
        <v>242</v>
      </c>
    </row>
    <row r="274" spans="1:15" x14ac:dyDescent="0.2">
      <c r="A274" s="75" t="s">
        <v>18</v>
      </c>
      <c r="B274" s="49">
        <v>250</v>
      </c>
      <c r="C274" s="49">
        <v>250</v>
      </c>
      <c r="D274" s="49">
        <v>250</v>
      </c>
      <c r="E274" s="49">
        <v>250</v>
      </c>
      <c r="F274" s="49">
        <v>200</v>
      </c>
      <c r="G274" s="49">
        <v>250</v>
      </c>
      <c r="H274" s="48">
        <v>250</v>
      </c>
      <c r="I274" s="49">
        <v>250</v>
      </c>
      <c r="J274" s="49">
        <v>250</v>
      </c>
      <c r="K274" s="49">
        <v>265</v>
      </c>
      <c r="L274" s="49">
        <v>265</v>
      </c>
      <c r="M274" s="49">
        <f>M273+0.25*K273</f>
        <v>295.75</v>
      </c>
      <c r="N274" s="49">
        <f>N273+0.25*L273</f>
        <v>295.75</v>
      </c>
      <c r="O274" s="49">
        <f>O273+M277</f>
        <v>246.43</v>
      </c>
    </row>
    <row r="275" spans="1:15" x14ac:dyDescent="0.2">
      <c r="A275" s="75" t="s">
        <v>19</v>
      </c>
      <c r="B275" s="49"/>
      <c r="C275" s="49"/>
      <c r="D275" s="49"/>
      <c r="E275" s="49"/>
      <c r="F275" s="49"/>
      <c r="G275" s="49"/>
      <c r="H275" s="48"/>
      <c r="I275" s="48"/>
      <c r="J275" s="48"/>
      <c r="K275" s="48"/>
      <c r="L275" s="48"/>
      <c r="M275" s="23"/>
      <c r="N275" s="23"/>
      <c r="O275" s="23"/>
    </row>
    <row r="276" spans="1:15" x14ac:dyDescent="0.2">
      <c r="A276" s="75" t="s">
        <v>20</v>
      </c>
      <c r="B276" s="49">
        <v>150</v>
      </c>
      <c r="C276" s="49">
        <v>101</v>
      </c>
      <c r="D276" s="49">
        <v>21</v>
      </c>
      <c r="E276" s="49">
        <v>81.085999999999999</v>
      </c>
      <c r="F276" s="49">
        <v>34.866999999999997</v>
      </c>
      <c r="G276" s="49">
        <v>20.963999999999999</v>
      </c>
      <c r="H276" s="48">
        <v>103.196</v>
      </c>
      <c r="I276" s="48">
        <v>123.654</v>
      </c>
      <c r="J276" s="48">
        <v>123.839</v>
      </c>
      <c r="K276" s="48">
        <v>129.16</v>
      </c>
      <c r="L276" s="48">
        <v>207.66</v>
      </c>
      <c r="M276" s="23">
        <v>291.32</v>
      </c>
      <c r="N276" s="23">
        <v>239.87</v>
      </c>
      <c r="O276" s="23"/>
    </row>
    <row r="277" spans="1:15" x14ac:dyDescent="0.2">
      <c r="A277" s="75" t="s">
        <v>21</v>
      </c>
      <c r="B277" s="49">
        <v>100</v>
      </c>
      <c r="C277" s="49">
        <v>149</v>
      </c>
      <c r="D277" s="49">
        <v>229</v>
      </c>
      <c r="E277" s="49">
        <v>168.91399999999999</v>
      </c>
      <c r="F277" s="49">
        <v>165.13300000000001</v>
      </c>
      <c r="G277" s="49">
        <v>229.036</v>
      </c>
      <c r="H277" s="48">
        <v>146.804</v>
      </c>
      <c r="I277" s="48">
        <v>126.364</v>
      </c>
      <c r="J277" s="48">
        <v>126.161</v>
      </c>
      <c r="K277" s="48">
        <v>135.84</v>
      </c>
      <c r="L277" s="48">
        <f>L274-L276</f>
        <v>57.34</v>
      </c>
      <c r="M277" s="48">
        <f>M274-M276</f>
        <v>4.4300000000000068</v>
      </c>
      <c r="N277" s="48">
        <f>N274-N276</f>
        <v>55.879999999999995</v>
      </c>
      <c r="O277" s="23"/>
    </row>
    <row r="278" spans="1:15" x14ac:dyDescent="0.2">
      <c r="A278" s="75" t="s">
        <v>22</v>
      </c>
      <c r="B278" s="64">
        <v>2012</v>
      </c>
      <c r="C278" s="64">
        <v>2013</v>
      </c>
      <c r="D278" s="64">
        <v>2014</v>
      </c>
      <c r="E278" s="64">
        <v>2015</v>
      </c>
      <c r="F278" s="64">
        <v>2016</v>
      </c>
      <c r="G278" s="64">
        <v>2017</v>
      </c>
      <c r="H278" s="55">
        <v>2018</v>
      </c>
      <c r="I278" s="55">
        <v>2019</v>
      </c>
      <c r="J278" s="55">
        <v>2020</v>
      </c>
      <c r="K278" s="55">
        <v>2021</v>
      </c>
      <c r="L278" s="55">
        <v>2022</v>
      </c>
      <c r="M278" s="55">
        <v>2023</v>
      </c>
      <c r="N278" s="55">
        <v>2024</v>
      </c>
      <c r="O278" s="55">
        <v>2025</v>
      </c>
    </row>
    <row r="279" spans="1:15" x14ac:dyDescent="0.2">
      <c r="A279" s="748" t="s">
        <v>154</v>
      </c>
      <c r="B279" s="749"/>
      <c r="C279" s="749"/>
      <c r="D279" s="749"/>
      <c r="E279" s="749"/>
      <c r="F279" s="749"/>
      <c r="G279" s="749"/>
      <c r="H279" s="749"/>
      <c r="I279" s="749"/>
      <c r="J279" s="749"/>
      <c r="K279" s="749"/>
      <c r="L279" s="749"/>
      <c r="M279" s="749"/>
      <c r="N279" s="749"/>
      <c r="O279" s="750"/>
    </row>
    <row r="280" spans="1:15" x14ac:dyDescent="0.2">
      <c r="A280" s="77" t="s">
        <v>329</v>
      </c>
      <c r="B280" s="30"/>
      <c r="C280" s="30"/>
      <c r="D280" s="30"/>
      <c r="E280" s="30"/>
      <c r="F280" s="30"/>
      <c r="G280" s="30"/>
      <c r="H280" s="30"/>
      <c r="I280" s="30"/>
      <c r="J280" s="30"/>
      <c r="K280" s="30"/>
      <c r="L280" s="30"/>
      <c r="M280" s="30"/>
      <c r="N280" s="31"/>
    </row>
    <row r="281" spans="1:15" x14ac:dyDescent="0.2">
      <c r="A281" s="78" t="s">
        <v>376</v>
      </c>
      <c r="N281" s="21"/>
    </row>
    <row r="282" spans="1:15" x14ac:dyDescent="0.2">
      <c r="A282" s="78" t="s">
        <v>377</v>
      </c>
      <c r="N282" s="21"/>
    </row>
    <row r="283" spans="1:15" x14ac:dyDescent="0.2">
      <c r="A283" s="78" t="s">
        <v>438</v>
      </c>
      <c r="N283" s="21"/>
    </row>
    <row r="284" spans="1:15" x14ac:dyDescent="0.2">
      <c r="A284" s="78" t="s">
        <v>622</v>
      </c>
      <c r="N284" s="21"/>
    </row>
    <row r="285" spans="1:15" x14ac:dyDescent="0.2">
      <c r="A285" s="60" t="s">
        <v>824</v>
      </c>
      <c r="B285" s="33"/>
      <c r="C285" s="33"/>
      <c r="D285" s="33"/>
      <c r="E285" s="33"/>
      <c r="F285" s="33"/>
      <c r="G285" s="33"/>
      <c r="H285" s="33"/>
      <c r="I285" s="33"/>
      <c r="J285" s="33"/>
      <c r="K285" s="33"/>
      <c r="L285" s="33"/>
      <c r="M285" s="33"/>
      <c r="N285" s="34"/>
    </row>
    <row r="287" spans="1:15" x14ac:dyDescent="0.2">
      <c r="A287" s="41" t="s">
        <v>14</v>
      </c>
      <c r="B287" s="41" t="s">
        <v>657</v>
      </c>
      <c r="C287" s="41" t="s">
        <v>15</v>
      </c>
    </row>
    <row r="288" spans="1:15" x14ac:dyDescent="0.2">
      <c r="A288" s="75" t="s">
        <v>16</v>
      </c>
      <c r="B288" s="76">
        <v>2010</v>
      </c>
      <c r="C288" s="76">
        <v>2011</v>
      </c>
      <c r="D288" s="76">
        <v>2012</v>
      </c>
      <c r="E288" s="76">
        <v>2013</v>
      </c>
      <c r="F288" s="76">
        <v>2014</v>
      </c>
      <c r="G288" s="76">
        <v>2015</v>
      </c>
      <c r="H288" s="76">
        <v>2016</v>
      </c>
      <c r="I288" s="76">
        <v>2017</v>
      </c>
      <c r="J288" s="76">
        <v>2018</v>
      </c>
      <c r="K288" s="76">
        <v>2019</v>
      </c>
      <c r="L288" s="76">
        <v>2020</v>
      </c>
      <c r="M288" s="52">
        <v>2021</v>
      </c>
      <c r="N288" s="52">
        <v>2022</v>
      </c>
      <c r="O288" s="52">
        <v>2023</v>
      </c>
    </row>
    <row r="289" spans="1:15" x14ac:dyDescent="0.2">
      <c r="A289" s="75" t="s">
        <v>17</v>
      </c>
      <c r="B289" s="49">
        <v>100</v>
      </c>
      <c r="C289" s="49">
        <v>100</v>
      </c>
      <c r="D289" s="49">
        <v>100</v>
      </c>
      <c r="E289" s="49">
        <v>100</v>
      </c>
      <c r="F289" s="49">
        <v>100</v>
      </c>
      <c r="G289" s="49">
        <v>100</v>
      </c>
      <c r="H289" s="48">
        <v>100</v>
      </c>
      <c r="I289" s="49">
        <v>200</v>
      </c>
      <c r="J289" s="48">
        <v>200</v>
      </c>
      <c r="K289" s="49">
        <v>200</v>
      </c>
      <c r="L289" s="49">
        <v>200</v>
      </c>
      <c r="M289" s="48">
        <v>200</v>
      </c>
      <c r="N289" s="48">
        <v>200</v>
      </c>
      <c r="O289" s="240">
        <v>240</v>
      </c>
    </row>
    <row r="290" spans="1:15" x14ac:dyDescent="0.2">
      <c r="A290" s="75" t="s">
        <v>18</v>
      </c>
      <c r="B290" s="49">
        <v>100</v>
      </c>
      <c r="C290" s="49">
        <v>100</v>
      </c>
      <c r="D290" s="49">
        <v>100</v>
      </c>
      <c r="E290" s="49">
        <v>100</v>
      </c>
      <c r="F290" s="49">
        <v>100</v>
      </c>
      <c r="G290" s="49">
        <v>125</v>
      </c>
      <c r="H290" s="48">
        <v>125</v>
      </c>
      <c r="I290" s="49">
        <f>200+G293</f>
        <v>204.595</v>
      </c>
      <c r="J290" s="49">
        <v>250</v>
      </c>
      <c r="K290" s="49">
        <f>K289+I293</f>
        <v>220.04499999999999</v>
      </c>
      <c r="L290" s="49">
        <v>250</v>
      </c>
      <c r="M290" s="48">
        <f>M289*1.25</f>
        <v>250</v>
      </c>
      <c r="N290" s="48">
        <f>N289*1.25</f>
        <v>250</v>
      </c>
      <c r="O290" s="240">
        <f>O289+0.25*M289</f>
        <v>290</v>
      </c>
    </row>
    <row r="291" spans="1:15" x14ac:dyDescent="0.2">
      <c r="A291" s="75" t="s">
        <v>19</v>
      </c>
      <c r="B291" s="150"/>
      <c r="C291" s="150"/>
      <c r="D291" s="150"/>
      <c r="E291" s="150"/>
      <c r="F291" s="150"/>
      <c r="G291" s="150"/>
      <c r="H291" s="23"/>
      <c r="I291" s="23"/>
      <c r="J291" s="23"/>
      <c r="K291" s="23"/>
      <c r="L291" s="23"/>
      <c r="M291" s="23"/>
      <c r="N291" s="23"/>
      <c r="O291" s="46"/>
    </row>
    <row r="292" spans="1:15" x14ac:dyDescent="0.2">
      <c r="A292" s="75" t="s">
        <v>20</v>
      </c>
      <c r="B292" s="49">
        <v>100</v>
      </c>
      <c r="C292" s="49">
        <v>80.05</v>
      </c>
      <c r="D292" s="49">
        <v>61.02</v>
      </c>
      <c r="E292" s="49">
        <v>65.126999999999995</v>
      </c>
      <c r="F292" s="49">
        <v>33.822000000000003</v>
      </c>
      <c r="G292" s="49">
        <v>120.405</v>
      </c>
      <c r="H292" s="48">
        <v>94.369</v>
      </c>
      <c r="I292" s="48">
        <v>184.55</v>
      </c>
      <c r="J292" s="48">
        <v>116.455</v>
      </c>
      <c r="K292" s="48">
        <v>132.07</v>
      </c>
      <c r="L292" s="48">
        <v>183.94</v>
      </c>
      <c r="M292" s="48">
        <v>9.66</v>
      </c>
      <c r="N292" s="48">
        <v>31.19</v>
      </c>
      <c r="O292" s="48"/>
    </row>
    <row r="293" spans="1:15" x14ac:dyDescent="0.2">
      <c r="A293" s="75" t="s">
        <v>21</v>
      </c>
      <c r="B293" s="49">
        <f>B290-B292</f>
        <v>0</v>
      </c>
      <c r="C293" s="49">
        <f t="shared" ref="C293:N293" si="16">C290-C292</f>
        <v>19.950000000000003</v>
      </c>
      <c r="D293" s="49">
        <f t="shared" si="16"/>
        <v>38.979999999999997</v>
      </c>
      <c r="E293" s="49">
        <f t="shared" si="16"/>
        <v>34.873000000000005</v>
      </c>
      <c r="F293" s="49">
        <f t="shared" si="16"/>
        <v>66.177999999999997</v>
      </c>
      <c r="G293" s="49">
        <f t="shared" si="16"/>
        <v>4.5949999999999989</v>
      </c>
      <c r="H293" s="49">
        <f t="shared" si="16"/>
        <v>30.631</v>
      </c>
      <c r="I293" s="49">
        <f t="shared" si="16"/>
        <v>20.044999999999987</v>
      </c>
      <c r="J293" s="49">
        <f t="shared" si="16"/>
        <v>133.54500000000002</v>
      </c>
      <c r="K293" s="49">
        <f t="shared" si="16"/>
        <v>87.974999999999994</v>
      </c>
      <c r="L293" s="49">
        <f t="shared" si="16"/>
        <v>66.06</v>
      </c>
      <c r="M293" s="49">
        <f t="shared" si="16"/>
        <v>240.34</v>
      </c>
      <c r="N293" s="49">
        <f t="shared" si="16"/>
        <v>218.81</v>
      </c>
      <c r="O293" s="48"/>
    </row>
    <row r="294" spans="1:15" x14ac:dyDescent="0.2">
      <c r="A294" s="151" t="s">
        <v>22</v>
      </c>
      <c r="B294" s="152">
        <v>2012</v>
      </c>
      <c r="C294" s="152">
        <v>2013</v>
      </c>
      <c r="D294" s="152">
        <v>2014</v>
      </c>
      <c r="E294" s="152">
        <v>2015</v>
      </c>
      <c r="F294" s="152">
        <v>2016</v>
      </c>
      <c r="G294" s="152">
        <v>2017</v>
      </c>
      <c r="H294" s="58">
        <v>2018</v>
      </c>
      <c r="I294" s="58">
        <v>2019</v>
      </c>
      <c r="J294" s="58">
        <v>2020</v>
      </c>
      <c r="K294" s="58">
        <v>2021</v>
      </c>
      <c r="L294" s="58">
        <v>2022</v>
      </c>
      <c r="M294" s="58">
        <v>2023</v>
      </c>
      <c r="N294" s="58">
        <v>2024</v>
      </c>
      <c r="O294" s="58">
        <v>2025</v>
      </c>
    </row>
    <row r="295" spans="1:15" x14ac:dyDescent="0.2">
      <c r="A295" s="47" t="s">
        <v>154</v>
      </c>
      <c r="B295" s="59"/>
      <c r="C295" s="59"/>
      <c r="D295" s="59"/>
      <c r="E295" s="59"/>
      <c r="F295" s="59"/>
      <c r="G295" s="59"/>
      <c r="H295" s="59"/>
      <c r="I295" s="59"/>
      <c r="J295" s="59"/>
      <c r="K295" s="59"/>
      <c r="L295" s="59"/>
      <c r="M295" s="59"/>
      <c r="N295" s="59"/>
      <c r="O295" s="57"/>
    </row>
    <row r="296" spans="1:15" x14ac:dyDescent="0.2">
      <c r="A296" s="77" t="s">
        <v>155</v>
      </c>
      <c r="B296" s="30"/>
      <c r="C296" s="30"/>
      <c r="D296" s="30"/>
      <c r="E296" s="30"/>
      <c r="F296" s="30"/>
      <c r="G296" s="30"/>
      <c r="H296" s="30"/>
      <c r="I296" s="30"/>
      <c r="J296" s="30"/>
      <c r="K296" s="30"/>
      <c r="L296" s="30"/>
      <c r="M296" s="30"/>
      <c r="N296" s="30"/>
      <c r="O296" s="31"/>
    </row>
    <row r="297" spans="1:15" x14ac:dyDescent="0.2">
      <c r="A297" s="78" t="s">
        <v>337</v>
      </c>
      <c r="O297" s="21"/>
    </row>
    <row r="298" spans="1:15" x14ac:dyDescent="0.2">
      <c r="A298" s="78" t="s">
        <v>156</v>
      </c>
      <c r="O298" s="21"/>
    </row>
    <row r="299" spans="1:15" x14ac:dyDescent="0.2">
      <c r="A299" s="78" t="s">
        <v>338</v>
      </c>
      <c r="O299" s="21"/>
    </row>
    <row r="300" spans="1:15" x14ac:dyDescent="0.2">
      <c r="A300" s="78" t="s">
        <v>439</v>
      </c>
      <c r="O300" s="21"/>
    </row>
    <row r="301" spans="1:15" x14ac:dyDescent="0.2">
      <c r="A301" s="78" t="s">
        <v>587</v>
      </c>
      <c r="O301" s="21"/>
    </row>
    <row r="302" spans="1:15" x14ac:dyDescent="0.2">
      <c r="A302" s="60" t="s">
        <v>825</v>
      </c>
      <c r="B302" s="33"/>
      <c r="C302" s="33"/>
      <c r="D302" s="33"/>
      <c r="E302" s="33"/>
      <c r="F302" s="33"/>
      <c r="G302" s="33"/>
      <c r="H302" s="33"/>
      <c r="I302" s="33"/>
      <c r="J302" s="33"/>
      <c r="K302" s="33"/>
      <c r="L302" s="33"/>
      <c r="M302" s="33"/>
      <c r="N302" s="33"/>
      <c r="O302" s="34"/>
    </row>
    <row r="304" spans="1:15" x14ac:dyDescent="0.2">
      <c r="A304" s="96" t="s">
        <v>14</v>
      </c>
      <c r="B304" s="56" t="s">
        <v>637</v>
      </c>
      <c r="C304" s="56" t="s">
        <v>15</v>
      </c>
    </row>
    <row r="305" spans="1:15" x14ac:dyDescent="0.2">
      <c r="A305" s="153" t="s">
        <v>16</v>
      </c>
      <c r="B305" s="154">
        <v>2010</v>
      </c>
      <c r="C305" s="76">
        <v>2011</v>
      </c>
      <c r="D305" s="76">
        <v>2012</v>
      </c>
      <c r="E305" s="76">
        <v>2013</v>
      </c>
      <c r="F305" s="76">
        <v>2014</v>
      </c>
      <c r="G305" s="76">
        <v>2015</v>
      </c>
      <c r="H305" s="76">
        <v>2016</v>
      </c>
      <c r="I305" s="76">
        <v>2017</v>
      </c>
      <c r="J305" s="76">
        <v>2018</v>
      </c>
      <c r="K305" s="76">
        <v>2019</v>
      </c>
      <c r="L305" s="76">
        <v>2020</v>
      </c>
      <c r="M305" s="52">
        <v>2021</v>
      </c>
      <c r="N305" s="52">
        <v>2022</v>
      </c>
      <c r="O305" s="52">
        <v>2023</v>
      </c>
    </row>
    <row r="306" spans="1:15" x14ac:dyDescent="0.2">
      <c r="A306" s="75" t="s">
        <v>17</v>
      </c>
      <c r="B306" s="49">
        <v>75</v>
      </c>
      <c r="C306" s="49">
        <v>75</v>
      </c>
      <c r="D306" s="49">
        <v>75</v>
      </c>
      <c r="E306" s="49">
        <v>75</v>
      </c>
      <c r="F306" s="49">
        <v>75</v>
      </c>
      <c r="G306" s="49">
        <v>75</v>
      </c>
      <c r="H306" s="49">
        <v>75</v>
      </c>
      <c r="I306" s="49">
        <v>75</v>
      </c>
      <c r="J306" s="48">
        <v>100</v>
      </c>
      <c r="K306" s="49">
        <v>100</v>
      </c>
      <c r="L306" s="49">
        <v>100</v>
      </c>
      <c r="M306" s="48">
        <v>100</v>
      </c>
      <c r="N306" s="48">
        <v>100</v>
      </c>
      <c r="O306" s="48">
        <v>100</v>
      </c>
    </row>
    <row r="307" spans="1:15" x14ac:dyDescent="0.2">
      <c r="A307" s="75" t="s">
        <v>18</v>
      </c>
      <c r="B307" s="49">
        <v>79</v>
      </c>
      <c r="C307" s="49">
        <v>80</v>
      </c>
      <c r="D307" s="49">
        <v>105.3</v>
      </c>
      <c r="E307" s="49">
        <v>100</v>
      </c>
      <c r="F307" s="49">
        <v>100</v>
      </c>
      <c r="G307" s="48">
        <v>104.054</v>
      </c>
      <c r="H307" s="49">
        <v>137.5</v>
      </c>
      <c r="I307" s="49">
        <v>88</v>
      </c>
      <c r="J307" s="48">
        <v>90.442999999999998</v>
      </c>
      <c r="K307" s="49">
        <f>K306-12.726+6.69</f>
        <v>93.963999999999999</v>
      </c>
      <c r="L307" s="49">
        <v>103.95</v>
      </c>
      <c r="M307" s="48">
        <f>M306+K310</f>
        <v>102.404</v>
      </c>
      <c r="N307" s="48">
        <f>N306+L310</f>
        <v>107.78</v>
      </c>
      <c r="O307" s="48">
        <f>O306+0.15*M306</f>
        <v>115</v>
      </c>
    </row>
    <row r="308" spans="1:15" x14ac:dyDescent="0.2">
      <c r="A308" s="75" t="s">
        <v>19</v>
      </c>
      <c r="B308" s="49"/>
      <c r="C308" s="49"/>
      <c r="D308" s="49"/>
      <c r="E308" s="49"/>
      <c r="F308" s="49"/>
      <c r="G308" s="48"/>
      <c r="H308" s="48"/>
      <c r="I308" s="48"/>
      <c r="J308" s="54"/>
      <c r="K308" s="48"/>
      <c r="L308" s="48"/>
      <c r="M308" s="48"/>
      <c r="N308" s="48"/>
      <c r="O308" s="48"/>
    </row>
    <row r="309" spans="1:15" x14ac:dyDescent="0.2">
      <c r="A309" s="75" t="s">
        <v>20</v>
      </c>
      <c r="B309" s="49">
        <v>74</v>
      </c>
      <c r="C309" s="49">
        <v>74.7</v>
      </c>
      <c r="D309" s="49">
        <v>59</v>
      </c>
      <c r="E309" s="49">
        <v>95.945999999999998</v>
      </c>
      <c r="F309" s="49">
        <v>60.292999999999999</v>
      </c>
      <c r="G309" s="48">
        <v>140.78</v>
      </c>
      <c r="H309" s="48">
        <v>135.05699999999999</v>
      </c>
      <c r="I309" s="48">
        <v>81.31</v>
      </c>
      <c r="J309" s="48">
        <v>86.498000000000005</v>
      </c>
      <c r="K309" s="48">
        <v>91.56</v>
      </c>
      <c r="L309" s="48">
        <v>96.17</v>
      </c>
      <c r="M309" s="48">
        <v>58.583999999999996</v>
      </c>
      <c r="N309" s="48">
        <v>37.61</v>
      </c>
      <c r="O309" s="48"/>
    </row>
    <row r="310" spans="1:15" x14ac:dyDescent="0.2">
      <c r="A310" s="75" t="s">
        <v>21</v>
      </c>
      <c r="B310" s="49">
        <v>5</v>
      </c>
      <c r="C310" s="49">
        <v>5.3</v>
      </c>
      <c r="D310" s="49">
        <v>46.3</v>
      </c>
      <c r="E310" s="49">
        <v>4.0540000000000003</v>
      </c>
      <c r="F310" s="49">
        <v>39.707000000000001</v>
      </c>
      <c r="G310" s="48">
        <v>-36.725999999999999</v>
      </c>
      <c r="H310" s="48">
        <v>2.4430000000000001</v>
      </c>
      <c r="I310" s="48">
        <v>6.6899999999999977</v>
      </c>
      <c r="J310" s="48">
        <v>3.9449999999999998</v>
      </c>
      <c r="K310" s="48">
        <f>K307-K309</f>
        <v>2.4039999999999964</v>
      </c>
      <c r="L310" s="48">
        <f>L307-L309</f>
        <v>7.7800000000000011</v>
      </c>
      <c r="M310" s="48">
        <f>M307-M309</f>
        <v>43.82</v>
      </c>
      <c r="N310" s="48">
        <f>N307-N309</f>
        <v>70.17</v>
      </c>
      <c r="O310" s="48"/>
    </row>
    <row r="311" spans="1:15" x14ac:dyDescent="0.2">
      <c r="A311" s="151" t="s">
        <v>22</v>
      </c>
      <c r="B311" s="152">
        <v>2011</v>
      </c>
      <c r="C311" s="152">
        <v>2012</v>
      </c>
      <c r="D311" s="152">
        <v>2014</v>
      </c>
      <c r="E311" s="152">
        <v>2015</v>
      </c>
      <c r="F311" s="152">
        <v>2016</v>
      </c>
      <c r="G311" s="58">
        <v>2017</v>
      </c>
      <c r="H311" s="58">
        <v>2018</v>
      </c>
      <c r="I311" s="58">
        <v>2019</v>
      </c>
      <c r="J311" s="58">
        <v>2020</v>
      </c>
      <c r="K311" s="58">
        <v>2021</v>
      </c>
      <c r="L311" s="58">
        <v>2022</v>
      </c>
      <c r="M311" s="36">
        <v>2023</v>
      </c>
      <c r="N311" s="36">
        <v>2024</v>
      </c>
      <c r="O311" s="36">
        <v>2025</v>
      </c>
    </row>
    <row r="312" spans="1:15" x14ac:dyDescent="0.2">
      <c r="A312" s="748" t="s">
        <v>154</v>
      </c>
      <c r="B312" s="749"/>
      <c r="C312" s="749"/>
      <c r="D312" s="749"/>
      <c r="E312" s="749"/>
      <c r="F312" s="749"/>
      <c r="G312" s="749"/>
      <c r="H312" s="749"/>
      <c r="I312" s="749"/>
      <c r="J312" s="749"/>
      <c r="K312" s="749"/>
      <c r="L312" s="749"/>
      <c r="M312" s="749"/>
      <c r="N312" s="749"/>
      <c r="O312" s="750"/>
    </row>
    <row r="313" spans="1:15" x14ac:dyDescent="0.2">
      <c r="A313" s="748" t="s">
        <v>440</v>
      </c>
      <c r="B313" s="749"/>
      <c r="C313" s="749"/>
      <c r="D313" s="749"/>
      <c r="E313" s="749"/>
      <c r="F313" s="749"/>
      <c r="G313" s="749"/>
      <c r="H313" s="749"/>
      <c r="I313" s="749"/>
      <c r="J313" s="749"/>
      <c r="K313" s="749"/>
      <c r="L313" s="749"/>
      <c r="M313" s="749"/>
      <c r="N313" s="30"/>
      <c r="O313" s="31"/>
    </row>
    <row r="314" spans="1:15" x14ac:dyDescent="0.2">
      <c r="A314" s="78" t="s">
        <v>339</v>
      </c>
      <c r="O314" s="21"/>
    </row>
    <row r="315" spans="1:15" x14ac:dyDescent="0.2">
      <c r="A315" s="20" t="s">
        <v>157</v>
      </c>
      <c r="O315" s="21"/>
    </row>
    <row r="316" spans="1:15" x14ac:dyDescent="0.2">
      <c r="A316" s="20" t="s">
        <v>441</v>
      </c>
      <c r="O316" s="21"/>
    </row>
    <row r="317" spans="1:15" x14ac:dyDescent="0.2">
      <c r="A317" s="20" t="s">
        <v>442</v>
      </c>
      <c r="O317" s="21"/>
    </row>
    <row r="318" spans="1:15" x14ac:dyDescent="0.2">
      <c r="A318" s="20" t="s">
        <v>623</v>
      </c>
      <c r="O318" s="21"/>
    </row>
    <row r="319" spans="1:15" x14ac:dyDescent="0.2">
      <c r="A319" s="32" t="s">
        <v>826</v>
      </c>
      <c r="B319" s="33"/>
      <c r="C319" s="33"/>
      <c r="D319" s="33"/>
      <c r="E319" s="33"/>
      <c r="F319" s="33"/>
      <c r="G319" s="33"/>
      <c r="H319" s="33"/>
      <c r="I319" s="33"/>
      <c r="J319" s="33"/>
      <c r="K319" s="33"/>
      <c r="L319" s="33"/>
      <c r="M319" s="33"/>
      <c r="N319" s="33"/>
      <c r="O319" s="34"/>
    </row>
    <row r="321" spans="1:15" x14ac:dyDescent="0.2">
      <c r="A321" s="96" t="s">
        <v>14</v>
      </c>
      <c r="B321" s="56" t="s">
        <v>660</v>
      </c>
      <c r="C321" s="56" t="s">
        <v>15</v>
      </c>
    </row>
    <row r="322" spans="1:15" x14ac:dyDescent="0.2">
      <c r="A322" s="75" t="s">
        <v>16</v>
      </c>
      <c r="B322" s="76">
        <v>2010</v>
      </c>
      <c r="C322" s="76">
        <v>2011</v>
      </c>
      <c r="D322" s="76">
        <v>2012</v>
      </c>
      <c r="E322" s="76">
        <v>2013</v>
      </c>
      <c r="F322" s="76">
        <v>2014</v>
      </c>
      <c r="G322" s="76">
        <v>2015</v>
      </c>
      <c r="H322" s="76">
        <v>2016</v>
      </c>
      <c r="I322" s="76">
        <v>2017</v>
      </c>
      <c r="J322" s="52">
        <v>2018</v>
      </c>
      <c r="K322" s="76">
        <v>2019</v>
      </c>
      <c r="L322" s="76">
        <v>2020</v>
      </c>
      <c r="M322" s="52">
        <v>2021</v>
      </c>
      <c r="N322" s="52">
        <v>2022</v>
      </c>
      <c r="O322" s="52">
        <v>2023</v>
      </c>
    </row>
    <row r="323" spans="1:15" x14ac:dyDescent="0.2">
      <c r="A323" s="75" t="s">
        <v>17</v>
      </c>
      <c r="B323" s="49">
        <v>263</v>
      </c>
      <c r="C323" s="49">
        <v>263</v>
      </c>
      <c r="D323" s="49">
        <v>263</v>
      </c>
      <c r="E323" s="49">
        <v>263</v>
      </c>
      <c r="F323" s="49">
        <v>263</v>
      </c>
      <c r="G323" s="49">
        <v>263</v>
      </c>
      <c r="H323" s="49">
        <v>263</v>
      </c>
      <c r="I323" s="49">
        <v>313</v>
      </c>
      <c r="J323" s="48">
        <v>313</v>
      </c>
      <c r="K323" s="49">
        <v>313</v>
      </c>
      <c r="L323" s="49">
        <v>313</v>
      </c>
      <c r="M323" s="49">
        <v>313</v>
      </c>
      <c r="N323" s="49">
        <v>313</v>
      </c>
      <c r="O323" s="49">
        <v>313</v>
      </c>
    </row>
    <row r="324" spans="1:15" x14ac:dyDescent="0.2">
      <c r="A324" s="75" t="s">
        <v>18</v>
      </c>
      <c r="B324" s="49">
        <v>393</v>
      </c>
      <c r="C324" s="49">
        <v>362</v>
      </c>
      <c r="D324" s="49">
        <v>377.49</v>
      </c>
      <c r="E324" s="49">
        <v>263</v>
      </c>
      <c r="F324" s="49">
        <v>324.99</v>
      </c>
      <c r="G324" s="48">
        <v>330.03800000000001</v>
      </c>
      <c r="H324" s="49">
        <v>341.9</v>
      </c>
      <c r="I324" s="49">
        <v>315.34399999999999</v>
      </c>
      <c r="J324" s="48">
        <v>391.9</v>
      </c>
      <c r="K324" s="49">
        <v>326.76</v>
      </c>
      <c r="L324" s="49">
        <v>350.05</v>
      </c>
      <c r="M324" s="23">
        <f>M323+0.2*K323</f>
        <v>375.6</v>
      </c>
      <c r="N324" s="23">
        <f>N323+0.2*L323</f>
        <v>375.6</v>
      </c>
      <c r="O324" s="23">
        <f>O323+0.1*M323</f>
        <v>344.3</v>
      </c>
    </row>
    <row r="325" spans="1:15" x14ac:dyDescent="0.2">
      <c r="A325" s="75" t="s">
        <v>19</v>
      </c>
      <c r="B325" s="49"/>
      <c r="C325" s="49"/>
      <c r="D325" s="49"/>
      <c r="E325" s="49"/>
      <c r="F325" s="49"/>
      <c r="G325" s="48"/>
      <c r="H325" s="48"/>
      <c r="I325" s="48"/>
      <c r="J325" s="48"/>
      <c r="K325" s="48"/>
      <c r="L325" s="48"/>
      <c r="M325" s="22"/>
      <c r="N325" s="22"/>
      <c r="O325" s="22"/>
    </row>
    <row r="326" spans="1:15" x14ac:dyDescent="0.2">
      <c r="A326" s="75" t="s">
        <v>20</v>
      </c>
      <c r="B326" s="49">
        <v>294</v>
      </c>
      <c r="C326" s="49">
        <v>247.51</v>
      </c>
      <c r="D326" s="49">
        <v>315.5</v>
      </c>
      <c r="E326" s="49">
        <v>195.96199999999999</v>
      </c>
      <c r="F326" s="49">
        <v>205.89400000000001</v>
      </c>
      <c r="G326" s="48">
        <v>327.69600000000003</v>
      </c>
      <c r="H326" s="48">
        <v>222.22</v>
      </c>
      <c r="I326" s="48">
        <v>301.58</v>
      </c>
      <c r="J326" s="48">
        <v>354.85</v>
      </c>
      <c r="K326" s="48">
        <v>210.91</v>
      </c>
      <c r="L326" s="48">
        <v>88.54</v>
      </c>
      <c r="M326" s="22">
        <v>36.729999999999997</v>
      </c>
      <c r="N326" s="22">
        <v>187.61</v>
      </c>
      <c r="O326" s="22"/>
    </row>
    <row r="327" spans="1:15" x14ac:dyDescent="0.2">
      <c r="A327" s="75" t="s">
        <v>21</v>
      </c>
      <c r="B327" s="49">
        <v>99</v>
      </c>
      <c r="C327" s="49">
        <v>114.49</v>
      </c>
      <c r="D327" s="49">
        <v>61.99</v>
      </c>
      <c r="E327" s="49">
        <v>67.037999999999997</v>
      </c>
      <c r="F327" s="49">
        <v>119.096</v>
      </c>
      <c r="G327" s="48">
        <v>2.3439999999999999</v>
      </c>
      <c r="H327" s="48">
        <v>119.68</v>
      </c>
      <c r="I327" s="48">
        <v>13.759999999999991</v>
      </c>
      <c r="J327" s="48">
        <v>37.049999999999997</v>
      </c>
      <c r="K327" s="48">
        <f>K324-K326</f>
        <v>115.85</v>
      </c>
      <c r="L327" s="48">
        <f>L324-L326</f>
        <v>261.51</v>
      </c>
      <c r="M327" s="48">
        <f>M324-M326</f>
        <v>338.87</v>
      </c>
      <c r="N327" s="48">
        <f>N324-N326</f>
        <v>187.99</v>
      </c>
      <c r="O327" s="48"/>
    </row>
    <row r="328" spans="1:15" x14ac:dyDescent="0.2">
      <c r="A328" s="151" t="s">
        <v>22</v>
      </c>
      <c r="B328" s="273">
        <v>2011</v>
      </c>
      <c r="C328" s="273">
        <v>2012</v>
      </c>
      <c r="D328" s="273">
        <v>2014</v>
      </c>
      <c r="E328" s="273">
        <v>2015</v>
      </c>
      <c r="F328" s="273">
        <v>2016</v>
      </c>
      <c r="G328" s="84">
        <v>2017</v>
      </c>
      <c r="H328" s="84">
        <v>2018</v>
      </c>
      <c r="I328" s="84">
        <v>2019</v>
      </c>
      <c r="J328" s="84">
        <v>2020</v>
      </c>
      <c r="K328" s="84">
        <v>2021</v>
      </c>
      <c r="L328" s="84">
        <v>2022</v>
      </c>
      <c r="M328" s="232">
        <v>2023</v>
      </c>
      <c r="N328" s="232">
        <v>2024</v>
      </c>
      <c r="O328" s="232">
        <v>2025</v>
      </c>
    </row>
    <row r="329" spans="1:15" x14ac:dyDescent="0.2">
      <c r="A329" s="748" t="s">
        <v>154</v>
      </c>
      <c r="B329" s="749"/>
      <c r="C329" s="749"/>
      <c r="D329" s="749"/>
      <c r="E329" s="749"/>
      <c r="F329" s="749"/>
      <c r="G329" s="749"/>
      <c r="H329" s="749"/>
      <c r="I329" s="749"/>
      <c r="J329" s="749"/>
      <c r="K329" s="749"/>
      <c r="L329" s="749"/>
      <c r="M329" s="749"/>
      <c r="N329" s="749"/>
      <c r="O329" s="750"/>
    </row>
    <row r="330" spans="1:15" x14ac:dyDescent="0.2">
      <c r="A330" s="77" t="s">
        <v>158</v>
      </c>
      <c r="B330" s="30"/>
      <c r="C330" s="30"/>
      <c r="D330" s="30"/>
      <c r="E330" s="30"/>
      <c r="F330" s="30"/>
      <c r="G330" s="30"/>
      <c r="H330" s="30"/>
      <c r="I330" s="30"/>
      <c r="J330" s="30"/>
      <c r="K330" s="30"/>
      <c r="L330" s="30"/>
      <c r="M330" s="30"/>
      <c r="N330" s="30"/>
      <c r="O330" s="31"/>
    </row>
    <row r="331" spans="1:15" x14ac:dyDescent="0.2">
      <c r="A331" s="78" t="s">
        <v>340</v>
      </c>
      <c r="O331" s="21"/>
    </row>
    <row r="332" spans="1:15" x14ac:dyDescent="0.2">
      <c r="A332" s="78" t="s">
        <v>341</v>
      </c>
      <c r="O332" s="21"/>
    </row>
    <row r="333" spans="1:15" x14ac:dyDescent="0.2">
      <c r="A333" s="78" t="s">
        <v>443</v>
      </c>
      <c r="O333" s="21"/>
    </row>
    <row r="334" spans="1:15" x14ac:dyDescent="0.2">
      <c r="A334" s="78" t="s">
        <v>624</v>
      </c>
      <c r="O334" s="21"/>
    </row>
    <row r="335" spans="1:15" x14ac:dyDescent="0.2">
      <c r="A335" s="32" t="s">
        <v>827</v>
      </c>
      <c r="B335" s="33"/>
      <c r="C335" s="33"/>
      <c r="D335" s="33"/>
      <c r="E335" s="33"/>
      <c r="F335" s="33"/>
      <c r="G335" s="33"/>
      <c r="H335" s="33"/>
      <c r="I335" s="33"/>
      <c r="J335" s="33"/>
      <c r="K335" s="33"/>
      <c r="L335" s="33"/>
      <c r="M335" s="33"/>
      <c r="N335" s="33"/>
      <c r="O335" s="34"/>
    </row>
    <row r="337" spans="1:15" x14ac:dyDescent="0.2">
      <c r="A337" s="96" t="s">
        <v>14</v>
      </c>
      <c r="B337" s="56" t="s">
        <v>66</v>
      </c>
      <c r="C337" s="56" t="s">
        <v>15</v>
      </c>
    </row>
    <row r="338" spans="1:15" x14ac:dyDescent="0.2">
      <c r="A338" s="153" t="s">
        <v>16</v>
      </c>
      <c r="B338" s="154">
        <v>2010</v>
      </c>
      <c r="C338" s="76">
        <v>2011</v>
      </c>
      <c r="D338" s="76">
        <v>2012</v>
      </c>
      <c r="E338" s="76">
        <v>2013</v>
      </c>
      <c r="F338" s="76">
        <v>2014</v>
      </c>
      <c r="G338" s="76">
        <v>2015</v>
      </c>
      <c r="H338" s="76">
        <v>2016</v>
      </c>
      <c r="I338" s="76">
        <v>2017</v>
      </c>
      <c r="J338" s="76">
        <v>2018</v>
      </c>
      <c r="K338" s="52">
        <v>2019</v>
      </c>
      <c r="L338" s="52">
        <v>2020</v>
      </c>
      <c r="M338" s="254">
        <v>2021</v>
      </c>
      <c r="N338" s="254">
        <v>2022</v>
      </c>
      <c r="O338" s="254">
        <v>2023</v>
      </c>
    </row>
    <row r="339" spans="1:15" x14ac:dyDescent="0.2">
      <c r="A339" s="75" t="s">
        <v>17</v>
      </c>
      <c r="B339" s="49">
        <v>5900</v>
      </c>
      <c r="C339" s="49">
        <v>5572</v>
      </c>
      <c r="D339" s="49">
        <v>5572</v>
      </c>
      <c r="E339" s="49">
        <v>5572</v>
      </c>
      <c r="F339" s="49">
        <v>5572</v>
      </c>
      <c r="G339" s="49">
        <v>5572</v>
      </c>
      <c r="H339" s="49">
        <v>5376</v>
      </c>
      <c r="I339" s="49">
        <v>5376</v>
      </c>
      <c r="J339" s="48">
        <v>5376</v>
      </c>
      <c r="K339" s="48">
        <v>5376</v>
      </c>
      <c r="L339" s="48">
        <v>4462.08</v>
      </c>
      <c r="M339" s="274">
        <v>4390.6867200000006</v>
      </c>
      <c r="N339" s="274">
        <v>4426.38</v>
      </c>
      <c r="O339" s="274">
        <v>4426.38</v>
      </c>
    </row>
    <row r="340" spans="1:15" x14ac:dyDescent="0.2">
      <c r="A340" s="75" t="s">
        <v>18</v>
      </c>
      <c r="B340" s="49">
        <v>9670</v>
      </c>
      <c r="C340" s="49">
        <v>8572</v>
      </c>
      <c r="D340" s="49">
        <v>10173</v>
      </c>
      <c r="E340" s="49">
        <v>8502</v>
      </c>
      <c r="F340" s="49">
        <v>10173.6</v>
      </c>
      <c r="G340" s="49">
        <v>10173.6</v>
      </c>
      <c r="H340" s="49">
        <v>7182.4</v>
      </c>
      <c r="I340" s="49">
        <v>7182.4</v>
      </c>
      <c r="J340" s="49">
        <v>7182.4</v>
      </c>
      <c r="K340" s="48">
        <v>7182.4</v>
      </c>
      <c r="L340" s="48">
        <f>L339+0.15*J339+600</f>
        <v>5868.48</v>
      </c>
      <c r="M340" s="274">
        <f>M339+0.1*K339+600</f>
        <v>5528.286720000001</v>
      </c>
      <c r="N340" s="274">
        <f>N339+0.1*L339+600</f>
        <v>5472.5879999999997</v>
      </c>
      <c r="O340" s="274">
        <f>O339+0.1*M339+600</f>
        <v>5465.4486720000004</v>
      </c>
    </row>
    <row r="341" spans="1:15" x14ac:dyDescent="0.2">
      <c r="A341" s="75" t="s">
        <v>19</v>
      </c>
      <c r="B341" s="75"/>
      <c r="C341" s="75"/>
      <c r="D341" s="75"/>
      <c r="E341" s="75"/>
      <c r="F341" s="75"/>
      <c r="G341" s="22"/>
      <c r="H341" s="22"/>
      <c r="I341" s="22"/>
      <c r="J341" s="53"/>
      <c r="K341" s="22"/>
      <c r="L341" s="22"/>
      <c r="M341" s="268"/>
      <c r="N341" s="268"/>
      <c r="O341" s="268"/>
    </row>
    <row r="342" spans="1:15" x14ac:dyDescent="0.2">
      <c r="A342" s="75" t="s">
        <v>20</v>
      </c>
      <c r="B342" s="49">
        <v>5489</v>
      </c>
      <c r="C342" s="49">
        <v>3720.78</v>
      </c>
      <c r="D342" s="49">
        <v>3231</v>
      </c>
      <c r="E342" s="49">
        <v>2371.0340000000001</v>
      </c>
      <c r="F342" s="49">
        <v>2231.75</v>
      </c>
      <c r="G342" s="48">
        <v>4941.848</v>
      </c>
      <c r="H342" s="48">
        <v>5852.39</v>
      </c>
      <c r="I342" s="48">
        <v>5514.3580000000002</v>
      </c>
      <c r="J342" s="48">
        <v>4823.0860000000002</v>
      </c>
      <c r="K342" s="48">
        <v>5718.49</v>
      </c>
      <c r="L342" s="48">
        <v>3613.58</v>
      </c>
      <c r="M342" s="274">
        <v>1638.49</v>
      </c>
      <c r="N342" s="274">
        <v>3248.94</v>
      </c>
      <c r="O342" s="274"/>
    </row>
    <row r="343" spans="1:15" x14ac:dyDescent="0.2">
      <c r="A343" s="75" t="s">
        <v>21</v>
      </c>
      <c r="B343" s="49">
        <v>4181</v>
      </c>
      <c r="C343" s="49">
        <v>4581.22</v>
      </c>
      <c r="D343" s="49">
        <v>6942</v>
      </c>
      <c r="E343" s="49">
        <v>6130.6959999999999</v>
      </c>
      <c r="F343" s="49">
        <v>7941.85</v>
      </c>
      <c r="G343" s="48">
        <v>5232.116</v>
      </c>
      <c r="H343" s="48">
        <v>1330.01</v>
      </c>
      <c r="I343" s="48">
        <v>1449.932</v>
      </c>
      <c r="J343" s="48">
        <v>2359.3139999999999</v>
      </c>
      <c r="K343" s="48">
        <f>K340-K342</f>
        <v>1463.9099999999999</v>
      </c>
      <c r="L343" s="48">
        <f>L340-L342</f>
        <v>2254.8999999999996</v>
      </c>
      <c r="M343" s="48">
        <f>M340-M342</f>
        <v>3889.7967200000012</v>
      </c>
      <c r="N343" s="48">
        <f>N340-N342</f>
        <v>2223.6479999999997</v>
      </c>
      <c r="O343" s="274"/>
    </row>
    <row r="344" spans="1:15" x14ac:dyDescent="0.2">
      <c r="A344" s="151" t="s">
        <v>22</v>
      </c>
      <c r="B344" s="151">
        <v>2012</v>
      </c>
      <c r="C344" s="151">
        <v>2013</v>
      </c>
      <c r="D344" s="151">
        <v>2014</v>
      </c>
      <c r="E344" s="151">
        <v>2015</v>
      </c>
      <c r="F344" s="151">
        <v>2016</v>
      </c>
      <c r="G344" s="36">
        <v>2017</v>
      </c>
      <c r="H344" s="36">
        <v>2018</v>
      </c>
      <c r="I344" s="36">
        <v>2019</v>
      </c>
      <c r="J344" s="36">
        <v>2020</v>
      </c>
      <c r="K344" s="36">
        <v>2021</v>
      </c>
      <c r="L344" s="36">
        <v>2022</v>
      </c>
      <c r="M344" s="36">
        <v>2023</v>
      </c>
      <c r="N344" s="269"/>
      <c r="O344" s="269"/>
    </row>
    <row r="345" spans="1:15" x14ac:dyDescent="0.2">
      <c r="A345" s="748" t="s">
        <v>154</v>
      </c>
      <c r="B345" s="749"/>
      <c r="C345" s="749"/>
      <c r="D345" s="749"/>
      <c r="E345" s="749"/>
      <c r="F345" s="749"/>
      <c r="G345" s="749"/>
      <c r="H345" s="749"/>
      <c r="I345" s="749"/>
      <c r="J345" s="749"/>
      <c r="K345" s="749"/>
      <c r="L345" s="749"/>
      <c r="M345" s="749"/>
      <c r="N345" s="749"/>
      <c r="O345" s="750"/>
    </row>
    <row r="346" spans="1:15" x14ac:dyDescent="0.2">
      <c r="A346" s="77" t="s">
        <v>159</v>
      </c>
      <c r="B346" s="30"/>
      <c r="C346" s="30"/>
      <c r="D346" s="30"/>
      <c r="E346" s="30"/>
      <c r="F346" s="30"/>
      <c r="G346" s="30"/>
      <c r="H346" s="30"/>
      <c r="I346" s="30"/>
      <c r="J346" s="30"/>
      <c r="K346" s="30"/>
      <c r="L346" s="30"/>
      <c r="M346" s="30"/>
      <c r="N346" s="30"/>
      <c r="O346" s="31"/>
    </row>
    <row r="347" spans="1:15" x14ac:dyDescent="0.2">
      <c r="A347" s="78" t="s">
        <v>160</v>
      </c>
      <c r="O347" s="21"/>
    </row>
    <row r="348" spans="1:15" x14ac:dyDescent="0.2">
      <c r="A348" s="78" t="s">
        <v>444</v>
      </c>
      <c r="O348" s="21"/>
    </row>
    <row r="349" spans="1:15" x14ac:dyDescent="0.2">
      <c r="A349" s="330" t="s">
        <v>600</v>
      </c>
      <c r="O349" s="21"/>
    </row>
    <row r="350" spans="1:15" x14ac:dyDescent="0.2">
      <c r="A350" s="330" t="s">
        <v>625</v>
      </c>
      <c r="O350" s="21"/>
    </row>
    <row r="351" spans="1:15" x14ac:dyDescent="0.2">
      <c r="A351" s="276" t="s">
        <v>828</v>
      </c>
      <c r="B351" s="33"/>
      <c r="C351" s="33"/>
      <c r="D351" s="33"/>
      <c r="E351" s="33"/>
      <c r="F351" s="33"/>
      <c r="G351" s="33"/>
      <c r="H351" s="33"/>
      <c r="I351" s="33"/>
      <c r="J351" s="33"/>
      <c r="K351" s="33"/>
      <c r="L351" s="33"/>
      <c r="M351" s="33"/>
      <c r="N351" s="33"/>
      <c r="O351" s="34"/>
    </row>
    <row r="353" spans="1:14" x14ac:dyDescent="0.2">
      <c r="A353" s="96" t="s">
        <v>14</v>
      </c>
      <c r="B353" s="56" t="s">
        <v>74</v>
      </c>
      <c r="C353" s="56" t="s">
        <v>15</v>
      </c>
    </row>
    <row r="354" spans="1:14" x14ac:dyDescent="0.2">
      <c r="A354" s="153" t="s">
        <v>16</v>
      </c>
      <c r="B354" s="154">
        <v>2010</v>
      </c>
      <c r="C354" s="76">
        <v>2011</v>
      </c>
      <c r="D354" s="76">
        <v>2012</v>
      </c>
      <c r="E354" s="76">
        <v>2013</v>
      </c>
      <c r="F354" s="76">
        <v>2014</v>
      </c>
      <c r="G354" s="76">
        <v>2015</v>
      </c>
      <c r="H354" s="76">
        <v>2016</v>
      </c>
      <c r="I354" s="76">
        <v>2017</v>
      </c>
      <c r="J354" s="76">
        <v>2018</v>
      </c>
      <c r="K354" s="52">
        <v>2019</v>
      </c>
      <c r="L354" s="52">
        <v>2020</v>
      </c>
      <c r="M354" s="52">
        <v>2021</v>
      </c>
      <c r="N354" s="52">
        <v>2022</v>
      </c>
    </row>
    <row r="355" spans="1:14" x14ac:dyDescent="0.2">
      <c r="A355" s="75" t="s">
        <v>17</v>
      </c>
      <c r="B355" s="49">
        <v>100.5</v>
      </c>
      <c r="C355" s="49">
        <v>100.5</v>
      </c>
      <c r="D355" s="49">
        <v>100.5</v>
      </c>
      <c r="E355" s="49">
        <v>45</v>
      </c>
      <c r="F355" s="49">
        <v>45</v>
      </c>
      <c r="G355" s="49">
        <v>45</v>
      </c>
      <c r="H355" s="49">
        <v>45</v>
      </c>
      <c r="I355" s="49">
        <v>45</v>
      </c>
      <c r="J355" s="48">
        <v>45</v>
      </c>
      <c r="K355" s="48">
        <v>45</v>
      </c>
      <c r="L355" s="48">
        <v>37.9</v>
      </c>
      <c r="M355" s="48">
        <v>37.9</v>
      </c>
      <c r="N355" s="48">
        <v>37.9</v>
      </c>
    </row>
    <row r="356" spans="1:14" x14ac:dyDescent="0.2">
      <c r="A356" s="75" t="s">
        <v>18</v>
      </c>
      <c r="B356" s="49">
        <v>100.5</v>
      </c>
      <c r="C356" s="49">
        <v>100.5</v>
      </c>
      <c r="D356" s="49">
        <v>100.5</v>
      </c>
      <c r="E356" s="49">
        <v>45</v>
      </c>
      <c r="F356" s="49">
        <v>45</v>
      </c>
      <c r="G356" s="49">
        <v>45</v>
      </c>
      <c r="H356" s="49">
        <v>50.34</v>
      </c>
      <c r="I356" s="49">
        <v>45.585000000000001</v>
      </c>
      <c r="J356" s="49">
        <v>45.628999999999998</v>
      </c>
      <c r="K356" s="48">
        <v>50.27</v>
      </c>
      <c r="L356" s="48">
        <f>L355+J359</f>
        <v>41.338000000000001</v>
      </c>
      <c r="M356" s="48">
        <f>M355+K359</f>
        <v>41.77</v>
      </c>
      <c r="N356" s="48"/>
    </row>
    <row r="357" spans="1:14" x14ac:dyDescent="0.2">
      <c r="A357" s="75" t="s">
        <v>19</v>
      </c>
      <c r="B357" s="75"/>
      <c r="C357" s="75"/>
      <c r="D357" s="75"/>
      <c r="E357" s="75"/>
      <c r="F357" s="75"/>
      <c r="G357" s="22"/>
      <c r="H357" s="22"/>
      <c r="I357" s="22"/>
      <c r="J357" s="22"/>
      <c r="K357" s="22"/>
      <c r="L357" s="22"/>
      <c r="M357" s="22"/>
      <c r="N357" s="22"/>
    </row>
    <row r="358" spans="1:14" x14ac:dyDescent="0.2">
      <c r="A358" s="75" t="s">
        <v>20</v>
      </c>
      <c r="B358" s="49">
        <v>77</v>
      </c>
      <c r="C358" s="49">
        <v>99.5</v>
      </c>
      <c r="D358" s="49">
        <v>35</v>
      </c>
      <c r="E358" s="49">
        <v>44.86</v>
      </c>
      <c r="F358" s="49">
        <v>39.659999999999997</v>
      </c>
      <c r="G358" s="48">
        <v>44.414999999999999</v>
      </c>
      <c r="H358" s="48">
        <v>49.710999999999999</v>
      </c>
      <c r="I358" s="48">
        <v>40.31</v>
      </c>
      <c r="J358" s="48">
        <v>42.191000000000003</v>
      </c>
      <c r="K358" s="48">
        <v>46.4</v>
      </c>
      <c r="L358" s="48">
        <v>37.24</v>
      </c>
      <c r="M358" s="48">
        <v>4.03</v>
      </c>
      <c r="N358" s="48">
        <v>10.41</v>
      </c>
    </row>
    <row r="359" spans="1:14" x14ac:dyDescent="0.2">
      <c r="A359" s="75" t="s">
        <v>21</v>
      </c>
      <c r="B359" s="49">
        <v>23.5</v>
      </c>
      <c r="C359" s="49">
        <v>1</v>
      </c>
      <c r="D359" s="49">
        <v>65.5</v>
      </c>
      <c r="E359" s="49">
        <v>0.14199999999999999</v>
      </c>
      <c r="F359" s="49">
        <v>5.34</v>
      </c>
      <c r="G359" s="48">
        <v>0.58499999999999996</v>
      </c>
      <c r="H359" s="48">
        <v>0.629</v>
      </c>
      <c r="I359" s="48">
        <v>5.269999999999996</v>
      </c>
      <c r="J359" s="48">
        <v>3.4380000000000002</v>
      </c>
      <c r="K359" s="48">
        <f>K356-K358</f>
        <v>3.8700000000000045</v>
      </c>
      <c r="L359" s="48">
        <f>L356-L358</f>
        <v>4.097999999999999</v>
      </c>
      <c r="M359" s="48">
        <f>M356-M358</f>
        <v>37.74</v>
      </c>
      <c r="N359" s="48">
        <f>N355-N358</f>
        <v>27.49</v>
      </c>
    </row>
    <row r="360" spans="1:14" x14ac:dyDescent="0.2">
      <c r="A360" s="151" t="s">
        <v>22</v>
      </c>
      <c r="B360" s="152" t="s">
        <v>161</v>
      </c>
      <c r="C360" s="152" t="s">
        <v>161</v>
      </c>
      <c r="D360" s="152" t="s">
        <v>161</v>
      </c>
      <c r="E360" s="152">
        <v>2015</v>
      </c>
      <c r="F360" s="152">
        <v>2016</v>
      </c>
      <c r="G360" s="58">
        <v>2017</v>
      </c>
      <c r="H360" s="58">
        <v>2018</v>
      </c>
      <c r="I360" s="58">
        <v>2019</v>
      </c>
      <c r="J360" s="58">
        <v>2020</v>
      </c>
      <c r="K360" s="58">
        <v>2021</v>
      </c>
      <c r="L360" s="152"/>
      <c r="M360" s="152"/>
      <c r="N360" s="152"/>
    </row>
    <row r="361" spans="1:14" x14ac:dyDescent="0.2">
      <c r="A361" s="47" t="s">
        <v>154</v>
      </c>
      <c r="B361" s="59"/>
      <c r="C361" s="59"/>
      <c r="D361" s="59"/>
      <c r="E361" s="59"/>
      <c r="F361" s="59"/>
      <c r="G361" s="59"/>
      <c r="H361" s="59"/>
      <c r="I361" s="59"/>
      <c r="J361" s="59"/>
      <c r="K361" s="59"/>
      <c r="L361" s="59"/>
      <c r="M361" s="59"/>
      <c r="N361" s="57"/>
    </row>
    <row r="362" spans="1:14" x14ac:dyDescent="0.2">
      <c r="A362" s="20" t="s">
        <v>626</v>
      </c>
      <c r="N362" s="21"/>
    </row>
    <row r="363" spans="1:14" x14ac:dyDescent="0.2">
      <c r="A363" s="78" t="s">
        <v>162</v>
      </c>
      <c r="N363" s="21"/>
    </row>
    <row r="364" spans="1:14" x14ac:dyDescent="0.2">
      <c r="A364" s="78" t="s">
        <v>342</v>
      </c>
      <c r="N364" s="21"/>
    </row>
    <row r="365" spans="1:14" x14ac:dyDescent="0.2">
      <c r="A365" s="20" t="s">
        <v>343</v>
      </c>
      <c r="N365" s="21"/>
    </row>
    <row r="366" spans="1:14" x14ac:dyDescent="0.2">
      <c r="A366" s="20" t="s">
        <v>445</v>
      </c>
      <c r="N366" s="21"/>
    </row>
    <row r="367" spans="1:14" x14ac:dyDescent="0.2">
      <c r="A367" s="32" t="s">
        <v>829</v>
      </c>
      <c r="B367" s="33"/>
      <c r="C367" s="33"/>
      <c r="D367" s="33"/>
      <c r="E367" s="33"/>
      <c r="F367" s="33"/>
      <c r="G367" s="33"/>
      <c r="H367" s="33"/>
      <c r="I367" s="33"/>
      <c r="J367" s="33"/>
      <c r="K367" s="33"/>
      <c r="L367" s="33"/>
      <c r="M367" s="33"/>
      <c r="N367" s="34"/>
    </row>
    <row r="369" spans="1:14" x14ac:dyDescent="0.2">
      <c r="A369" s="96" t="s">
        <v>14</v>
      </c>
      <c r="B369" s="56" t="s">
        <v>79</v>
      </c>
      <c r="C369" s="56" t="s">
        <v>15</v>
      </c>
    </row>
    <row r="370" spans="1:14" x14ac:dyDescent="0.2">
      <c r="A370" s="153" t="s">
        <v>16</v>
      </c>
      <c r="B370" s="154">
        <v>2010</v>
      </c>
      <c r="C370" s="76">
        <v>2011</v>
      </c>
      <c r="D370" s="76">
        <v>2012</v>
      </c>
      <c r="E370" s="76">
        <v>2013</v>
      </c>
      <c r="F370" s="76">
        <v>2014</v>
      </c>
      <c r="G370" s="76">
        <v>2015</v>
      </c>
      <c r="H370" s="76">
        <v>2016</v>
      </c>
      <c r="I370" s="76">
        <v>2017</v>
      </c>
      <c r="J370" s="76">
        <v>2018</v>
      </c>
      <c r="K370" s="52">
        <v>2019</v>
      </c>
      <c r="L370" s="52">
        <v>2020</v>
      </c>
      <c r="M370" s="52">
        <v>2021</v>
      </c>
      <c r="N370" s="52">
        <v>2022</v>
      </c>
    </row>
    <row r="371" spans="1:14" x14ac:dyDescent="0.2">
      <c r="A371" s="75" t="s">
        <v>17</v>
      </c>
      <c r="B371" s="49">
        <v>9.9</v>
      </c>
      <c r="C371" s="49">
        <v>9.9</v>
      </c>
      <c r="D371" s="49">
        <v>9.9</v>
      </c>
      <c r="E371" s="49">
        <v>10</v>
      </c>
      <c r="F371" s="49">
        <v>10</v>
      </c>
      <c r="G371" s="49">
        <v>10</v>
      </c>
      <c r="H371" s="48">
        <v>10</v>
      </c>
      <c r="I371" s="48">
        <v>10</v>
      </c>
      <c r="J371" s="48">
        <v>10</v>
      </c>
      <c r="K371" s="48">
        <v>10</v>
      </c>
      <c r="L371" s="48">
        <v>10</v>
      </c>
      <c r="M371" s="48">
        <v>10</v>
      </c>
      <c r="N371" s="48">
        <v>10</v>
      </c>
    </row>
    <row r="372" spans="1:14" x14ac:dyDescent="0.2">
      <c r="A372" s="75" t="s">
        <v>18</v>
      </c>
      <c r="B372" s="49">
        <v>9.9</v>
      </c>
      <c r="C372" s="49">
        <v>9.9</v>
      </c>
      <c r="D372" s="49">
        <v>9.9</v>
      </c>
      <c r="E372" s="49">
        <v>10</v>
      </c>
      <c r="F372" s="49">
        <v>10</v>
      </c>
      <c r="G372" s="49">
        <v>12</v>
      </c>
      <c r="H372" s="48">
        <v>12</v>
      </c>
      <c r="I372" s="48">
        <v>12</v>
      </c>
      <c r="J372" s="49">
        <v>12</v>
      </c>
      <c r="K372" s="48">
        <v>12</v>
      </c>
      <c r="L372" s="48">
        <f>L371*1.2</f>
        <v>12</v>
      </c>
      <c r="M372" s="48">
        <f>M371*1.2</f>
        <v>12</v>
      </c>
      <c r="N372" s="48"/>
    </row>
    <row r="373" spans="1:14" x14ac:dyDescent="0.2">
      <c r="A373" s="75" t="s">
        <v>19</v>
      </c>
      <c r="B373" s="75"/>
      <c r="C373" s="75"/>
      <c r="D373" s="75"/>
      <c r="E373" s="75"/>
      <c r="F373" s="75"/>
      <c r="G373" s="22"/>
      <c r="H373" s="22"/>
      <c r="I373" s="22"/>
      <c r="J373" s="22"/>
      <c r="K373" s="22"/>
      <c r="L373" s="22"/>
      <c r="M373" s="22"/>
      <c r="N373" s="22"/>
    </row>
    <row r="374" spans="1:14" x14ac:dyDescent="0.2">
      <c r="A374" s="75" t="s">
        <v>20</v>
      </c>
      <c r="B374" s="49">
        <v>8</v>
      </c>
      <c r="C374" s="49">
        <v>0.73</v>
      </c>
      <c r="D374" s="49">
        <v>0.21</v>
      </c>
      <c r="E374" s="49">
        <v>2.1179999999999999</v>
      </c>
      <c r="F374" s="49">
        <v>0</v>
      </c>
      <c r="G374" s="48">
        <v>0.34799999999999998</v>
      </c>
      <c r="H374" s="48">
        <v>0.26300000000000001</v>
      </c>
      <c r="I374" s="48">
        <v>2.5299999999999998</v>
      </c>
      <c r="J374" s="48">
        <v>3.23</v>
      </c>
      <c r="K374" s="48">
        <v>2.88</v>
      </c>
      <c r="L374" s="48">
        <v>1.81</v>
      </c>
      <c r="M374" s="48">
        <v>1.57</v>
      </c>
      <c r="N374" s="48">
        <v>2.13</v>
      </c>
    </row>
    <row r="375" spans="1:14" x14ac:dyDescent="0.2">
      <c r="A375" s="75" t="s">
        <v>21</v>
      </c>
      <c r="B375" s="49">
        <v>1.9</v>
      </c>
      <c r="C375" s="49">
        <v>9.17</v>
      </c>
      <c r="D375" s="49">
        <v>9.69</v>
      </c>
      <c r="E375" s="49">
        <v>7.8819999999999997</v>
      </c>
      <c r="F375" s="49">
        <v>10</v>
      </c>
      <c r="G375" s="48">
        <v>11.651999999999999</v>
      </c>
      <c r="H375" s="48">
        <v>11.737</v>
      </c>
      <c r="I375" s="48">
        <v>9.4700000000000006</v>
      </c>
      <c r="J375" s="48">
        <v>8.77</v>
      </c>
      <c r="K375" s="48">
        <f>K372-K374</f>
        <v>9.120000000000001</v>
      </c>
      <c r="L375" s="48">
        <f>L372-L374</f>
        <v>10.19</v>
      </c>
      <c r="M375" s="48">
        <f>M372-M374</f>
        <v>10.43</v>
      </c>
      <c r="N375" s="48">
        <f>N371-N374</f>
        <v>7.87</v>
      </c>
    </row>
    <row r="376" spans="1:14" x14ac:dyDescent="0.2">
      <c r="A376" s="151" t="s">
        <v>22</v>
      </c>
      <c r="B376" s="152" t="s">
        <v>161</v>
      </c>
      <c r="C376" s="152" t="s">
        <v>161</v>
      </c>
      <c r="D376" s="152" t="s">
        <v>161</v>
      </c>
      <c r="E376" s="152">
        <v>2015</v>
      </c>
      <c r="F376" s="152">
        <v>2016</v>
      </c>
      <c r="G376" s="58">
        <v>2017</v>
      </c>
      <c r="H376" s="58">
        <v>2018</v>
      </c>
      <c r="I376" s="58">
        <v>2019</v>
      </c>
      <c r="J376" s="58">
        <v>2020</v>
      </c>
      <c r="K376" s="58">
        <v>2021</v>
      </c>
      <c r="L376" s="152"/>
      <c r="M376" s="152"/>
      <c r="N376" s="152"/>
    </row>
    <row r="377" spans="1:14" x14ac:dyDescent="0.2">
      <c r="A377" s="47" t="s">
        <v>154</v>
      </c>
      <c r="B377" s="59"/>
      <c r="C377" s="59"/>
      <c r="D377" s="59"/>
      <c r="E377" s="59"/>
      <c r="F377" s="59"/>
      <c r="G377" s="59"/>
      <c r="H377" s="59"/>
      <c r="I377" s="59"/>
      <c r="J377" s="59"/>
      <c r="K377" s="59"/>
      <c r="L377" s="59"/>
      <c r="M377" s="59"/>
      <c r="N377" s="57"/>
    </row>
    <row r="378" spans="1:14" x14ac:dyDescent="0.2">
      <c r="A378" s="20" t="s">
        <v>627</v>
      </c>
      <c r="N378" s="21"/>
    </row>
    <row r="379" spans="1:14" x14ac:dyDescent="0.2">
      <c r="A379" s="20" t="s">
        <v>163</v>
      </c>
      <c r="N379" s="21"/>
    </row>
    <row r="380" spans="1:14" x14ac:dyDescent="0.2">
      <c r="A380" s="20" t="s">
        <v>344</v>
      </c>
      <c r="N380" s="21"/>
    </row>
    <row r="381" spans="1:14" x14ac:dyDescent="0.2">
      <c r="A381" s="20" t="s">
        <v>446</v>
      </c>
      <c r="N381" s="21"/>
    </row>
    <row r="382" spans="1:14" x14ac:dyDescent="0.2">
      <c r="A382" s="32" t="s">
        <v>829</v>
      </c>
      <c r="B382" s="33"/>
      <c r="C382" s="33"/>
      <c r="D382" s="33"/>
      <c r="E382" s="33"/>
      <c r="F382" s="33"/>
      <c r="G382" s="33"/>
      <c r="H382" s="33"/>
      <c r="I382" s="33"/>
      <c r="J382" s="33"/>
      <c r="K382" s="33"/>
      <c r="L382" s="33"/>
      <c r="M382" s="33"/>
      <c r="N382" s="34"/>
    </row>
    <row r="384" spans="1:14" x14ac:dyDescent="0.2">
      <c r="A384" s="125" t="s">
        <v>12</v>
      </c>
      <c r="B384" s="680" t="s">
        <v>85</v>
      </c>
    </row>
    <row r="385" spans="1:15" x14ac:dyDescent="0.2">
      <c r="A385" s="317" t="s">
        <v>14</v>
      </c>
      <c r="B385" s="331" t="s">
        <v>638</v>
      </c>
      <c r="C385" s="319" t="s">
        <v>15</v>
      </c>
      <c r="D385" s="263"/>
      <c r="E385" s="263"/>
      <c r="F385" s="263"/>
      <c r="G385" s="263"/>
      <c r="H385" s="263"/>
      <c r="I385" s="263"/>
      <c r="J385" s="263"/>
      <c r="K385" s="263"/>
      <c r="L385" s="263"/>
      <c r="M385" s="263"/>
      <c r="N385" s="263"/>
      <c r="O385" s="263"/>
    </row>
    <row r="386" spans="1:15" x14ac:dyDescent="0.2">
      <c r="A386" s="320" t="s">
        <v>16</v>
      </c>
      <c r="B386" s="254">
        <v>2015</v>
      </c>
      <c r="C386" s="332">
        <v>2016</v>
      </c>
      <c r="D386" s="254">
        <v>2017</v>
      </c>
      <c r="E386" s="333">
        <v>2018</v>
      </c>
      <c r="F386" s="333">
        <v>2019</v>
      </c>
      <c r="G386" s="254">
        <v>2020</v>
      </c>
      <c r="H386" s="254">
        <v>2021</v>
      </c>
      <c r="I386" s="254">
        <v>2022</v>
      </c>
      <c r="J386" s="254">
        <v>2023</v>
      </c>
      <c r="K386" s="263"/>
      <c r="L386" s="263"/>
      <c r="M386" s="263"/>
      <c r="N386" s="263"/>
      <c r="O386" s="263"/>
    </row>
    <row r="387" spans="1:15" x14ac:dyDescent="0.2">
      <c r="A387" s="320" t="s">
        <v>17</v>
      </c>
      <c r="B387" s="274">
        <v>3271.7</v>
      </c>
      <c r="C387" s="334">
        <v>3271.7</v>
      </c>
      <c r="D387" s="274">
        <v>3271.7</v>
      </c>
      <c r="E387" s="255">
        <v>3926</v>
      </c>
      <c r="F387" s="255">
        <v>3926</v>
      </c>
      <c r="G387" s="274">
        <v>3926</v>
      </c>
      <c r="H387" s="274">
        <v>4416.8999999999996</v>
      </c>
      <c r="I387" s="274">
        <v>4416.8999999999996</v>
      </c>
      <c r="J387" s="274">
        <v>4416.8999999999996</v>
      </c>
      <c r="K387" s="263"/>
      <c r="L387" s="263"/>
      <c r="M387" s="263"/>
      <c r="N387" s="263"/>
      <c r="O387" s="263"/>
    </row>
    <row r="388" spans="1:15" x14ac:dyDescent="0.2">
      <c r="A388" s="320" t="s">
        <v>18</v>
      </c>
      <c r="B388" s="274">
        <v>3789.62</v>
      </c>
      <c r="C388" s="334">
        <v>3789.62</v>
      </c>
      <c r="D388" s="274">
        <v>3789.62</v>
      </c>
      <c r="E388" s="255">
        <v>4281.62</v>
      </c>
      <c r="F388" s="255">
        <v>4543.9250000000002</v>
      </c>
      <c r="G388" s="255">
        <v>4707.5</v>
      </c>
      <c r="H388" s="255">
        <f>H387+0.25*F387-200</f>
        <v>5198.3999999999996</v>
      </c>
      <c r="I388" s="255">
        <f>I387+0.25*G387-200</f>
        <v>5198.3999999999996</v>
      </c>
      <c r="J388" s="255">
        <f>J387+0.25*H387-200</f>
        <v>5321.125</v>
      </c>
      <c r="K388" s="263"/>
      <c r="L388" s="263"/>
      <c r="M388" s="263"/>
      <c r="N388" s="263"/>
      <c r="O388" s="263"/>
    </row>
    <row r="389" spans="1:15" x14ac:dyDescent="0.2">
      <c r="A389" s="320" t="s">
        <v>19</v>
      </c>
      <c r="B389" s="335" t="s">
        <v>86</v>
      </c>
      <c r="C389" s="335" t="s">
        <v>86</v>
      </c>
      <c r="D389" s="335" t="s">
        <v>86</v>
      </c>
      <c r="E389" s="336" t="s">
        <v>87</v>
      </c>
      <c r="F389" s="336" t="s">
        <v>395</v>
      </c>
      <c r="G389" s="336" t="s">
        <v>396</v>
      </c>
      <c r="H389" s="336" t="s">
        <v>449</v>
      </c>
      <c r="I389" s="336" t="s">
        <v>449</v>
      </c>
      <c r="J389" s="336" t="s">
        <v>831</v>
      </c>
      <c r="K389" s="263"/>
      <c r="L389" s="263"/>
      <c r="M389" s="263"/>
      <c r="N389" s="263"/>
      <c r="O389" s="263"/>
    </row>
    <row r="390" spans="1:15" x14ac:dyDescent="0.2">
      <c r="A390" s="320" t="s">
        <v>20</v>
      </c>
      <c r="B390" s="274">
        <v>2857</v>
      </c>
      <c r="C390" s="334">
        <v>3134</v>
      </c>
      <c r="D390" s="274">
        <v>2385</v>
      </c>
      <c r="E390" s="274">
        <v>2926</v>
      </c>
      <c r="F390" s="255">
        <v>2770</v>
      </c>
      <c r="G390" s="274">
        <v>3549</v>
      </c>
      <c r="H390" s="274">
        <v>2896</v>
      </c>
      <c r="I390" s="274">
        <v>2806</v>
      </c>
      <c r="J390" s="274"/>
      <c r="K390" s="263"/>
      <c r="L390" s="263"/>
      <c r="M390" s="263"/>
      <c r="N390" s="263"/>
      <c r="O390" s="263"/>
    </row>
    <row r="391" spans="1:15" x14ac:dyDescent="0.2">
      <c r="A391" s="320" t="s">
        <v>21</v>
      </c>
      <c r="B391" s="274">
        <v>932.62</v>
      </c>
      <c r="C391" s="334">
        <v>655.62</v>
      </c>
      <c r="D391" s="274">
        <v>1404.62</v>
      </c>
      <c r="E391" s="274">
        <v>1355.62</v>
      </c>
      <c r="F391" s="255">
        <v>1773.9250000000002</v>
      </c>
      <c r="G391" s="255">
        <f>G388-G390</f>
        <v>1158.5</v>
      </c>
      <c r="H391" s="255">
        <f>H388-H390</f>
        <v>2302.3999999999996</v>
      </c>
      <c r="I391" s="255">
        <f>I388-I390</f>
        <v>2392.3999999999996</v>
      </c>
      <c r="J391" s="274"/>
      <c r="K391" s="263"/>
      <c r="L391" s="263"/>
      <c r="M391" s="263"/>
      <c r="N391" s="263"/>
      <c r="O391" s="263"/>
    </row>
    <row r="392" spans="1:15" x14ac:dyDescent="0.2">
      <c r="A392" s="260" t="s">
        <v>22</v>
      </c>
      <c r="B392" s="292">
        <v>2017</v>
      </c>
      <c r="C392" s="337">
        <v>2018</v>
      </c>
      <c r="D392" s="292">
        <v>2019</v>
      </c>
      <c r="E392" s="293">
        <v>2020</v>
      </c>
      <c r="F392" s="293">
        <v>2021</v>
      </c>
      <c r="G392" s="292">
        <v>2022</v>
      </c>
      <c r="H392" s="292">
        <v>2023</v>
      </c>
      <c r="I392" s="292">
        <v>2024</v>
      </c>
      <c r="J392" s="292">
        <v>2025</v>
      </c>
      <c r="K392" s="263"/>
      <c r="L392" s="263"/>
      <c r="M392" s="263"/>
      <c r="N392" s="263"/>
      <c r="O392" s="263"/>
    </row>
    <row r="393" spans="1:15" x14ac:dyDescent="0.2">
      <c r="A393" s="320" t="s">
        <v>23</v>
      </c>
      <c r="B393" s="566"/>
      <c r="C393" s="566"/>
      <c r="D393" s="566"/>
      <c r="E393" s="566"/>
      <c r="F393" s="566"/>
      <c r="G393" s="566"/>
      <c r="H393" s="566"/>
      <c r="I393" s="566"/>
      <c r="J393" s="275"/>
      <c r="K393" s="263"/>
      <c r="L393" s="263"/>
      <c r="M393" s="263"/>
      <c r="N393" s="263"/>
      <c r="O393" s="263"/>
    </row>
    <row r="394" spans="1:15" x14ac:dyDescent="0.2">
      <c r="A394" s="260" t="s">
        <v>88</v>
      </c>
      <c r="B394" s="261"/>
      <c r="C394" s="261"/>
      <c r="D394" s="261"/>
      <c r="E394" s="261"/>
      <c r="F394" s="261"/>
      <c r="G394" s="261"/>
      <c r="H394" s="261"/>
      <c r="I394" s="261"/>
      <c r="J394" s="259"/>
      <c r="K394" s="263"/>
      <c r="L394" s="263"/>
      <c r="M394" s="263"/>
      <c r="N394" s="263"/>
      <c r="O394" s="263"/>
    </row>
    <row r="395" spans="1:15" x14ac:dyDescent="0.2">
      <c r="A395" s="707" t="s">
        <v>397</v>
      </c>
      <c r="B395" s="708"/>
      <c r="C395" s="708"/>
      <c r="D395" s="708"/>
      <c r="E395" s="708"/>
      <c r="F395" s="708"/>
      <c r="G395" s="708"/>
      <c r="H395" s="263"/>
      <c r="I395" s="263"/>
      <c r="J395" s="264"/>
      <c r="K395" s="263"/>
      <c r="L395" s="263"/>
      <c r="M395" s="263"/>
      <c r="N395" s="263"/>
      <c r="O395" s="263"/>
    </row>
    <row r="396" spans="1:15" x14ac:dyDescent="0.2">
      <c r="A396" s="262" t="s">
        <v>345</v>
      </c>
      <c r="B396" s="263"/>
      <c r="C396" s="263"/>
      <c r="D396" s="263"/>
      <c r="E396" s="263"/>
      <c r="F396" s="263"/>
      <c r="G396" s="263"/>
      <c r="H396" s="263"/>
      <c r="I396" s="263"/>
      <c r="J396" s="264"/>
      <c r="K396" s="263"/>
      <c r="L396" s="263"/>
      <c r="M396" s="263"/>
      <c r="N396" s="263"/>
      <c r="O396" s="263"/>
    </row>
    <row r="397" spans="1:15" x14ac:dyDescent="0.2">
      <c r="A397" s="262" t="s">
        <v>398</v>
      </c>
      <c r="B397" s="263"/>
      <c r="C397" s="263"/>
      <c r="D397" s="263"/>
      <c r="E397" s="263"/>
      <c r="F397" s="263"/>
      <c r="G397" s="263"/>
      <c r="H397" s="263"/>
      <c r="I397" s="263"/>
      <c r="J397" s="264"/>
      <c r="K397" s="263"/>
      <c r="L397" s="263"/>
      <c r="M397" s="263"/>
      <c r="N397" s="263"/>
      <c r="O397" s="263"/>
    </row>
    <row r="398" spans="1:15" x14ac:dyDescent="0.2">
      <c r="A398" s="262" t="s">
        <v>447</v>
      </c>
      <c r="B398" s="263"/>
      <c r="C398" s="263"/>
      <c r="D398" s="263"/>
      <c r="E398" s="263"/>
      <c r="F398" s="263"/>
      <c r="G398" s="263"/>
      <c r="H398" s="263"/>
      <c r="I398" s="263"/>
      <c r="J398" s="264"/>
      <c r="K398" s="263"/>
      <c r="L398" s="263"/>
      <c r="M398" s="263"/>
      <c r="N398" s="263"/>
      <c r="O398" s="263"/>
    </row>
    <row r="399" spans="1:15" x14ac:dyDescent="0.2">
      <c r="A399" s="262" t="s">
        <v>448</v>
      </c>
      <c r="B399" s="263"/>
      <c r="C399" s="263"/>
      <c r="D399" s="263"/>
      <c r="E399" s="263"/>
      <c r="F399" s="263"/>
      <c r="G399" s="263"/>
      <c r="H399" s="263"/>
      <c r="I399" s="263"/>
      <c r="J399" s="264"/>
      <c r="K399" s="263"/>
      <c r="L399" s="263"/>
      <c r="M399" s="263"/>
      <c r="N399" s="263"/>
      <c r="O399" s="263"/>
    </row>
    <row r="400" spans="1:15" x14ac:dyDescent="0.2">
      <c r="A400" s="262" t="s">
        <v>595</v>
      </c>
      <c r="B400" s="263"/>
      <c r="C400" s="263"/>
      <c r="D400" s="263"/>
      <c r="E400" s="263"/>
      <c r="F400" s="263"/>
      <c r="G400" s="263"/>
      <c r="H400" s="263"/>
      <c r="I400" s="263"/>
      <c r="J400" s="264"/>
      <c r="K400" s="263"/>
      <c r="L400" s="263"/>
      <c r="M400" s="263"/>
      <c r="N400" s="263"/>
      <c r="O400" s="263"/>
    </row>
    <row r="401" spans="1:15" x14ac:dyDescent="0.2">
      <c r="A401" s="726" t="s">
        <v>830</v>
      </c>
      <c r="B401" s="727"/>
      <c r="C401" s="727"/>
      <c r="D401" s="727"/>
      <c r="E401" s="727"/>
      <c r="F401" s="727"/>
      <c r="G401" s="727"/>
      <c r="H401" s="265"/>
      <c r="I401" s="265"/>
      <c r="J401" s="266"/>
      <c r="K401" s="263"/>
      <c r="L401" s="263"/>
      <c r="M401" s="263"/>
      <c r="N401" s="263"/>
      <c r="O401" s="263"/>
    </row>
    <row r="402" spans="1:15" x14ac:dyDescent="0.2">
      <c r="A402" s="263"/>
      <c r="B402" s="263"/>
      <c r="C402" s="263"/>
      <c r="D402" s="263"/>
      <c r="E402" s="263"/>
      <c r="F402" s="263"/>
      <c r="G402" s="263"/>
      <c r="H402" s="263"/>
      <c r="I402" s="263"/>
      <c r="J402" s="263"/>
      <c r="K402" s="263"/>
      <c r="L402" s="263"/>
      <c r="M402" s="263"/>
      <c r="N402" s="263"/>
      <c r="O402" s="263"/>
    </row>
    <row r="403" spans="1:15" x14ac:dyDescent="0.2">
      <c r="A403" s="317" t="s">
        <v>14</v>
      </c>
      <c r="B403" s="331" t="s">
        <v>657</v>
      </c>
      <c r="C403" s="319" t="s">
        <v>15</v>
      </c>
      <c r="D403" s="263"/>
      <c r="E403" s="263"/>
      <c r="F403" s="263"/>
      <c r="G403" s="263"/>
      <c r="H403" s="263"/>
      <c r="I403" s="263"/>
      <c r="J403" s="263"/>
      <c r="K403" s="263"/>
      <c r="L403" s="263"/>
      <c r="M403" s="263"/>
      <c r="N403" s="263"/>
      <c r="O403" s="263"/>
    </row>
    <row r="404" spans="1:15" x14ac:dyDescent="0.2">
      <c r="A404" s="320" t="s">
        <v>16</v>
      </c>
      <c r="B404" s="254">
        <v>2015</v>
      </c>
      <c r="C404" s="332">
        <v>2016</v>
      </c>
      <c r="D404" s="254">
        <v>2017</v>
      </c>
      <c r="E404" s="333">
        <v>2018</v>
      </c>
      <c r="F404" s="333">
        <v>2019</v>
      </c>
      <c r="G404" s="254">
        <v>2020</v>
      </c>
      <c r="H404" s="254">
        <v>2021</v>
      </c>
      <c r="I404" s="254">
        <v>2022</v>
      </c>
      <c r="J404" s="254">
        <v>2023</v>
      </c>
      <c r="K404" s="263"/>
      <c r="L404" s="263"/>
      <c r="M404" s="263"/>
      <c r="N404" s="263"/>
      <c r="O404" s="263"/>
    </row>
    <row r="405" spans="1:15" x14ac:dyDescent="0.2">
      <c r="A405" s="320" t="s">
        <v>17</v>
      </c>
      <c r="B405" s="274">
        <v>9400</v>
      </c>
      <c r="C405" s="334">
        <v>9400</v>
      </c>
      <c r="D405" s="274">
        <v>9400</v>
      </c>
      <c r="E405" s="255">
        <v>9400</v>
      </c>
      <c r="F405" s="255">
        <v>9400</v>
      </c>
      <c r="G405" s="274">
        <v>9400</v>
      </c>
      <c r="H405" s="274">
        <v>9400</v>
      </c>
      <c r="I405" s="274">
        <v>9400</v>
      </c>
      <c r="J405" s="240">
        <v>10340</v>
      </c>
      <c r="K405" s="263"/>
      <c r="L405" s="263"/>
      <c r="M405" s="263"/>
      <c r="N405" s="263"/>
      <c r="O405" s="263"/>
    </row>
    <row r="406" spans="1:15" x14ac:dyDescent="0.2">
      <c r="A406" s="320" t="s">
        <v>18</v>
      </c>
      <c r="B406" s="274">
        <v>11506.75</v>
      </c>
      <c r="C406" s="334">
        <v>11750</v>
      </c>
      <c r="D406" s="274">
        <v>11750</v>
      </c>
      <c r="E406" s="255">
        <v>11750</v>
      </c>
      <c r="F406" s="255">
        <f>F405*1.25</f>
        <v>11750</v>
      </c>
      <c r="G406" s="274">
        <f>G405*1.25-200</f>
        <v>11550</v>
      </c>
      <c r="H406" s="274">
        <f>H405+F409</f>
        <v>11524</v>
      </c>
      <c r="I406" s="274">
        <f>I405+G409+85</f>
        <v>11184</v>
      </c>
      <c r="J406" s="240">
        <f>J405+H409</f>
        <v>11345</v>
      </c>
      <c r="K406" s="263"/>
      <c r="L406" s="263"/>
      <c r="M406" s="263"/>
      <c r="N406" s="263"/>
      <c r="O406" s="263"/>
    </row>
    <row r="407" spans="1:15" x14ac:dyDescent="0.2">
      <c r="A407" s="320" t="s">
        <v>19</v>
      </c>
      <c r="B407" s="335" t="s">
        <v>89</v>
      </c>
      <c r="C407" s="335" t="s">
        <v>90</v>
      </c>
      <c r="D407" s="335" t="s">
        <v>90</v>
      </c>
      <c r="E407" s="336" t="s">
        <v>90</v>
      </c>
      <c r="F407" s="336" t="s">
        <v>90</v>
      </c>
      <c r="G407" s="339" t="s">
        <v>347</v>
      </c>
      <c r="H407" s="339" t="s">
        <v>451</v>
      </c>
      <c r="I407" s="339" t="s">
        <v>739</v>
      </c>
      <c r="J407" s="297" t="s">
        <v>951</v>
      </c>
      <c r="K407" s="263"/>
      <c r="L407" s="263"/>
      <c r="M407" s="263"/>
      <c r="N407" s="263"/>
      <c r="O407" s="263"/>
    </row>
    <row r="408" spans="1:15" x14ac:dyDescent="0.2">
      <c r="A408" s="320" t="s">
        <v>20</v>
      </c>
      <c r="B408" s="274">
        <v>7157</v>
      </c>
      <c r="C408" s="334">
        <v>8907</v>
      </c>
      <c r="D408" s="274">
        <v>9090</v>
      </c>
      <c r="E408" s="274">
        <v>9227</v>
      </c>
      <c r="F408" s="255">
        <v>9626</v>
      </c>
      <c r="G408" s="274">
        <v>9851</v>
      </c>
      <c r="H408" s="274">
        <v>10519</v>
      </c>
      <c r="I408" s="274">
        <v>8894</v>
      </c>
      <c r="J408" s="274"/>
      <c r="K408" s="263"/>
      <c r="L408" s="263"/>
      <c r="M408" s="263"/>
      <c r="N408" s="263"/>
      <c r="O408" s="263"/>
    </row>
    <row r="409" spans="1:15" x14ac:dyDescent="0.2">
      <c r="A409" s="320" t="s">
        <v>21</v>
      </c>
      <c r="B409" s="274">
        <v>4349.75</v>
      </c>
      <c r="C409" s="334">
        <v>2843</v>
      </c>
      <c r="D409" s="274">
        <v>2660</v>
      </c>
      <c r="E409" s="274">
        <v>2523</v>
      </c>
      <c r="F409" s="255">
        <f>F406-F408</f>
        <v>2124</v>
      </c>
      <c r="G409" s="274">
        <f>G406-G408</f>
        <v>1699</v>
      </c>
      <c r="H409" s="274">
        <v>1005</v>
      </c>
      <c r="I409" s="274">
        <f>I406-I408</f>
        <v>2290</v>
      </c>
      <c r="J409" s="274"/>
      <c r="K409" s="263"/>
      <c r="L409" s="263"/>
      <c r="M409" s="263"/>
      <c r="N409" s="263"/>
      <c r="O409" s="263"/>
    </row>
    <row r="410" spans="1:15" x14ac:dyDescent="0.2">
      <c r="A410" s="260" t="s">
        <v>22</v>
      </c>
      <c r="B410" s="292">
        <v>2017</v>
      </c>
      <c r="C410" s="337">
        <v>2018</v>
      </c>
      <c r="D410" s="292">
        <v>2019</v>
      </c>
      <c r="E410" s="293">
        <v>2020</v>
      </c>
      <c r="F410" s="293">
        <v>2021</v>
      </c>
      <c r="G410" s="293">
        <v>2022</v>
      </c>
      <c r="H410" s="293">
        <v>2023</v>
      </c>
      <c r="I410" s="293">
        <v>2024</v>
      </c>
      <c r="J410" s="293">
        <v>2025</v>
      </c>
      <c r="K410" s="263"/>
      <c r="L410" s="263"/>
      <c r="M410" s="263"/>
      <c r="N410" s="263"/>
      <c r="O410" s="263"/>
    </row>
    <row r="411" spans="1:15" x14ac:dyDescent="0.2">
      <c r="A411" s="260" t="s">
        <v>23</v>
      </c>
      <c r="B411" s="261"/>
      <c r="C411" s="261"/>
      <c r="D411" s="261"/>
      <c r="E411" s="261"/>
      <c r="F411" s="261"/>
      <c r="G411" s="261"/>
      <c r="H411" s="259"/>
      <c r="I411" s="259"/>
      <c r="J411" s="259"/>
      <c r="K411" s="263"/>
      <c r="L411" s="263"/>
      <c r="M411" s="263"/>
      <c r="N411" s="263"/>
      <c r="O411" s="263"/>
    </row>
    <row r="412" spans="1:15" x14ac:dyDescent="0.2">
      <c r="A412" s="703" t="s">
        <v>91</v>
      </c>
      <c r="B412" s="704"/>
      <c r="C412" s="704"/>
      <c r="D412" s="704"/>
      <c r="E412" s="704"/>
      <c r="F412" s="704"/>
      <c r="G412" s="261"/>
      <c r="H412" s="261"/>
      <c r="I412" s="261"/>
      <c r="J412" s="259"/>
      <c r="K412" s="263"/>
      <c r="L412" s="263"/>
      <c r="M412" s="263"/>
      <c r="N412" s="263"/>
      <c r="O412" s="263"/>
    </row>
    <row r="413" spans="1:15" x14ac:dyDescent="0.2">
      <c r="A413" s="330" t="s">
        <v>346</v>
      </c>
      <c r="B413" s="581"/>
      <c r="C413" s="581"/>
      <c r="D413" s="581"/>
      <c r="E413" s="581"/>
      <c r="F413" s="581"/>
      <c r="G413" s="263"/>
      <c r="H413" s="263"/>
      <c r="I413" s="263"/>
      <c r="J413" s="264"/>
      <c r="K413" s="263"/>
      <c r="L413" s="263"/>
      <c r="M413" s="263"/>
      <c r="N413" s="263"/>
      <c r="O413" s="263"/>
    </row>
    <row r="414" spans="1:15" x14ac:dyDescent="0.2">
      <c r="A414" s="330" t="s">
        <v>450</v>
      </c>
      <c r="B414" s="581"/>
      <c r="C414" s="581"/>
      <c r="D414" s="581"/>
      <c r="E414" s="581"/>
      <c r="F414" s="581"/>
      <c r="G414" s="263"/>
      <c r="H414" s="263"/>
      <c r="I414" s="263"/>
      <c r="J414" s="264"/>
      <c r="K414" s="263"/>
      <c r="L414" s="263"/>
      <c r="M414" s="263"/>
      <c r="N414" s="263"/>
      <c r="O414" s="263"/>
    </row>
    <row r="415" spans="1:15" x14ac:dyDescent="0.2">
      <c r="A415" s="330" t="s">
        <v>740</v>
      </c>
      <c r="B415" s="581"/>
      <c r="C415" s="581"/>
      <c r="D415" s="581"/>
      <c r="E415" s="581"/>
      <c r="F415" s="581"/>
      <c r="G415" s="263"/>
      <c r="H415" s="263"/>
      <c r="I415" s="263"/>
      <c r="J415" s="264"/>
      <c r="K415" s="263"/>
      <c r="L415" s="263"/>
      <c r="M415" s="263"/>
      <c r="N415" s="263"/>
      <c r="O415" s="263"/>
    </row>
    <row r="416" spans="1:15" x14ac:dyDescent="0.2">
      <c r="A416" s="276" t="s">
        <v>952</v>
      </c>
      <c r="B416" s="338"/>
      <c r="C416" s="338"/>
      <c r="D416" s="338"/>
      <c r="E416" s="338"/>
      <c r="F416" s="338"/>
      <c r="G416" s="265"/>
      <c r="H416" s="265"/>
      <c r="I416" s="265"/>
      <c r="J416" s="266"/>
      <c r="K416" s="263"/>
      <c r="L416" s="263"/>
      <c r="M416" s="263"/>
      <c r="N416" s="263"/>
      <c r="O416" s="263"/>
    </row>
    <row r="418" spans="1:10" x14ac:dyDescent="0.2">
      <c r="A418" s="96" t="s">
        <v>14</v>
      </c>
      <c r="B418" s="56" t="s">
        <v>637</v>
      </c>
      <c r="C418" s="41" t="s">
        <v>15</v>
      </c>
    </row>
    <row r="419" spans="1:10" x14ac:dyDescent="0.2">
      <c r="A419" s="47" t="s">
        <v>16</v>
      </c>
      <c r="B419" s="52">
        <v>2015</v>
      </c>
      <c r="C419" s="93">
        <v>2016</v>
      </c>
      <c r="D419" s="52">
        <v>2017</v>
      </c>
      <c r="E419" s="109">
        <v>2018</v>
      </c>
      <c r="F419" s="109">
        <v>2019</v>
      </c>
      <c r="G419" s="52">
        <v>2020</v>
      </c>
      <c r="H419" s="52">
        <v>2021</v>
      </c>
      <c r="I419" s="52">
        <v>2022</v>
      </c>
      <c r="J419" s="52">
        <v>2023</v>
      </c>
    </row>
    <row r="420" spans="1:10" x14ac:dyDescent="0.2">
      <c r="A420" s="47" t="s">
        <v>17</v>
      </c>
      <c r="B420" s="48">
        <v>270</v>
      </c>
      <c r="C420" s="94">
        <v>270</v>
      </c>
      <c r="D420" s="48">
        <v>270</v>
      </c>
      <c r="E420" s="95">
        <v>270</v>
      </c>
      <c r="F420" s="95">
        <v>270</v>
      </c>
      <c r="G420" s="48">
        <v>270</v>
      </c>
      <c r="H420" s="48">
        <v>270</v>
      </c>
      <c r="I420" s="48">
        <v>270</v>
      </c>
      <c r="J420" s="48">
        <v>270</v>
      </c>
    </row>
    <row r="421" spans="1:10" x14ac:dyDescent="0.2">
      <c r="A421" s="47" t="s">
        <v>18</v>
      </c>
      <c r="B421" s="48">
        <v>370</v>
      </c>
      <c r="C421" s="94">
        <v>370</v>
      </c>
      <c r="D421" s="48">
        <v>370</v>
      </c>
      <c r="E421" s="95">
        <v>343</v>
      </c>
      <c r="F421" s="95">
        <v>343</v>
      </c>
      <c r="G421" s="48">
        <f>G420*1.4-35-20</f>
        <v>323</v>
      </c>
      <c r="H421" s="48">
        <f>H420*1.4-35-20</f>
        <v>323</v>
      </c>
      <c r="I421" s="48">
        <f>I420*1.4-35-20</f>
        <v>323</v>
      </c>
      <c r="J421" s="48">
        <v>323</v>
      </c>
    </row>
    <row r="422" spans="1:10" x14ac:dyDescent="0.2">
      <c r="A422" s="47" t="s">
        <v>19</v>
      </c>
      <c r="B422" s="155" t="s">
        <v>92</v>
      </c>
      <c r="C422" s="155" t="s">
        <v>92</v>
      </c>
      <c r="D422" s="155" t="s">
        <v>92</v>
      </c>
      <c r="E422" s="156" t="s">
        <v>93</v>
      </c>
      <c r="F422" s="156" t="s">
        <v>93</v>
      </c>
      <c r="G422" s="157" t="s">
        <v>352</v>
      </c>
      <c r="H422" s="157" t="s">
        <v>352</v>
      </c>
      <c r="I422" s="157" t="s">
        <v>352</v>
      </c>
      <c r="J422" s="157" t="s">
        <v>352</v>
      </c>
    </row>
    <row r="423" spans="1:10" x14ac:dyDescent="0.2">
      <c r="A423" s="47" t="s">
        <v>20</v>
      </c>
      <c r="B423" s="48">
        <v>115</v>
      </c>
      <c r="C423" s="48">
        <v>151.72</v>
      </c>
      <c r="D423" s="48">
        <v>95.51</v>
      </c>
      <c r="E423" s="48">
        <v>169.22</v>
      </c>
      <c r="F423" s="95">
        <v>122.25</v>
      </c>
      <c r="G423" s="240">
        <v>157.75</v>
      </c>
      <c r="H423" s="48">
        <v>68</v>
      </c>
      <c r="I423" s="48">
        <v>150</v>
      </c>
      <c r="J423" s="48"/>
    </row>
    <row r="424" spans="1:10" x14ac:dyDescent="0.2">
      <c r="A424" s="47" t="s">
        <v>21</v>
      </c>
      <c r="B424" s="48">
        <v>255</v>
      </c>
      <c r="C424" s="48">
        <f>C421-C423</f>
        <v>218.28</v>
      </c>
      <c r="D424" s="48">
        <f>D421-D423</f>
        <v>274.49</v>
      </c>
      <c r="E424" s="48">
        <v>173.78</v>
      </c>
      <c r="F424" s="95">
        <f>F421-F423</f>
        <v>220.75</v>
      </c>
      <c r="G424" s="240">
        <f>G421-G423</f>
        <v>165.25</v>
      </c>
      <c r="H424" s="48">
        <f>H421-H423</f>
        <v>255</v>
      </c>
      <c r="I424" s="48">
        <f>I421-I423</f>
        <v>173</v>
      </c>
      <c r="J424" s="48"/>
    </row>
    <row r="425" spans="1:10" x14ac:dyDescent="0.2">
      <c r="A425" s="50" t="s">
        <v>22</v>
      </c>
      <c r="B425" s="58">
        <v>2017</v>
      </c>
      <c r="C425" s="82">
        <v>2018</v>
      </c>
      <c r="D425" s="58">
        <v>2019</v>
      </c>
      <c r="E425" s="83">
        <v>2020</v>
      </c>
      <c r="F425" s="83">
        <v>2021</v>
      </c>
      <c r="G425" s="83">
        <v>2022</v>
      </c>
      <c r="H425" s="83">
        <v>2023</v>
      </c>
      <c r="I425" s="83">
        <v>2024</v>
      </c>
      <c r="J425" s="83">
        <v>2025</v>
      </c>
    </row>
    <row r="426" spans="1:10" x14ac:dyDescent="0.2">
      <c r="A426" s="50" t="s">
        <v>23</v>
      </c>
      <c r="B426" s="47"/>
      <c r="C426" s="59"/>
      <c r="D426" s="59"/>
      <c r="E426" s="59"/>
      <c r="F426" s="59"/>
      <c r="G426" s="59"/>
      <c r="H426" s="59"/>
      <c r="I426" s="59"/>
      <c r="J426" s="57"/>
    </row>
    <row r="427" spans="1:10" x14ac:dyDescent="0.2">
      <c r="A427" s="705" t="s">
        <v>94</v>
      </c>
      <c r="B427" s="706"/>
      <c r="C427" s="706"/>
      <c r="D427" s="706"/>
      <c r="E427" s="706"/>
      <c r="F427" s="706"/>
      <c r="J427" s="21"/>
    </row>
    <row r="428" spans="1:10" x14ac:dyDescent="0.2">
      <c r="A428" s="78" t="s">
        <v>349</v>
      </c>
      <c r="B428" s="115"/>
      <c r="C428" s="115"/>
      <c r="D428" s="115"/>
      <c r="E428" s="115"/>
      <c r="F428" s="115"/>
      <c r="J428" s="21"/>
    </row>
    <row r="429" spans="1:10" x14ac:dyDescent="0.2">
      <c r="A429" s="78" t="s">
        <v>350</v>
      </c>
      <c r="B429" s="115"/>
      <c r="C429" s="115"/>
      <c r="D429" s="115"/>
      <c r="E429" s="115"/>
      <c r="F429" s="115"/>
      <c r="J429" s="21"/>
    </row>
    <row r="430" spans="1:10" ht="13.15" customHeight="1" x14ac:dyDescent="0.2">
      <c r="A430" s="20" t="s">
        <v>351</v>
      </c>
      <c r="J430" s="21"/>
    </row>
    <row r="431" spans="1:10" x14ac:dyDescent="0.2">
      <c r="A431" s="78" t="s">
        <v>452</v>
      </c>
      <c r="B431" s="115"/>
      <c r="C431" s="115"/>
      <c r="D431" s="115"/>
      <c r="E431" s="115"/>
      <c r="F431" s="115"/>
      <c r="J431" s="21"/>
    </row>
    <row r="432" spans="1:10" x14ac:dyDescent="0.2">
      <c r="A432" s="78" t="s">
        <v>453</v>
      </c>
      <c r="B432" s="115"/>
      <c r="C432" s="115"/>
      <c r="D432" s="115"/>
      <c r="E432" s="115"/>
      <c r="F432" s="115"/>
      <c r="J432" s="21"/>
    </row>
    <row r="433" spans="1:10" x14ac:dyDescent="0.2">
      <c r="A433" s="20" t="s">
        <v>675</v>
      </c>
      <c r="B433" s="115"/>
      <c r="C433" s="115"/>
      <c r="D433" s="115"/>
      <c r="E433" s="115"/>
      <c r="F433" s="115"/>
      <c r="J433" s="21"/>
    </row>
    <row r="434" spans="1:10" x14ac:dyDescent="0.2">
      <c r="A434" s="32" t="s">
        <v>832</v>
      </c>
      <c r="B434" s="33"/>
      <c r="C434" s="33"/>
      <c r="D434" s="33"/>
      <c r="E434" s="33"/>
      <c r="F434" s="33"/>
      <c r="G434" s="33"/>
      <c r="H434" s="33"/>
      <c r="I434" s="33"/>
      <c r="J434" s="34"/>
    </row>
    <row r="436" spans="1:10" x14ac:dyDescent="0.2">
      <c r="A436" s="96" t="s">
        <v>14</v>
      </c>
      <c r="B436" s="56" t="s">
        <v>660</v>
      </c>
      <c r="C436" s="41" t="s">
        <v>15</v>
      </c>
    </row>
    <row r="437" spans="1:10" x14ac:dyDescent="0.2">
      <c r="A437" s="47" t="s">
        <v>16</v>
      </c>
      <c r="B437" s="52">
        <v>2015</v>
      </c>
      <c r="C437" s="93">
        <v>2016</v>
      </c>
      <c r="D437" s="52">
        <v>2017</v>
      </c>
      <c r="E437" s="109">
        <v>2018</v>
      </c>
      <c r="F437" s="109">
        <v>2019</v>
      </c>
      <c r="G437" s="52">
        <v>2020</v>
      </c>
      <c r="H437" s="52">
        <v>2021</v>
      </c>
      <c r="I437" s="52">
        <v>2022</v>
      </c>
      <c r="J437" s="52">
        <v>2023</v>
      </c>
    </row>
    <row r="438" spans="1:10" x14ac:dyDescent="0.2">
      <c r="A438" s="47" t="s">
        <v>17</v>
      </c>
      <c r="B438" s="48">
        <v>459</v>
      </c>
      <c r="C438" s="94">
        <v>459</v>
      </c>
      <c r="D438" s="48">
        <v>459</v>
      </c>
      <c r="E438" s="95">
        <v>459</v>
      </c>
      <c r="F438" s="95">
        <v>459</v>
      </c>
      <c r="G438" s="48">
        <v>459</v>
      </c>
      <c r="H438" s="48">
        <v>459</v>
      </c>
      <c r="I438" s="48">
        <v>459</v>
      </c>
      <c r="J438" s="48">
        <v>459</v>
      </c>
    </row>
    <row r="439" spans="1:10" x14ac:dyDescent="0.2">
      <c r="A439" s="47" t="s">
        <v>18</v>
      </c>
      <c r="B439" s="48">
        <v>587.9</v>
      </c>
      <c r="C439" s="94">
        <v>535.9</v>
      </c>
      <c r="D439" s="48">
        <v>516.9</v>
      </c>
      <c r="E439" s="95">
        <v>559.9</v>
      </c>
      <c r="F439" s="95">
        <v>546.79999999999995</v>
      </c>
      <c r="G439" s="48">
        <v>550.79999999999995</v>
      </c>
      <c r="H439" s="48">
        <v>550.79999999999995</v>
      </c>
      <c r="I439" s="48">
        <f>I438+H442</f>
        <v>477.79999999999995</v>
      </c>
      <c r="J439" s="48">
        <f>J438+0.1*I438</f>
        <v>504.9</v>
      </c>
    </row>
    <row r="440" spans="1:10" x14ac:dyDescent="0.2">
      <c r="A440" s="47" t="s">
        <v>19</v>
      </c>
      <c r="B440" s="155" t="s">
        <v>95</v>
      </c>
      <c r="C440" s="155" t="s">
        <v>96</v>
      </c>
      <c r="D440" s="155" t="s">
        <v>97</v>
      </c>
      <c r="E440" s="156" t="s">
        <v>380</v>
      </c>
      <c r="F440" s="156" t="s">
        <v>381</v>
      </c>
      <c r="G440" s="22" t="s">
        <v>353</v>
      </c>
      <c r="H440" s="22" t="s">
        <v>353</v>
      </c>
      <c r="I440" s="22" t="str">
        <f>"=459+18.8"</f>
        <v>=459+18.8</v>
      </c>
      <c r="J440" s="22" t="s">
        <v>833</v>
      </c>
    </row>
    <row r="441" spans="1:10" x14ac:dyDescent="0.2">
      <c r="A441" s="47" t="s">
        <v>20</v>
      </c>
      <c r="B441" s="48">
        <v>511</v>
      </c>
      <c r="C441" s="94">
        <v>478</v>
      </c>
      <c r="D441" s="48">
        <v>416</v>
      </c>
      <c r="E441" s="48">
        <v>472.1</v>
      </c>
      <c r="F441" s="95">
        <v>395.31</v>
      </c>
      <c r="G441" s="240">
        <v>353.05</v>
      </c>
      <c r="H441" s="48">
        <v>532</v>
      </c>
      <c r="I441" s="48">
        <v>420</v>
      </c>
      <c r="J441" s="48"/>
    </row>
    <row r="442" spans="1:10" x14ac:dyDescent="0.2">
      <c r="A442" s="47" t="s">
        <v>21</v>
      </c>
      <c r="B442" s="48">
        <v>76.900000000000006</v>
      </c>
      <c r="C442" s="94">
        <v>57.9</v>
      </c>
      <c r="D442" s="48">
        <v>100.9</v>
      </c>
      <c r="E442" s="48">
        <v>87.799999999999955</v>
      </c>
      <c r="F442" s="95">
        <v>151.48999999999995</v>
      </c>
      <c r="G442" s="240">
        <f>G439-G441</f>
        <v>197.74999999999994</v>
      </c>
      <c r="H442" s="274">
        <f>H439-H441</f>
        <v>18.799999999999955</v>
      </c>
      <c r="I442" s="274">
        <f>I439-I441</f>
        <v>57.799999999999955</v>
      </c>
      <c r="J442" s="48"/>
    </row>
    <row r="443" spans="1:10" x14ac:dyDescent="0.2">
      <c r="A443" s="50" t="s">
        <v>22</v>
      </c>
      <c r="B443" s="58">
        <v>2016</v>
      </c>
      <c r="C443" s="82">
        <v>2017</v>
      </c>
      <c r="D443" s="58">
        <v>2018</v>
      </c>
      <c r="E443" s="83">
        <v>2019</v>
      </c>
      <c r="F443" s="83">
        <v>2020</v>
      </c>
      <c r="G443" s="83">
        <v>2021</v>
      </c>
      <c r="H443" s="83">
        <v>2022</v>
      </c>
      <c r="I443" s="83">
        <v>2023</v>
      </c>
      <c r="J443" s="83">
        <v>2024</v>
      </c>
    </row>
    <row r="444" spans="1:10" x14ac:dyDescent="0.2">
      <c r="A444" s="47" t="s">
        <v>23</v>
      </c>
      <c r="B444" s="59"/>
      <c r="C444" s="59"/>
      <c r="D444" s="59"/>
      <c r="E444" s="59"/>
      <c r="F444" s="59"/>
      <c r="G444" s="59"/>
      <c r="H444" s="59"/>
      <c r="I444" s="59"/>
      <c r="J444" s="57"/>
    </row>
    <row r="445" spans="1:10" ht="13.15" customHeight="1" x14ac:dyDescent="0.2">
      <c r="A445" s="20" t="s">
        <v>98</v>
      </c>
      <c r="J445" s="21"/>
    </row>
    <row r="446" spans="1:10" ht="13.15" customHeight="1" x14ac:dyDescent="0.2">
      <c r="A446" s="724" t="s">
        <v>382</v>
      </c>
      <c r="B446" s="706"/>
      <c r="C446" s="706"/>
      <c r="D446" s="706"/>
      <c r="E446" s="706"/>
      <c r="F446" s="706"/>
      <c r="J446" s="21"/>
    </row>
    <row r="447" spans="1:10" x14ac:dyDescent="0.2">
      <c r="A447" s="78" t="s">
        <v>354</v>
      </c>
      <c r="B447" s="115"/>
      <c r="C447" s="115"/>
      <c r="D447" s="115"/>
      <c r="E447" s="115"/>
      <c r="F447" s="115"/>
      <c r="J447" s="21"/>
    </row>
    <row r="448" spans="1:10" x14ac:dyDescent="0.2">
      <c r="A448" s="78" t="s">
        <v>355</v>
      </c>
      <c r="B448" s="115"/>
      <c r="C448" s="115"/>
      <c r="D448" s="115"/>
      <c r="E448" s="115"/>
      <c r="F448" s="115"/>
      <c r="J448" s="21"/>
    </row>
    <row r="449" spans="1:10" ht="13.15" customHeight="1" x14ac:dyDescent="0.2">
      <c r="A449" s="78" t="s">
        <v>454</v>
      </c>
      <c r="B449" s="115"/>
      <c r="C449" s="115"/>
      <c r="D449" s="115"/>
      <c r="E449" s="115"/>
      <c r="F449" s="115"/>
      <c r="J449" s="21"/>
    </row>
    <row r="450" spans="1:10" ht="13.15" customHeight="1" x14ac:dyDescent="0.2">
      <c r="A450" s="78" t="s">
        <v>455</v>
      </c>
      <c r="B450" s="115"/>
      <c r="C450" s="115"/>
      <c r="D450" s="115"/>
      <c r="E450" s="115"/>
      <c r="F450" s="115"/>
      <c r="J450" s="21"/>
    </row>
    <row r="451" spans="1:10" ht="13.15" customHeight="1" x14ac:dyDescent="0.2">
      <c r="A451" s="78" t="s">
        <v>676</v>
      </c>
      <c r="B451" s="115"/>
      <c r="C451" s="115"/>
      <c r="D451" s="115"/>
      <c r="E451" s="115"/>
      <c r="F451" s="115"/>
      <c r="J451" s="21"/>
    </row>
    <row r="452" spans="1:10" ht="12.75" customHeight="1" x14ac:dyDescent="0.2">
      <c r="A452" s="60" t="s">
        <v>834</v>
      </c>
      <c r="B452" s="124"/>
      <c r="C452" s="124"/>
      <c r="D452" s="124"/>
      <c r="E452" s="124"/>
      <c r="F452" s="124"/>
      <c r="G452" s="33"/>
      <c r="H452" s="33"/>
      <c r="I452" s="33"/>
      <c r="J452" s="34"/>
    </row>
    <row r="454" spans="1:10" x14ac:dyDescent="0.2">
      <c r="A454" s="96" t="s">
        <v>14</v>
      </c>
      <c r="B454" s="56" t="s">
        <v>661</v>
      </c>
      <c r="C454" s="41" t="s">
        <v>15</v>
      </c>
    </row>
    <row r="455" spans="1:10" x14ac:dyDescent="0.2">
      <c r="A455" s="47" t="s">
        <v>16</v>
      </c>
      <c r="B455" s="52">
        <v>2015</v>
      </c>
      <c r="C455" s="93">
        <v>2016</v>
      </c>
      <c r="D455" s="52">
        <v>2017</v>
      </c>
      <c r="E455" s="109">
        <v>2018</v>
      </c>
      <c r="F455" s="109">
        <v>2019</v>
      </c>
      <c r="G455" s="52">
        <v>2020</v>
      </c>
      <c r="H455" s="52">
        <v>2021</v>
      </c>
      <c r="I455" s="52">
        <v>2022</v>
      </c>
      <c r="J455" s="52">
        <v>2023</v>
      </c>
    </row>
    <row r="456" spans="1:10" x14ac:dyDescent="0.2">
      <c r="A456" s="47" t="s">
        <v>17</v>
      </c>
      <c r="B456" s="23">
        <v>48.76</v>
      </c>
      <c r="C456" s="97">
        <v>58.28</v>
      </c>
      <c r="D456" s="23">
        <v>69.97</v>
      </c>
      <c r="E456" s="98">
        <v>79</v>
      </c>
      <c r="F456" s="98">
        <v>84</v>
      </c>
      <c r="G456" s="23">
        <v>90</v>
      </c>
      <c r="H456" s="23">
        <v>90</v>
      </c>
      <c r="I456" s="23">
        <v>90</v>
      </c>
      <c r="J456" s="23">
        <v>101</v>
      </c>
    </row>
    <row r="457" spans="1:10" x14ac:dyDescent="0.2">
      <c r="A457" s="47" t="s">
        <v>18</v>
      </c>
      <c r="B457" s="23">
        <v>38.76</v>
      </c>
      <c r="C457" s="97">
        <v>48.28</v>
      </c>
      <c r="D457" s="23">
        <v>59.97</v>
      </c>
      <c r="E457" s="98">
        <v>29</v>
      </c>
      <c r="F457" s="98">
        <v>34</v>
      </c>
      <c r="G457" s="23">
        <f>G456-50</f>
        <v>40</v>
      </c>
      <c r="H457" s="23">
        <f>H456-50</f>
        <v>40</v>
      </c>
      <c r="I457" s="23">
        <f>I456-50</f>
        <v>40</v>
      </c>
      <c r="J457" s="23">
        <v>51</v>
      </c>
    </row>
    <row r="458" spans="1:10" x14ac:dyDescent="0.2">
      <c r="A458" s="47" t="s">
        <v>19</v>
      </c>
      <c r="B458" s="158" t="s">
        <v>99</v>
      </c>
      <c r="C458" s="158" t="s">
        <v>100</v>
      </c>
      <c r="D458" s="158" t="s">
        <v>101</v>
      </c>
      <c r="E458" s="159" t="s">
        <v>102</v>
      </c>
      <c r="F458" s="159" t="s">
        <v>103</v>
      </c>
      <c r="G458" s="157" t="s">
        <v>356</v>
      </c>
      <c r="H458" s="157" t="s">
        <v>356</v>
      </c>
      <c r="I458" s="157" t="s">
        <v>356</v>
      </c>
      <c r="J458" s="157" t="s">
        <v>835</v>
      </c>
    </row>
    <row r="459" spans="1:10" x14ac:dyDescent="0.2">
      <c r="A459" s="47" t="s">
        <v>20</v>
      </c>
      <c r="B459" s="23">
        <v>0</v>
      </c>
      <c r="C459" s="97">
        <v>0</v>
      </c>
      <c r="D459" s="23">
        <v>0</v>
      </c>
      <c r="E459" s="23">
        <v>0</v>
      </c>
      <c r="F459" s="98">
        <v>0</v>
      </c>
      <c r="G459" s="23">
        <v>0</v>
      </c>
      <c r="H459" s="23">
        <v>0</v>
      </c>
      <c r="I459" s="23"/>
      <c r="J459" s="23"/>
    </row>
    <row r="460" spans="1:10" x14ac:dyDescent="0.2">
      <c r="A460" s="47" t="s">
        <v>21</v>
      </c>
      <c r="B460" s="23">
        <v>38.76</v>
      </c>
      <c r="C460" s="97">
        <v>48.28</v>
      </c>
      <c r="D460" s="23">
        <v>59.97</v>
      </c>
      <c r="E460" s="23">
        <v>29</v>
      </c>
      <c r="F460" s="98">
        <f>F457-F459</f>
        <v>34</v>
      </c>
      <c r="G460" s="23">
        <f>G457-G459</f>
        <v>40</v>
      </c>
      <c r="H460" s="23">
        <f>H457-H459</f>
        <v>40</v>
      </c>
      <c r="I460" s="23"/>
      <c r="J460" s="23"/>
    </row>
    <row r="461" spans="1:10" x14ac:dyDescent="0.2">
      <c r="A461" s="50" t="s">
        <v>22</v>
      </c>
      <c r="B461" s="58">
        <v>2017</v>
      </c>
      <c r="C461" s="82">
        <v>2018</v>
      </c>
      <c r="D461" s="58">
        <v>2019</v>
      </c>
      <c r="E461" s="58">
        <v>2020</v>
      </c>
      <c r="F461" s="58">
        <v>2021</v>
      </c>
      <c r="G461" s="58">
        <v>2022</v>
      </c>
      <c r="H461" s="58">
        <v>2023</v>
      </c>
      <c r="I461" s="58">
        <v>2024</v>
      </c>
      <c r="J461" s="58">
        <v>2025</v>
      </c>
    </row>
    <row r="462" spans="1:10" x14ac:dyDescent="0.2">
      <c r="A462" s="47" t="s">
        <v>23</v>
      </c>
      <c r="B462" s="59"/>
      <c r="C462" s="59"/>
      <c r="D462" s="59"/>
      <c r="E462" s="59"/>
      <c r="F462" s="59"/>
      <c r="G462" s="59"/>
      <c r="H462" s="59"/>
      <c r="I462" s="59"/>
      <c r="J462" s="57"/>
    </row>
    <row r="463" spans="1:10" x14ac:dyDescent="0.2">
      <c r="A463" s="260" t="s">
        <v>104</v>
      </c>
      <c r="B463" s="30"/>
      <c r="C463" s="30"/>
      <c r="D463" s="30"/>
      <c r="E463" s="30"/>
      <c r="F463" s="30"/>
      <c r="G463" s="30"/>
      <c r="H463" s="30"/>
      <c r="I463" s="30"/>
      <c r="J463" s="31"/>
    </row>
    <row r="464" spans="1:10" x14ac:dyDescent="0.2">
      <c r="A464" s="262" t="s">
        <v>357</v>
      </c>
      <c r="J464" s="21"/>
    </row>
    <row r="465" spans="1:10" x14ac:dyDescent="0.2">
      <c r="A465" s="262" t="s">
        <v>456</v>
      </c>
      <c r="J465" s="21"/>
    </row>
    <row r="466" spans="1:10" x14ac:dyDescent="0.2">
      <c r="A466" s="262" t="s">
        <v>677</v>
      </c>
      <c r="J466" s="21"/>
    </row>
    <row r="467" spans="1:10" x14ac:dyDescent="0.2">
      <c r="A467" s="253" t="s">
        <v>836</v>
      </c>
      <c r="B467" s="33"/>
      <c r="C467" s="33"/>
      <c r="D467" s="33"/>
      <c r="E467" s="33"/>
      <c r="F467" s="33"/>
      <c r="G467" s="33"/>
      <c r="H467" s="33"/>
      <c r="I467" s="33"/>
      <c r="J467" s="34"/>
    </row>
    <row r="468" spans="1:10" x14ac:dyDescent="0.2">
      <c r="A468" s="32"/>
      <c r="B468" s="33"/>
    </row>
    <row r="469" spans="1:10" x14ac:dyDescent="0.2">
      <c r="A469" s="96" t="s">
        <v>14</v>
      </c>
      <c r="B469" s="56" t="s">
        <v>66</v>
      </c>
      <c r="C469" s="41" t="s">
        <v>15</v>
      </c>
    </row>
    <row r="470" spans="1:10" x14ac:dyDescent="0.2">
      <c r="A470" s="47" t="s">
        <v>16</v>
      </c>
      <c r="B470" s="52">
        <v>2015</v>
      </c>
      <c r="C470" s="93">
        <v>2016</v>
      </c>
      <c r="D470" s="52">
        <v>2017</v>
      </c>
      <c r="E470" s="109">
        <v>2018</v>
      </c>
      <c r="F470" s="109">
        <v>2019</v>
      </c>
      <c r="G470" s="52">
        <v>2020</v>
      </c>
      <c r="H470" s="239">
        <v>2021</v>
      </c>
      <c r="I470" s="239">
        <v>2022</v>
      </c>
      <c r="J470" s="239">
        <v>2023</v>
      </c>
    </row>
    <row r="471" spans="1:10" x14ac:dyDescent="0.2">
      <c r="A471" s="47" t="s">
        <v>17</v>
      </c>
      <c r="B471" s="48">
        <v>15583</v>
      </c>
      <c r="C471" s="94">
        <v>11679</v>
      </c>
      <c r="D471" s="48">
        <v>11679</v>
      </c>
      <c r="E471" s="95">
        <v>11679</v>
      </c>
      <c r="F471" s="95">
        <v>11679</v>
      </c>
      <c r="G471" s="48">
        <v>9226.41</v>
      </c>
      <c r="H471" s="240">
        <v>9078.7900000000009</v>
      </c>
      <c r="I471" s="240">
        <v>9152.6</v>
      </c>
      <c r="J471" s="240">
        <v>9152.6</v>
      </c>
    </row>
    <row r="472" spans="1:10" x14ac:dyDescent="0.2">
      <c r="A472" s="320" t="s">
        <v>18</v>
      </c>
      <c r="B472" s="274">
        <v>20187.900000000001</v>
      </c>
      <c r="C472" s="334">
        <v>16353.9</v>
      </c>
      <c r="D472" s="274">
        <f>14016.45</f>
        <v>14016.45</v>
      </c>
      <c r="E472" s="255">
        <v>13653.85</v>
      </c>
      <c r="F472" s="255">
        <v>13653.85</v>
      </c>
      <c r="G472" s="48">
        <f>G471+E471*0.15+223</f>
        <v>11201.26</v>
      </c>
      <c r="H472" s="240">
        <f>H471+0.1*F471+223</f>
        <v>10469.69</v>
      </c>
      <c r="I472" s="240">
        <f>I471+0.1*G471+223</f>
        <v>10298.241</v>
      </c>
      <c r="J472" s="240">
        <f>J471+0.1*H471+223</f>
        <v>10283.479000000001</v>
      </c>
    </row>
    <row r="473" spans="1:10" x14ac:dyDescent="0.2">
      <c r="A473" s="320" t="s">
        <v>19</v>
      </c>
      <c r="B473" s="335" t="s">
        <v>105</v>
      </c>
      <c r="C473" s="335" t="s">
        <v>106</v>
      </c>
      <c r="D473" s="335" t="s">
        <v>107</v>
      </c>
      <c r="E473" s="336" t="s">
        <v>108</v>
      </c>
      <c r="F473" s="336" t="s">
        <v>108</v>
      </c>
      <c r="G473" s="40" t="s">
        <v>457</v>
      </c>
      <c r="H473" s="70" t="s">
        <v>837</v>
      </c>
      <c r="I473" s="70" t="s">
        <v>838</v>
      </c>
      <c r="J473" s="70" t="s">
        <v>839</v>
      </c>
    </row>
    <row r="474" spans="1:10" x14ac:dyDescent="0.2">
      <c r="A474" s="320" t="s">
        <v>20</v>
      </c>
      <c r="B474" s="274">
        <v>16453</v>
      </c>
      <c r="C474" s="334">
        <v>13115</v>
      </c>
      <c r="D474" s="274">
        <v>11845</v>
      </c>
      <c r="E474" s="274">
        <v>11630</v>
      </c>
      <c r="F474" s="255">
        <v>11288</v>
      </c>
      <c r="G474" s="48">
        <v>9226</v>
      </c>
      <c r="H474" s="240">
        <v>4092.6</v>
      </c>
      <c r="I474" s="240">
        <v>8181</v>
      </c>
      <c r="J474" s="240"/>
    </row>
    <row r="475" spans="1:10" x14ac:dyDescent="0.2">
      <c r="A475" s="320" t="s">
        <v>21</v>
      </c>
      <c r="B475" s="274">
        <v>3734.9</v>
      </c>
      <c r="C475" s="334">
        <v>3238.9</v>
      </c>
      <c r="D475" s="274">
        <v>2171.4499999999998</v>
      </c>
      <c r="E475" s="274">
        <v>2023.85</v>
      </c>
      <c r="F475" s="255">
        <f>F472-F474</f>
        <v>2365.8500000000004</v>
      </c>
      <c r="G475" s="48">
        <f>G472-G474</f>
        <v>1975.2600000000002</v>
      </c>
      <c r="H475" s="240">
        <f>H472-H474</f>
        <v>6377.09</v>
      </c>
      <c r="I475" s="240">
        <f>I472-I474</f>
        <v>2117.241</v>
      </c>
      <c r="J475" s="240"/>
    </row>
    <row r="476" spans="1:10" x14ac:dyDescent="0.2">
      <c r="A476" s="260" t="s">
        <v>22</v>
      </c>
      <c r="B476" s="292">
        <v>2017</v>
      </c>
      <c r="C476" s="337">
        <v>2018</v>
      </c>
      <c r="D476" s="292">
        <v>2019</v>
      </c>
      <c r="E476" s="292">
        <v>2020</v>
      </c>
      <c r="F476" s="293">
        <v>2021</v>
      </c>
      <c r="G476" s="58">
        <v>2022</v>
      </c>
      <c r="H476" s="241">
        <v>2023</v>
      </c>
      <c r="I476" s="241">
        <v>2024</v>
      </c>
      <c r="J476" s="241"/>
    </row>
    <row r="477" spans="1:10" x14ac:dyDescent="0.2">
      <c r="A477" s="260" t="s">
        <v>23</v>
      </c>
      <c r="B477" s="261"/>
      <c r="C477" s="261"/>
      <c r="D477" s="261"/>
      <c r="E477" s="261"/>
      <c r="F477" s="261"/>
      <c r="G477" s="30"/>
      <c r="H477" s="31"/>
      <c r="I477" s="31"/>
      <c r="J477" s="31"/>
    </row>
    <row r="478" spans="1:10" x14ac:dyDescent="0.2">
      <c r="A478" s="260" t="s">
        <v>109</v>
      </c>
      <c r="B478" s="261"/>
      <c r="C478" s="261"/>
      <c r="D478" s="261"/>
      <c r="E478" s="261"/>
      <c r="F478" s="261"/>
      <c r="G478" s="30"/>
      <c r="H478" s="30"/>
      <c r="I478" s="31"/>
      <c r="J478" s="31"/>
    </row>
    <row r="479" spans="1:10" x14ac:dyDescent="0.2">
      <c r="A479" s="262" t="s">
        <v>358</v>
      </c>
      <c r="B479" s="263"/>
      <c r="C479" s="263"/>
      <c r="D479" s="263"/>
      <c r="E479" s="263"/>
      <c r="F479" s="263"/>
      <c r="I479" s="21"/>
      <c r="J479" s="21"/>
    </row>
    <row r="480" spans="1:10" x14ac:dyDescent="0.2">
      <c r="A480" s="262" t="s">
        <v>358</v>
      </c>
      <c r="B480" s="263"/>
      <c r="C480" s="263"/>
      <c r="D480" s="263"/>
      <c r="E480" s="263"/>
      <c r="F480" s="263"/>
      <c r="I480" s="21"/>
      <c r="J480" s="21"/>
    </row>
    <row r="481" spans="1:10" x14ac:dyDescent="0.2">
      <c r="A481" s="262" t="s">
        <v>601</v>
      </c>
      <c r="B481" s="263"/>
      <c r="C481" s="263"/>
      <c r="D481" s="263"/>
      <c r="E481" s="263"/>
      <c r="F481" s="263"/>
      <c r="I481" s="21"/>
      <c r="J481" s="21"/>
    </row>
    <row r="482" spans="1:10" x14ac:dyDescent="0.2">
      <c r="A482" s="262" t="s">
        <v>678</v>
      </c>
      <c r="B482" s="263"/>
      <c r="C482" s="263"/>
      <c r="D482" s="263"/>
      <c r="E482" s="263"/>
      <c r="F482" s="263"/>
      <c r="I482" s="21"/>
      <c r="J482" s="21"/>
    </row>
    <row r="483" spans="1:10" x14ac:dyDescent="0.2">
      <c r="A483" s="276" t="s">
        <v>840</v>
      </c>
      <c r="B483" s="338"/>
      <c r="C483" s="338"/>
      <c r="D483" s="338"/>
      <c r="E483" s="338"/>
      <c r="F483" s="338"/>
      <c r="G483" s="33"/>
      <c r="H483" s="33"/>
      <c r="I483" s="34"/>
      <c r="J483" s="34"/>
    </row>
    <row r="485" spans="1:10" x14ac:dyDescent="0.2">
      <c r="A485" s="96" t="s">
        <v>14</v>
      </c>
      <c r="B485" s="56" t="s">
        <v>74</v>
      </c>
      <c r="C485" s="41" t="s">
        <v>15</v>
      </c>
    </row>
    <row r="486" spans="1:10" x14ac:dyDescent="0.2">
      <c r="A486" s="47" t="s">
        <v>16</v>
      </c>
      <c r="B486" s="52">
        <v>2015</v>
      </c>
      <c r="C486" s="93">
        <v>2016</v>
      </c>
      <c r="D486" s="52">
        <v>2017</v>
      </c>
      <c r="E486" s="109">
        <v>2018</v>
      </c>
      <c r="F486" s="109">
        <v>2019</v>
      </c>
      <c r="G486" s="52">
        <v>2020</v>
      </c>
      <c r="H486" s="52">
        <v>2021</v>
      </c>
      <c r="I486" s="52">
        <v>2022</v>
      </c>
    </row>
    <row r="487" spans="1:10" x14ac:dyDescent="0.2">
      <c r="A487" s="47" t="s">
        <v>17</v>
      </c>
      <c r="B487" s="23">
        <v>150</v>
      </c>
      <c r="C487" s="97">
        <v>150</v>
      </c>
      <c r="D487" s="23">
        <v>150</v>
      </c>
      <c r="E487" s="98">
        <v>150</v>
      </c>
      <c r="F487" s="98">
        <v>150</v>
      </c>
      <c r="G487" s="23">
        <v>126.2</v>
      </c>
      <c r="H487" s="23">
        <v>126.2</v>
      </c>
      <c r="I487" s="23">
        <v>126.2</v>
      </c>
    </row>
    <row r="488" spans="1:10" x14ac:dyDescent="0.2">
      <c r="A488" s="47" t="s">
        <v>18</v>
      </c>
      <c r="B488" s="23">
        <v>165</v>
      </c>
      <c r="C488" s="97">
        <v>165</v>
      </c>
      <c r="D488" s="23">
        <v>165</v>
      </c>
      <c r="E488" s="98">
        <v>165</v>
      </c>
      <c r="F488" s="98">
        <v>165</v>
      </c>
      <c r="G488" s="23">
        <f>G487+0.1*E487</f>
        <v>141.19999999999999</v>
      </c>
      <c r="H488" s="23">
        <f>H487+0.1*F487</f>
        <v>141.19999999999999</v>
      </c>
      <c r="I488" s="23"/>
    </row>
    <row r="489" spans="1:10" x14ac:dyDescent="0.2">
      <c r="A489" s="47" t="s">
        <v>19</v>
      </c>
      <c r="B489" s="158" t="s">
        <v>110</v>
      </c>
      <c r="C489" s="158" t="s">
        <v>110</v>
      </c>
      <c r="D489" s="158" t="s">
        <v>110</v>
      </c>
      <c r="E489" s="159" t="s">
        <v>110</v>
      </c>
      <c r="F489" s="159" t="s">
        <v>110</v>
      </c>
      <c r="G489" s="159" t="s">
        <v>359</v>
      </c>
      <c r="H489" s="159" t="s">
        <v>359</v>
      </c>
      <c r="I489" s="159"/>
    </row>
    <row r="490" spans="1:10" x14ac:dyDescent="0.2">
      <c r="A490" s="47" t="s">
        <v>20</v>
      </c>
      <c r="B490" s="23">
        <v>61</v>
      </c>
      <c r="C490" s="97">
        <v>75</v>
      </c>
      <c r="D490" s="23">
        <v>73</v>
      </c>
      <c r="E490" s="23">
        <v>74</v>
      </c>
      <c r="F490" s="98">
        <v>40</v>
      </c>
      <c r="G490" s="46">
        <v>91.4</v>
      </c>
      <c r="H490" s="257">
        <v>96.1</v>
      </c>
      <c r="I490" s="23">
        <v>58</v>
      </c>
    </row>
    <row r="491" spans="1:10" x14ac:dyDescent="0.2">
      <c r="A491" s="47" t="s">
        <v>21</v>
      </c>
      <c r="B491" s="23">
        <v>104</v>
      </c>
      <c r="C491" s="97">
        <v>90</v>
      </c>
      <c r="D491" s="23">
        <v>92</v>
      </c>
      <c r="E491" s="23">
        <v>91</v>
      </c>
      <c r="F491" s="98">
        <f>F488-F490</f>
        <v>125</v>
      </c>
      <c r="G491" s="46">
        <f>G488-G490</f>
        <v>49.799999999999983</v>
      </c>
      <c r="H491" s="257">
        <f>H488-H490</f>
        <v>45.099999999999994</v>
      </c>
      <c r="I491" s="23">
        <f>I487-I490</f>
        <v>68.2</v>
      </c>
    </row>
    <row r="492" spans="1:10" x14ac:dyDescent="0.2">
      <c r="A492" s="50" t="s">
        <v>22</v>
      </c>
      <c r="B492" s="58">
        <v>2017</v>
      </c>
      <c r="C492" s="82">
        <v>2018</v>
      </c>
      <c r="D492" s="58">
        <v>2019</v>
      </c>
      <c r="E492" s="58">
        <v>2020</v>
      </c>
      <c r="F492" s="83">
        <v>2021</v>
      </c>
      <c r="G492" s="58" t="s">
        <v>161</v>
      </c>
      <c r="H492" s="58" t="s">
        <v>161</v>
      </c>
      <c r="I492" s="58" t="s">
        <v>161</v>
      </c>
    </row>
    <row r="493" spans="1:10" x14ac:dyDescent="0.2">
      <c r="A493" s="50" t="s">
        <v>23</v>
      </c>
      <c r="B493" s="30"/>
      <c r="C493" s="30"/>
      <c r="D493" s="30"/>
      <c r="E493" s="30"/>
      <c r="F493" s="30"/>
      <c r="G493" s="30"/>
      <c r="H493" s="31"/>
      <c r="I493" s="31"/>
    </row>
    <row r="494" spans="1:10" x14ac:dyDescent="0.2">
      <c r="A494" s="705" t="s">
        <v>111</v>
      </c>
      <c r="B494" s="725"/>
      <c r="C494" s="725"/>
      <c r="D494" s="725"/>
      <c r="E494" s="725"/>
      <c r="F494" s="725"/>
      <c r="G494" s="30"/>
      <c r="H494" s="30"/>
      <c r="I494" s="31"/>
    </row>
    <row r="495" spans="1:10" x14ac:dyDescent="0.2">
      <c r="A495" s="78" t="s">
        <v>360</v>
      </c>
      <c r="B495" s="115"/>
      <c r="C495" s="115"/>
      <c r="D495" s="115"/>
      <c r="E495" s="115"/>
      <c r="F495" s="115"/>
      <c r="I495" s="21"/>
    </row>
    <row r="496" spans="1:10" x14ac:dyDescent="0.2">
      <c r="A496" s="78" t="s">
        <v>458</v>
      </c>
      <c r="B496" s="115"/>
      <c r="C496" s="115"/>
      <c r="D496" s="115"/>
      <c r="E496" s="115"/>
      <c r="F496" s="115"/>
      <c r="I496" s="21"/>
    </row>
    <row r="497" spans="1:9" x14ac:dyDescent="0.2">
      <c r="A497" s="78" t="s">
        <v>679</v>
      </c>
      <c r="B497" s="115"/>
      <c r="C497" s="115"/>
      <c r="D497" s="115"/>
      <c r="E497" s="115"/>
      <c r="F497" s="115"/>
      <c r="I497" s="21"/>
    </row>
    <row r="498" spans="1:9" x14ac:dyDescent="0.2">
      <c r="A498" s="32" t="s">
        <v>829</v>
      </c>
      <c r="B498" s="33"/>
      <c r="C498" s="33"/>
      <c r="D498" s="33"/>
      <c r="E498" s="33"/>
      <c r="F498" s="33"/>
      <c r="G498" s="33"/>
      <c r="H498" s="33"/>
      <c r="I498" s="34"/>
    </row>
    <row r="500" spans="1:9" x14ac:dyDescent="0.2">
      <c r="A500" s="317" t="s">
        <v>14</v>
      </c>
      <c r="B500" s="331" t="s">
        <v>79</v>
      </c>
      <c r="C500" s="319" t="s">
        <v>15</v>
      </c>
      <c r="D500" s="263"/>
      <c r="E500" s="263"/>
      <c r="F500" s="263"/>
      <c r="G500" s="263"/>
      <c r="H500" s="263"/>
      <c r="I500" s="263"/>
    </row>
    <row r="501" spans="1:9" x14ac:dyDescent="0.2">
      <c r="A501" s="320" t="s">
        <v>16</v>
      </c>
      <c r="B501" s="254">
        <v>2015</v>
      </c>
      <c r="C501" s="332">
        <v>2016</v>
      </c>
      <c r="D501" s="254">
        <v>2017</v>
      </c>
      <c r="E501" s="333">
        <v>2018</v>
      </c>
      <c r="F501" s="333">
        <v>2019</v>
      </c>
      <c r="G501" s="254">
        <v>2020</v>
      </c>
      <c r="H501" s="254">
        <v>2021</v>
      </c>
      <c r="I501" s="254">
        <v>2022</v>
      </c>
    </row>
    <row r="502" spans="1:9" x14ac:dyDescent="0.2">
      <c r="A502" s="320" t="s">
        <v>17</v>
      </c>
      <c r="B502" s="257">
        <v>50</v>
      </c>
      <c r="C502" s="340">
        <v>50</v>
      </c>
      <c r="D502" s="257">
        <v>50</v>
      </c>
      <c r="E502" s="341">
        <v>50</v>
      </c>
      <c r="F502" s="341">
        <v>50</v>
      </c>
      <c r="G502" s="257">
        <v>50</v>
      </c>
      <c r="H502" s="257">
        <v>50</v>
      </c>
      <c r="I502" s="257">
        <v>50</v>
      </c>
    </row>
    <row r="503" spans="1:9" x14ac:dyDescent="0.2">
      <c r="A503" s="320" t="s">
        <v>18</v>
      </c>
      <c r="B503" s="257">
        <v>55</v>
      </c>
      <c r="C503" s="340">
        <v>55</v>
      </c>
      <c r="D503" s="257">
        <v>55</v>
      </c>
      <c r="E503" s="341">
        <v>55</v>
      </c>
      <c r="F503" s="341">
        <v>55</v>
      </c>
      <c r="G503" s="257">
        <f>G502*1.1</f>
        <v>55.000000000000007</v>
      </c>
      <c r="H503" s="257">
        <f>H502*1.1</f>
        <v>55.000000000000007</v>
      </c>
      <c r="I503" s="257"/>
    </row>
    <row r="504" spans="1:9" x14ac:dyDescent="0.2">
      <c r="A504" s="320" t="s">
        <v>19</v>
      </c>
      <c r="B504" s="342" t="s">
        <v>112</v>
      </c>
      <c r="C504" s="342" t="s">
        <v>112</v>
      </c>
      <c r="D504" s="342" t="s">
        <v>112</v>
      </c>
      <c r="E504" s="343" t="s">
        <v>112</v>
      </c>
      <c r="F504" s="343" t="s">
        <v>112</v>
      </c>
      <c r="G504" s="343" t="s">
        <v>112</v>
      </c>
      <c r="H504" s="343" t="s">
        <v>112</v>
      </c>
      <c r="I504" s="343"/>
    </row>
    <row r="505" spans="1:9" x14ac:dyDescent="0.2">
      <c r="A505" s="320" t="s">
        <v>20</v>
      </c>
      <c r="B505" s="257">
        <v>12</v>
      </c>
      <c r="C505" s="257">
        <v>10</v>
      </c>
      <c r="D505" s="257">
        <v>5</v>
      </c>
      <c r="E505" s="257">
        <v>6</v>
      </c>
      <c r="F505" s="257">
        <v>2</v>
      </c>
      <c r="G505" s="257">
        <v>5.4</v>
      </c>
      <c r="H505" s="257">
        <v>5.2</v>
      </c>
      <c r="I505" s="257">
        <v>2</v>
      </c>
    </row>
    <row r="506" spans="1:9" x14ac:dyDescent="0.2">
      <c r="A506" s="320" t="s">
        <v>21</v>
      </c>
      <c r="B506" s="257">
        <v>43</v>
      </c>
      <c r="C506" s="257">
        <f>C503-C505</f>
        <v>45</v>
      </c>
      <c r="D506" s="257">
        <f t="shared" ref="D506:H506" si="17">D503-D505</f>
        <v>50</v>
      </c>
      <c r="E506" s="257">
        <f t="shared" si="17"/>
        <v>49</v>
      </c>
      <c r="F506" s="257">
        <f t="shared" si="17"/>
        <v>53</v>
      </c>
      <c r="G506" s="257">
        <f t="shared" si="17"/>
        <v>49.600000000000009</v>
      </c>
      <c r="H506" s="257">
        <f t="shared" si="17"/>
        <v>49.800000000000004</v>
      </c>
      <c r="I506" s="257">
        <f>I502-I505</f>
        <v>48</v>
      </c>
    </row>
    <row r="507" spans="1:9" x14ac:dyDescent="0.2">
      <c r="A507" s="260" t="s">
        <v>22</v>
      </c>
      <c r="B507" s="292">
        <v>2017</v>
      </c>
      <c r="C507" s="344">
        <v>2018</v>
      </c>
      <c r="D507" s="344">
        <v>2019</v>
      </c>
      <c r="E507" s="344">
        <v>2020</v>
      </c>
      <c r="F507" s="344">
        <v>2021</v>
      </c>
      <c r="G507" s="344" t="s">
        <v>161</v>
      </c>
      <c r="H507" s="344" t="s">
        <v>161</v>
      </c>
      <c r="I507" s="344" t="s">
        <v>161</v>
      </c>
    </row>
    <row r="508" spans="1:9" x14ac:dyDescent="0.2">
      <c r="A508" s="260" t="s">
        <v>23</v>
      </c>
      <c r="B508" s="261"/>
      <c r="C508" s="261"/>
      <c r="D508" s="261"/>
      <c r="E508" s="261"/>
      <c r="F508" s="261"/>
      <c r="G508" s="261"/>
      <c r="H508" s="259"/>
      <c r="I508" s="259"/>
    </row>
    <row r="509" spans="1:9" x14ac:dyDescent="0.2">
      <c r="A509" s="703" t="s">
        <v>113</v>
      </c>
      <c r="B509" s="704"/>
      <c r="C509" s="704"/>
      <c r="D509" s="704"/>
      <c r="E509" s="704"/>
      <c r="F509" s="704"/>
      <c r="G509" s="261"/>
      <c r="H509" s="261"/>
      <c r="I509" s="259"/>
    </row>
    <row r="510" spans="1:9" x14ac:dyDescent="0.2">
      <c r="A510" s="78" t="s">
        <v>361</v>
      </c>
      <c r="B510" s="115"/>
      <c r="C510" s="115"/>
      <c r="D510" s="115"/>
      <c r="E510" s="115"/>
      <c r="F510" s="115"/>
      <c r="I510" s="21"/>
    </row>
    <row r="511" spans="1:9" x14ac:dyDescent="0.2">
      <c r="A511" s="78" t="s">
        <v>459</v>
      </c>
      <c r="B511" s="115"/>
      <c r="C511" s="115"/>
      <c r="D511" s="115"/>
      <c r="E511" s="115"/>
      <c r="F511" s="115"/>
      <c r="I511" s="21"/>
    </row>
    <row r="512" spans="1:9" x14ac:dyDescent="0.2">
      <c r="A512" s="78" t="s">
        <v>680</v>
      </c>
      <c r="B512" s="115"/>
      <c r="C512" s="115"/>
      <c r="D512" s="115"/>
      <c r="E512" s="115"/>
      <c r="F512" s="115"/>
      <c r="I512" s="21"/>
    </row>
    <row r="513" spans="1:9" x14ac:dyDescent="0.2">
      <c r="A513" s="32" t="s">
        <v>829</v>
      </c>
      <c r="B513" s="33"/>
      <c r="C513" s="33"/>
      <c r="D513" s="33"/>
      <c r="E513" s="33"/>
      <c r="F513" s="33"/>
      <c r="G513" s="33"/>
      <c r="H513" s="33"/>
      <c r="I513" s="34"/>
    </row>
    <row r="516" spans="1:9" x14ac:dyDescent="0.2">
      <c r="A516" s="690" t="s">
        <v>12</v>
      </c>
      <c r="B516" s="691" t="s">
        <v>628</v>
      </c>
      <c r="C516" s="263"/>
      <c r="D516" s="263"/>
      <c r="E516" s="263"/>
      <c r="F516" s="263"/>
      <c r="G516" s="263"/>
      <c r="H516" s="263"/>
      <c r="I516" s="263"/>
    </row>
    <row r="517" spans="1:9" x14ac:dyDescent="0.2">
      <c r="A517" s="688" t="s">
        <v>14</v>
      </c>
      <c r="B517" s="689" t="s">
        <v>638</v>
      </c>
      <c r="C517" s="307" t="s">
        <v>152</v>
      </c>
      <c r="D517" s="309"/>
      <c r="E517" s="309"/>
      <c r="F517" s="309"/>
      <c r="G517" s="309"/>
      <c r="H517" s="263"/>
      <c r="I517" s="263"/>
    </row>
    <row r="518" spans="1:9" s="278" customFormat="1" x14ac:dyDescent="0.2">
      <c r="A518" s="345" t="s">
        <v>27</v>
      </c>
      <c r="B518" s="346">
        <v>2016</v>
      </c>
      <c r="C518" s="346">
        <v>2017</v>
      </c>
      <c r="D518" s="347">
        <v>2018</v>
      </c>
      <c r="E518" s="346">
        <v>2019</v>
      </c>
      <c r="F518" s="348">
        <v>2020</v>
      </c>
      <c r="G518" s="348">
        <v>2021</v>
      </c>
      <c r="H518" s="348">
        <v>2022</v>
      </c>
      <c r="I518" s="348">
        <v>2023</v>
      </c>
    </row>
    <row r="519" spans="1:9" s="278" customFormat="1" x14ac:dyDescent="0.2">
      <c r="A519" s="345" t="s">
        <v>28</v>
      </c>
      <c r="B519" s="349">
        <v>200</v>
      </c>
      <c r="C519" s="349">
        <v>200</v>
      </c>
      <c r="D519" s="349">
        <v>200</v>
      </c>
      <c r="E519" s="349">
        <v>215</v>
      </c>
      <c r="F519" s="350">
        <v>215</v>
      </c>
      <c r="G519" s="350">
        <v>242</v>
      </c>
      <c r="H519" s="349">
        <v>242</v>
      </c>
      <c r="I519" s="349">
        <v>242</v>
      </c>
    </row>
    <row r="520" spans="1:9" s="278" customFormat="1" x14ac:dyDescent="0.2">
      <c r="A520" s="345" t="s">
        <v>29</v>
      </c>
      <c r="B520" s="351">
        <f>(B519+0.25*200)</f>
        <v>250</v>
      </c>
      <c r="C520" s="351">
        <f>(C519+0.25*B519)</f>
        <v>250</v>
      </c>
      <c r="D520" s="351">
        <f t="shared" ref="D520:I520" si="18">(D519+0.25*C519)</f>
        <v>250</v>
      </c>
      <c r="E520" s="351">
        <f t="shared" si="18"/>
        <v>265</v>
      </c>
      <c r="F520" s="351">
        <f t="shared" si="18"/>
        <v>268.75</v>
      </c>
      <c r="G520" s="351">
        <f t="shared" si="18"/>
        <v>295.75</v>
      </c>
      <c r="H520" s="352">
        <f t="shared" si="18"/>
        <v>302.5</v>
      </c>
      <c r="I520" s="352">
        <f t="shared" si="18"/>
        <v>302.5</v>
      </c>
    </row>
    <row r="521" spans="1:9" s="278" customFormat="1" x14ac:dyDescent="0.2">
      <c r="A521" s="345" t="s">
        <v>30</v>
      </c>
      <c r="B521" s="351"/>
      <c r="C521" s="351"/>
      <c r="D521" s="353"/>
      <c r="E521" s="351"/>
      <c r="F521" s="354"/>
      <c r="G521" s="354"/>
      <c r="H521" s="354"/>
      <c r="I521" s="354"/>
    </row>
    <row r="522" spans="1:9" s="278" customFormat="1" x14ac:dyDescent="0.2">
      <c r="A522" s="345" t="s">
        <v>31</v>
      </c>
      <c r="B522" s="349">
        <v>4.6470000000000002</v>
      </c>
      <c r="C522" s="349">
        <v>11.226000000000001</v>
      </c>
      <c r="D522" s="349">
        <v>4.8979999999999997</v>
      </c>
      <c r="E522" s="350">
        <v>1.35</v>
      </c>
      <c r="F522" s="350">
        <v>0.64</v>
      </c>
      <c r="G522" s="350">
        <v>2.34</v>
      </c>
      <c r="H522" s="354">
        <v>1.49</v>
      </c>
      <c r="I522" s="354"/>
    </row>
    <row r="523" spans="1:9" s="278" customFormat="1" x14ac:dyDescent="0.2">
      <c r="A523" s="345" t="s">
        <v>32</v>
      </c>
      <c r="B523" s="352">
        <f>B520-B522</f>
        <v>245.35300000000001</v>
      </c>
      <c r="C523" s="352">
        <f>C520-C522</f>
        <v>238.774</v>
      </c>
      <c r="D523" s="352">
        <f t="shared" ref="D523:H523" si="19">D520-D522</f>
        <v>245.102</v>
      </c>
      <c r="E523" s="352">
        <f t="shared" si="19"/>
        <v>263.64999999999998</v>
      </c>
      <c r="F523" s="352">
        <f t="shared" si="19"/>
        <v>268.11</v>
      </c>
      <c r="G523" s="352">
        <f t="shared" si="19"/>
        <v>293.41000000000003</v>
      </c>
      <c r="H523" s="352">
        <f t="shared" si="19"/>
        <v>301.01</v>
      </c>
      <c r="I523" s="352"/>
    </row>
    <row r="524" spans="1:9" s="278" customFormat="1" x14ac:dyDescent="0.2">
      <c r="A524" s="355" t="s">
        <v>33</v>
      </c>
      <c r="B524" s="582">
        <v>2017</v>
      </c>
      <c r="C524" s="582">
        <v>2018</v>
      </c>
      <c r="D524" s="583">
        <v>2019</v>
      </c>
      <c r="E524" s="582">
        <v>2020</v>
      </c>
      <c r="F524" s="584">
        <v>2021</v>
      </c>
      <c r="G524" s="584">
        <v>2022</v>
      </c>
      <c r="H524" s="584">
        <v>2023</v>
      </c>
      <c r="I524" s="584">
        <v>2024</v>
      </c>
    </row>
    <row r="525" spans="1:9" s="278" customFormat="1" x14ac:dyDescent="0.2">
      <c r="A525" s="345" t="s">
        <v>34</v>
      </c>
      <c r="B525" s="369"/>
      <c r="C525" s="369"/>
      <c r="D525" s="369"/>
      <c r="E525" s="369"/>
      <c r="F525" s="369"/>
      <c r="G525" s="369"/>
      <c r="H525" s="369"/>
      <c r="I525" s="367"/>
    </row>
    <row r="526" spans="1:9" s="278" customFormat="1" x14ac:dyDescent="0.2">
      <c r="A526" s="355" t="s">
        <v>629</v>
      </c>
      <c r="B526" s="356"/>
      <c r="C526" s="356"/>
      <c r="D526" s="356"/>
      <c r="E526" s="356"/>
      <c r="F526" s="356"/>
      <c r="G526" s="356"/>
      <c r="H526" s="356"/>
      <c r="I526" s="357"/>
    </row>
    <row r="527" spans="1:9" s="278" customFormat="1" x14ac:dyDescent="0.2">
      <c r="A527" s="289" t="s">
        <v>630</v>
      </c>
      <c r="B527" s="277"/>
      <c r="C527" s="277"/>
      <c r="D527" s="277"/>
      <c r="E527" s="277"/>
      <c r="F527" s="277"/>
      <c r="G527" s="277"/>
      <c r="H527" s="277"/>
      <c r="I527" s="358"/>
    </row>
    <row r="528" spans="1:9" s="278" customFormat="1" x14ac:dyDescent="0.2">
      <c r="A528" s="289" t="s">
        <v>631</v>
      </c>
      <c r="B528" s="277"/>
      <c r="C528" s="277"/>
      <c r="D528" s="277"/>
      <c r="E528" s="277"/>
      <c r="F528" s="277"/>
      <c r="G528" s="277"/>
      <c r="H528" s="277"/>
      <c r="I528" s="358"/>
    </row>
    <row r="529" spans="1:9" s="278" customFormat="1" x14ac:dyDescent="0.2">
      <c r="A529" s="289" t="s">
        <v>632</v>
      </c>
      <c r="B529" s="277"/>
      <c r="C529" s="277"/>
      <c r="D529" s="277"/>
      <c r="E529" s="277"/>
      <c r="F529" s="277"/>
      <c r="G529" s="277"/>
      <c r="H529" s="277"/>
      <c r="I529" s="358"/>
    </row>
    <row r="530" spans="1:9" s="278" customFormat="1" x14ac:dyDescent="0.2">
      <c r="A530" s="289" t="s">
        <v>633</v>
      </c>
      <c r="B530" s="277"/>
      <c r="C530" s="277"/>
      <c r="D530" s="277"/>
      <c r="E530" s="277"/>
      <c r="F530" s="277"/>
      <c r="G530" s="277"/>
      <c r="H530" s="277"/>
      <c r="I530" s="358"/>
    </row>
    <row r="531" spans="1:9" s="278" customFormat="1" x14ac:dyDescent="0.2">
      <c r="A531" s="289" t="s">
        <v>634</v>
      </c>
      <c r="B531" s="277"/>
      <c r="C531" s="277"/>
      <c r="D531" s="277"/>
      <c r="E531" s="277"/>
      <c r="F531" s="277"/>
      <c r="G531" s="277"/>
      <c r="H531" s="277"/>
      <c r="I531" s="358"/>
    </row>
    <row r="532" spans="1:9" s="278" customFormat="1" x14ac:dyDescent="0.2">
      <c r="A532" s="289" t="s">
        <v>635</v>
      </c>
      <c r="B532" s="277"/>
      <c r="C532" s="277"/>
      <c r="D532" s="277"/>
      <c r="E532" s="277"/>
      <c r="F532" s="277"/>
      <c r="G532" s="277"/>
      <c r="H532" s="277"/>
      <c r="I532" s="358"/>
    </row>
    <row r="533" spans="1:9" s="278" customFormat="1" x14ac:dyDescent="0.2">
      <c r="A533" s="289" t="s">
        <v>636</v>
      </c>
      <c r="B533" s="277"/>
      <c r="C533" s="277"/>
      <c r="D533" s="277"/>
      <c r="E533" s="277"/>
      <c r="F533" s="277"/>
      <c r="G533" s="277"/>
      <c r="H533" s="277"/>
      <c r="I533" s="358"/>
    </row>
    <row r="534" spans="1:9" s="278" customFormat="1" x14ac:dyDescent="0.2">
      <c r="A534" s="359" t="s">
        <v>841</v>
      </c>
      <c r="B534" s="360"/>
      <c r="C534" s="360"/>
      <c r="D534" s="360"/>
      <c r="E534" s="360"/>
      <c r="F534" s="360"/>
      <c r="G534" s="360"/>
      <c r="H534" s="360"/>
      <c r="I534" s="361"/>
    </row>
    <row r="535" spans="1:9" s="278" customFormat="1" x14ac:dyDescent="0.2">
      <c r="A535" s="277"/>
      <c r="B535" s="277"/>
      <c r="C535" s="277"/>
      <c r="D535" s="277"/>
      <c r="E535" s="277"/>
      <c r="F535" s="277"/>
      <c r="G535" s="277"/>
      <c r="H535" s="277"/>
      <c r="I535" s="277"/>
    </row>
    <row r="536" spans="1:9" x14ac:dyDescent="0.2">
      <c r="A536" s="306" t="s">
        <v>14</v>
      </c>
      <c r="B536" s="307" t="s">
        <v>637</v>
      </c>
      <c r="C536" s="307" t="s">
        <v>152</v>
      </c>
      <c r="D536" s="362"/>
      <c r="E536" s="362"/>
      <c r="F536" s="362"/>
      <c r="G536" s="362"/>
      <c r="H536" s="263"/>
      <c r="I536" s="263"/>
    </row>
    <row r="537" spans="1:9" s="278" customFormat="1" x14ac:dyDescent="0.2">
      <c r="A537" s="345" t="s">
        <v>27</v>
      </c>
      <c r="B537" s="346">
        <v>2016</v>
      </c>
      <c r="C537" s="346">
        <v>2017</v>
      </c>
      <c r="D537" s="347">
        <v>2018</v>
      </c>
      <c r="E537" s="346">
        <v>2019</v>
      </c>
      <c r="F537" s="348">
        <v>2020</v>
      </c>
      <c r="G537" s="348">
        <v>2021</v>
      </c>
      <c r="H537" s="348">
        <v>2022</v>
      </c>
      <c r="I537" s="348">
        <v>2023</v>
      </c>
    </row>
    <row r="538" spans="1:9" s="278" customFormat="1" x14ac:dyDescent="0.2">
      <c r="A538" s="345" t="s">
        <v>28</v>
      </c>
      <c r="B538" s="363">
        <v>0</v>
      </c>
      <c r="C538" s="363">
        <v>0</v>
      </c>
      <c r="D538" s="363">
        <v>0</v>
      </c>
      <c r="E538" s="363">
        <v>0</v>
      </c>
      <c r="F538" s="364">
        <v>0</v>
      </c>
      <c r="G538" s="364">
        <v>0</v>
      </c>
      <c r="H538" s="363">
        <v>0</v>
      </c>
      <c r="I538" s="363">
        <v>0</v>
      </c>
    </row>
    <row r="539" spans="1:9" s="278" customFormat="1" x14ac:dyDescent="0.2">
      <c r="A539" s="345" t="s">
        <v>29</v>
      </c>
      <c r="B539" s="365">
        <v>-19.86</v>
      </c>
      <c r="C539" s="366">
        <f t="shared" ref="C539:I539" si="20">B542</f>
        <v>-48.64</v>
      </c>
      <c r="D539" s="366">
        <f t="shared" si="20"/>
        <v>-96.69</v>
      </c>
      <c r="E539" s="366">
        <f t="shared" si="20"/>
        <v>-149.34</v>
      </c>
      <c r="F539" s="366">
        <f t="shared" si="20"/>
        <v>-172.85</v>
      </c>
      <c r="G539" s="366">
        <f t="shared" si="20"/>
        <v>-196.03</v>
      </c>
      <c r="H539" s="366">
        <f t="shared" si="20"/>
        <v>-246.64</v>
      </c>
      <c r="I539" s="366">
        <f t="shared" si="20"/>
        <v>-272.18</v>
      </c>
    </row>
    <row r="540" spans="1:9" s="278" customFormat="1" x14ac:dyDescent="0.2">
      <c r="A540" s="345" t="s">
        <v>30</v>
      </c>
      <c r="B540" s="351" t="s">
        <v>403</v>
      </c>
      <c r="C540" s="353" t="s">
        <v>404</v>
      </c>
      <c r="D540" s="351" t="s">
        <v>405</v>
      </c>
      <c r="E540" s="354" t="s">
        <v>406</v>
      </c>
      <c r="F540" s="354" t="s">
        <v>575</v>
      </c>
      <c r="G540" s="354" t="s">
        <v>618</v>
      </c>
      <c r="H540" s="354" t="s">
        <v>639</v>
      </c>
      <c r="I540" s="354" t="s">
        <v>842</v>
      </c>
    </row>
    <row r="541" spans="1:9" s="278" customFormat="1" x14ac:dyDescent="0.2">
      <c r="A541" s="345" t="s">
        <v>31</v>
      </c>
      <c r="B541" s="363">
        <v>28.78</v>
      </c>
      <c r="C541" s="363">
        <v>48.05</v>
      </c>
      <c r="D541" s="363">
        <v>52.65</v>
      </c>
      <c r="E541" s="364">
        <v>23.51</v>
      </c>
      <c r="F541" s="364">
        <v>23.18</v>
      </c>
      <c r="G541" s="364">
        <v>50.61</v>
      </c>
      <c r="H541" s="367">
        <v>25.54</v>
      </c>
      <c r="I541" s="367"/>
    </row>
    <row r="542" spans="1:9" s="278" customFormat="1" x14ac:dyDescent="0.2">
      <c r="A542" s="345" t="s">
        <v>32</v>
      </c>
      <c r="B542" s="352">
        <f>B539-B541</f>
        <v>-48.64</v>
      </c>
      <c r="C542" s="352">
        <f>C539-C541</f>
        <v>-96.69</v>
      </c>
      <c r="D542" s="352">
        <f t="shared" ref="D542:H542" si="21">D539-D541</f>
        <v>-149.34</v>
      </c>
      <c r="E542" s="352">
        <f t="shared" si="21"/>
        <v>-172.85</v>
      </c>
      <c r="F542" s="352">
        <f t="shared" si="21"/>
        <v>-196.03</v>
      </c>
      <c r="G542" s="352">
        <f t="shared" si="21"/>
        <v>-246.64</v>
      </c>
      <c r="H542" s="352">
        <f t="shared" si="21"/>
        <v>-272.18</v>
      </c>
      <c r="I542" s="352"/>
    </row>
    <row r="543" spans="1:9" s="278" customFormat="1" x14ac:dyDescent="0.2">
      <c r="A543" s="355" t="s">
        <v>33</v>
      </c>
      <c r="B543" s="368">
        <v>2017</v>
      </c>
      <c r="C543" s="368">
        <v>2018</v>
      </c>
      <c r="D543" s="356">
        <v>2019</v>
      </c>
      <c r="E543" s="368">
        <v>2020</v>
      </c>
      <c r="F543" s="357">
        <v>2021</v>
      </c>
      <c r="G543" s="357">
        <v>2022</v>
      </c>
      <c r="H543" s="357">
        <v>2023</v>
      </c>
      <c r="I543" s="357">
        <v>2024</v>
      </c>
    </row>
    <row r="544" spans="1:9" s="278" customFormat="1" x14ac:dyDescent="0.2">
      <c r="A544" s="345" t="s">
        <v>34</v>
      </c>
      <c r="B544" s="345"/>
      <c r="C544" s="369"/>
      <c r="D544" s="369"/>
      <c r="E544" s="369"/>
      <c r="F544" s="369"/>
      <c r="G544" s="369"/>
      <c r="H544" s="369"/>
      <c r="I544" s="367"/>
    </row>
    <row r="545" spans="1:9" s="278" customFormat="1" x14ac:dyDescent="0.2">
      <c r="A545" s="371" t="s">
        <v>640</v>
      </c>
      <c r="B545" s="289"/>
      <c r="C545" s="277"/>
      <c r="D545" s="277"/>
      <c r="E545" s="277"/>
      <c r="F545" s="277"/>
      <c r="G545" s="277"/>
      <c r="H545" s="277"/>
      <c r="I545" s="358"/>
    </row>
    <row r="546" spans="1:9" s="278" customFormat="1" x14ac:dyDescent="0.2">
      <c r="A546" s="371" t="s">
        <v>641</v>
      </c>
      <c r="B546" s="289"/>
      <c r="C546" s="277"/>
      <c r="D546" s="277"/>
      <c r="E546" s="277"/>
      <c r="F546" s="277"/>
      <c r="G546" s="277"/>
      <c r="H546" s="277"/>
      <c r="I546" s="358"/>
    </row>
    <row r="547" spans="1:9" s="278" customFormat="1" x14ac:dyDescent="0.2">
      <c r="A547" s="371" t="s">
        <v>642</v>
      </c>
      <c r="B547" s="289"/>
      <c r="C547" s="277"/>
      <c r="D547" s="277"/>
      <c r="E547" s="277"/>
      <c r="F547" s="277"/>
      <c r="G547" s="277"/>
      <c r="H547" s="277"/>
      <c r="I547" s="358"/>
    </row>
    <row r="548" spans="1:9" s="278" customFormat="1" x14ac:dyDescent="0.2">
      <c r="A548" s="371" t="s">
        <v>643</v>
      </c>
      <c r="B548" s="289"/>
      <c r="C548" s="277"/>
      <c r="D548" s="277"/>
      <c r="E548" s="277"/>
      <c r="F548" s="277"/>
      <c r="G548" s="277"/>
      <c r="H548" s="277"/>
      <c r="I548" s="358"/>
    </row>
    <row r="549" spans="1:9" s="278" customFormat="1" x14ac:dyDescent="0.2">
      <c r="A549" s="371" t="s">
        <v>644</v>
      </c>
      <c r="B549" s="289"/>
      <c r="C549" s="277"/>
      <c r="D549" s="277"/>
      <c r="E549" s="277"/>
      <c r="F549" s="277"/>
      <c r="G549" s="277"/>
      <c r="H549" s="277"/>
      <c r="I549" s="358"/>
    </row>
    <row r="550" spans="1:9" s="278" customFormat="1" x14ac:dyDescent="0.2">
      <c r="A550" s="371" t="s">
        <v>645</v>
      </c>
      <c r="B550" s="289"/>
      <c r="C550" s="277"/>
      <c r="D550" s="277"/>
      <c r="E550" s="277"/>
      <c r="F550" s="277"/>
      <c r="G550" s="277"/>
      <c r="H550" s="277"/>
      <c r="I550" s="358"/>
    </row>
    <row r="551" spans="1:9" s="278" customFormat="1" x14ac:dyDescent="0.2">
      <c r="A551" s="371" t="s">
        <v>646</v>
      </c>
      <c r="B551" s="289"/>
      <c r="C551" s="277"/>
      <c r="D551" s="277"/>
      <c r="E551" s="277"/>
      <c r="F551" s="277"/>
      <c r="G551" s="277"/>
      <c r="H551" s="277"/>
      <c r="I551" s="358"/>
    </row>
    <row r="552" spans="1:9" s="278" customFormat="1" x14ac:dyDescent="0.2">
      <c r="A552" s="372" t="s">
        <v>843</v>
      </c>
      <c r="B552" s="359"/>
      <c r="C552" s="360"/>
      <c r="D552" s="360"/>
      <c r="E552" s="360"/>
      <c r="F552" s="360"/>
      <c r="G552" s="360"/>
      <c r="H552" s="360"/>
      <c r="I552" s="361"/>
    </row>
    <row r="553" spans="1:9" s="278" customFormat="1" x14ac:dyDescent="0.2">
      <c r="A553" s="277"/>
      <c r="B553" s="277"/>
      <c r="C553" s="277"/>
      <c r="D553" s="277"/>
      <c r="E553" s="277"/>
      <c r="F553" s="277"/>
      <c r="G553" s="277"/>
      <c r="H553" s="277"/>
      <c r="I553" s="277"/>
    </row>
    <row r="554" spans="1:9" s="278" customFormat="1" x14ac:dyDescent="0.2">
      <c r="A554" s="306" t="s">
        <v>14</v>
      </c>
      <c r="B554" s="307" t="s">
        <v>74</v>
      </c>
      <c r="C554" s="307" t="s">
        <v>152</v>
      </c>
      <c r="D554" s="277"/>
      <c r="E554" s="277"/>
      <c r="F554" s="277"/>
      <c r="G554" s="277"/>
      <c r="H554" s="277"/>
      <c r="I554" s="277"/>
    </row>
    <row r="555" spans="1:9" s="278" customFormat="1" x14ac:dyDescent="0.2">
      <c r="A555" s="345" t="s">
        <v>27</v>
      </c>
      <c r="B555" s="373">
        <v>2016</v>
      </c>
      <c r="C555" s="373">
        <v>2017</v>
      </c>
      <c r="D555" s="374">
        <v>2018</v>
      </c>
      <c r="E555" s="373">
        <v>2019</v>
      </c>
      <c r="F555" s="375">
        <v>2020</v>
      </c>
      <c r="G555" s="375">
        <v>2021</v>
      </c>
      <c r="H555" s="375">
        <v>2022</v>
      </c>
      <c r="I555" s="375">
        <v>2023</v>
      </c>
    </row>
    <row r="556" spans="1:9" s="278" customFormat="1" x14ac:dyDescent="0.2">
      <c r="A556" s="345" t="s">
        <v>28</v>
      </c>
      <c r="B556" s="349">
        <v>10</v>
      </c>
      <c r="C556" s="349">
        <v>10</v>
      </c>
      <c r="D556" s="349">
        <v>10</v>
      </c>
      <c r="E556" s="349">
        <v>10</v>
      </c>
      <c r="F556" s="349">
        <v>10</v>
      </c>
      <c r="G556" s="349">
        <v>10</v>
      </c>
      <c r="H556" s="349">
        <v>10</v>
      </c>
      <c r="I556" s="349">
        <v>10</v>
      </c>
    </row>
    <row r="557" spans="1:9" s="278" customFormat="1" x14ac:dyDescent="0.2">
      <c r="A557" s="345" t="s">
        <v>29</v>
      </c>
      <c r="B557" s="352">
        <v>10</v>
      </c>
      <c r="C557" s="352">
        <f t="shared" ref="C557:G557" si="22">B560+10</f>
        <v>-31.037900001525877</v>
      </c>
      <c r="D557" s="352">
        <f t="shared" si="22"/>
        <v>-100.44840000534057</v>
      </c>
      <c r="E557" s="352">
        <f t="shared" si="22"/>
        <v>-131.83390000534058</v>
      </c>
      <c r="F557" s="352">
        <f t="shared" si="22"/>
        <v>-149.28490000534057</v>
      </c>
      <c r="G557" s="352">
        <f t="shared" si="22"/>
        <v>-157.49490000534058</v>
      </c>
      <c r="H557" s="352">
        <f>G560+10</f>
        <v>-171.18490000534058</v>
      </c>
      <c r="I557" s="352">
        <f>H560+10</f>
        <v>-171.69490000534057</v>
      </c>
    </row>
    <row r="558" spans="1:9" s="278" customFormat="1" x14ac:dyDescent="0.2">
      <c r="A558" s="345" t="s">
        <v>30</v>
      </c>
      <c r="B558" s="351"/>
      <c r="C558" s="351" t="s">
        <v>403</v>
      </c>
      <c r="D558" s="353" t="s">
        <v>404</v>
      </c>
      <c r="E558" s="351" t="s">
        <v>405</v>
      </c>
      <c r="F558" s="354" t="s">
        <v>406</v>
      </c>
      <c r="G558" s="354" t="s">
        <v>575</v>
      </c>
      <c r="H558" s="354" t="s">
        <v>618</v>
      </c>
      <c r="I558" s="354" t="s">
        <v>639</v>
      </c>
    </row>
    <row r="559" spans="1:9" s="278" customFormat="1" x14ac:dyDescent="0.2">
      <c r="A559" s="345" t="s">
        <v>31</v>
      </c>
      <c r="B559" s="376">
        <v>51.037900001525877</v>
      </c>
      <c r="C559" s="376">
        <v>79.410500003814704</v>
      </c>
      <c r="D559" s="376">
        <v>41.3855</v>
      </c>
      <c r="E559" s="377">
        <v>27.451000000000001</v>
      </c>
      <c r="F559" s="377">
        <v>18.21</v>
      </c>
      <c r="G559" s="350">
        <v>23.69</v>
      </c>
      <c r="H559" s="354">
        <v>10.51</v>
      </c>
      <c r="I559" s="354"/>
    </row>
    <row r="560" spans="1:9" s="278" customFormat="1" x14ac:dyDescent="0.2">
      <c r="A560" s="345" t="s">
        <v>32</v>
      </c>
      <c r="B560" s="352">
        <f>B557-B559</f>
        <v>-41.037900001525877</v>
      </c>
      <c r="C560" s="352">
        <f>C557-C559</f>
        <v>-110.44840000534057</v>
      </c>
      <c r="D560" s="352">
        <f t="shared" ref="D560:F560" si="23">D557-D559</f>
        <v>-141.83390000534058</v>
      </c>
      <c r="E560" s="352">
        <f t="shared" si="23"/>
        <v>-159.28490000534057</v>
      </c>
      <c r="F560" s="352">
        <f t="shared" si="23"/>
        <v>-167.49490000534058</v>
      </c>
      <c r="G560" s="352">
        <f>G557-G559</f>
        <v>-181.18490000534058</v>
      </c>
      <c r="H560" s="352">
        <f>H557-H559</f>
        <v>-181.69490000534057</v>
      </c>
      <c r="I560" s="352"/>
    </row>
    <row r="561" spans="1:11" s="278" customFormat="1" x14ac:dyDescent="0.2">
      <c r="A561" s="355" t="s">
        <v>33</v>
      </c>
      <c r="B561" s="582">
        <v>2017</v>
      </c>
      <c r="C561" s="582">
        <v>2018</v>
      </c>
      <c r="D561" s="583">
        <v>2019</v>
      </c>
      <c r="E561" s="582">
        <v>2020</v>
      </c>
      <c r="F561" s="584">
        <v>2021</v>
      </c>
      <c r="G561" s="584">
        <v>2022</v>
      </c>
      <c r="H561" s="584">
        <v>2023</v>
      </c>
      <c r="I561" s="584">
        <v>2024</v>
      </c>
    </row>
    <row r="562" spans="1:11" s="278" customFormat="1" x14ac:dyDescent="0.2">
      <c r="A562" s="345" t="s">
        <v>34</v>
      </c>
      <c r="B562" s="369"/>
      <c r="C562" s="369"/>
      <c r="D562" s="369"/>
      <c r="E562" s="369"/>
      <c r="F562" s="369"/>
      <c r="G562" s="369"/>
      <c r="H562" s="369"/>
      <c r="I562" s="367"/>
    </row>
    <row r="563" spans="1:11" s="278" customFormat="1" x14ac:dyDescent="0.2">
      <c r="A563" s="370" t="s">
        <v>647</v>
      </c>
      <c r="B563" s="356"/>
      <c r="C563" s="356"/>
      <c r="D563" s="356"/>
      <c r="E563" s="356"/>
      <c r="F563" s="356"/>
      <c r="G563" s="356"/>
      <c r="H563" s="356"/>
      <c r="I563" s="357"/>
    </row>
    <row r="564" spans="1:11" s="278" customFormat="1" x14ac:dyDescent="0.2">
      <c r="A564" s="371" t="s">
        <v>648</v>
      </c>
      <c r="B564" s="277"/>
      <c r="C564" s="277"/>
      <c r="D564" s="277"/>
      <c r="E564" s="277"/>
      <c r="F564" s="277"/>
      <c r="G564" s="277"/>
      <c r="H564" s="277"/>
      <c r="I564" s="358"/>
    </row>
    <row r="565" spans="1:11" s="278" customFormat="1" x14ac:dyDescent="0.2">
      <c r="A565" s="371" t="s">
        <v>649</v>
      </c>
      <c r="B565" s="277"/>
      <c r="C565" s="277"/>
      <c r="D565" s="277"/>
      <c r="E565" s="277"/>
      <c r="F565" s="277"/>
      <c r="G565" s="277"/>
      <c r="H565" s="277"/>
      <c r="I565" s="358"/>
    </row>
    <row r="566" spans="1:11" s="278" customFormat="1" x14ac:dyDescent="0.2">
      <c r="A566" s="371" t="s">
        <v>650</v>
      </c>
      <c r="B566" s="277"/>
      <c r="C566" s="277"/>
      <c r="D566" s="277"/>
      <c r="E566" s="277"/>
      <c r="F566" s="277"/>
      <c r="G566" s="277"/>
      <c r="H566" s="277"/>
      <c r="I566" s="358"/>
    </row>
    <row r="567" spans="1:11" s="278" customFormat="1" x14ac:dyDescent="0.2">
      <c r="A567" s="371" t="s">
        <v>651</v>
      </c>
      <c r="B567" s="277"/>
      <c r="C567" s="277"/>
      <c r="D567" s="277"/>
      <c r="E567" s="277"/>
      <c r="F567" s="277"/>
      <c r="G567" s="277"/>
      <c r="H567" s="277"/>
      <c r="I567" s="358"/>
    </row>
    <row r="568" spans="1:11" s="278" customFormat="1" x14ac:dyDescent="0.2">
      <c r="A568" s="371" t="s">
        <v>652</v>
      </c>
      <c r="B568" s="277"/>
      <c r="C568" s="277"/>
      <c r="D568" s="277"/>
      <c r="E568" s="277"/>
      <c r="F568" s="277"/>
      <c r="G568" s="277"/>
      <c r="H568" s="277"/>
      <c r="I568" s="358"/>
    </row>
    <row r="569" spans="1:11" s="278" customFormat="1" x14ac:dyDescent="0.2">
      <c r="A569" s="372" t="s">
        <v>844</v>
      </c>
      <c r="B569" s="360"/>
      <c r="C569" s="360"/>
      <c r="D569" s="360"/>
      <c r="E569" s="360"/>
      <c r="F569" s="360"/>
      <c r="G569" s="360"/>
      <c r="H569" s="360"/>
      <c r="I569" s="361"/>
    </row>
    <row r="570" spans="1:11" x14ac:dyDescent="0.2">
      <c r="A570" s="263"/>
      <c r="B570" s="263"/>
      <c r="C570" s="263"/>
      <c r="D570" s="263"/>
      <c r="E570" s="263"/>
      <c r="F570" s="263"/>
      <c r="G570" s="263"/>
      <c r="H570" s="263"/>
      <c r="I570" s="263"/>
    </row>
    <row r="571" spans="1:11" x14ac:dyDescent="0.2">
      <c r="A571" s="263"/>
      <c r="B571" s="263"/>
      <c r="C571" s="263"/>
      <c r="D571" s="263"/>
      <c r="E571" s="263"/>
      <c r="F571" s="263"/>
      <c r="G571" s="263"/>
      <c r="H571" s="263"/>
      <c r="I571" s="263"/>
    </row>
    <row r="572" spans="1:11" x14ac:dyDescent="0.2">
      <c r="A572" s="690" t="s">
        <v>12</v>
      </c>
      <c r="B572" s="691" t="s">
        <v>246</v>
      </c>
      <c r="C572" s="263"/>
      <c r="D572" s="263"/>
      <c r="E572" s="263"/>
      <c r="F572" s="263"/>
      <c r="G572" s="263"/>
      <c r="H572" s="263"/>
      <c r="I572" s="263"/>
    </row>
    <row r="573" spans="1:11" x14ac:dyDescent="0.2">
      <c r="A573" s="688" t="s">
        <v>14</v>
      </c>
      <c r="B573" s="689" t="s">
        <v>637</v>
      </c>
      <c r="C573" s="307" t="s">
        <v>152</v>
      </c>
      <c r="D573" s="309"/>
      <c r="E573" s="309"/>
      <c r="F573" s="309"/>
      <c r="G573" s="309"/>
      <c r="H573" s="263"/>
      <c r="I573" s="263"/>
    </row>
    <row r="574" spans="1:11" x14ac:dyDescent="0.2">
      <c r="A574" s="378" t="s">
        <v>16</v>
      </c>
      <c r="B574" s="379"/>
      <c r="C574" s="380">
        <v>2015</v>
      </c>
      <c r="D574" s="380">
        <v>2016</v>
      </c>
      <c r="E574" s="380" t="s">
        <v>242</v>
      </c>
      <c r="F574" s="380" t="s">
        <v>243</v>
      </c>
      <c r="G574" s="380" t="s">
        <v>244</v>
      </c>
      <c r="H574" s="380" t="s">
        <v>287</v>
      </c>
      <c r="I574" s="380" t="s">
        <v>512</v>
      </c>
      <c r="J574" s="380" t="s">
        <v>699</v>
      </c>
      <c r="K574" s="380" t="s">
        <v>893</v>
      </c>
    </row>
    <row r="575" spans="1:11" x14ac:dyDescent="0.2">
      <c r="A575" s="310" t="s">
        <v>17</v>
      </c>
      <c r="B575" s="381"/>
      <c r="C575" s="382">
        <v>50</v>
      </c>
      <c r="D575" s="382">
        <v>50</v>
      </c>
      <c r="E575" s="382">
        <v>50</v>
      </c>
      <c r="F575" s="382">
        <v>50</v>
      </c>
      <c r="G575" s="382">
        <v>50</v>
      </c>
      <c r="H575" s="382">
        <v>50</v>
      </c>
      <c r="I575" s="382">
        <v>50</v>
      </c>
      <c r="J575" s="382">
        <v>50</v>
      </c>
      <c r="K575" s="382">
        <v>50</v>
      </c>
    </row>
    <row r="576" spans="1:11" x14ac:dyDescent="0.2">
      <c r="A576" s="310" t="s">
        <v>18</v>
      </c>
      <c r="B576" s="383"/>
      <c r="C576" s="382">
        <v>75</v>
      </c>
      <c r="D576" s="382">
        <v>75</v>
      </c>
      <c r="E576" s="382">
        <v>75</v>
      </c>
      <c r="F576" s="382">
        <v>70</v>
      </c>
      <c r="G576" s="382">
        <v>70</v>
      </c>
      <c r="H576" s="382">
        <f>H575+F579</f>
        <v>62.6</v>
      </c>
      <c r="I576" s="382">
        <v>70</v>
      </c>
      <c r="J576" s="382">
        <v>70</v>
      </c>
      <c r="K576" s="382">
        <v>70</v>
      </c>
    </row>
    <row r="577" spans="1:11" x14ac:dyDescent="0.2">
      <c r="A577" s="310" t="s">
        <v>19</v>
      </c>
      <c r="B577" s="384"/>
      <c r="C577" s="385" t="s">
        <v>141</v>
      </c>
      <c r="D577" s="385" t="s">
        <v>141</v>
      </c>
      <c r="E577" s="385" t="s">
        <v>141</v>
      </c>
      <c r="F577" s="386" t="s">
        <v>245</v>
      </c>
      <c r="G577" s="386" t="s">
        <v>245</v>
      </c>
      <c r="H577" s="385" t="s">
        <v>330</v>
      </c>
      <c r="I577" s="385" t="s">
        <v>596</v>
      </c>
      <c r="J577" s="385" t="s">
        <v>965</v>
      </c>
      <c r="K577" s="385" t="s">
        <v>966</v>
      </c>
    </row>
    <row r="578" spans="1:11" x14ac:dyDescent="0.2">
      <c r="A578" s="310" t="s">
        <v>20</v>
      </c>
      <c r="B578" s="381"/>
      <c r="C578" s="382">
        <v>0</v>
      </c>
      <c r="D578" s="382">
        <v>27.449000000000002</v>
      </c>
      <c r="E578" s="382">
        <v>21.13</v>
      </c>
      <c r="F578" s="382">
        <v>57.4</v>
      </c>
      <c r="G578" s="382">
        <v>21.8</v>
      </c>
      <c r="H578" s="382">
        <v>27.576000000000001</v>
      </c>
      <c r="I578" s="382">
        <v>0</v>
      </c>
      <c r="J578" s="382">
        <v>0</v>
      </c>
      <c r="K578" s="382"/>
    </row>
    <row r="579" spans="1:11" x14ac:dyDescent="0.2">
      <c r="A579" s="310" t="s">
        <v>21</v>
      </c>
      <c r="B579" s="381"/>
      <c r="C579" s="382">
        <v>75</v>
      </c>
      <c r="D579" s="382">
        <f>D576-D578</f>
        <v>47.551000000000002</v>
      </c>
      <c r="E579" s="382">
        <f>E576-E578</f>
        <v>53.870000000000005</v>
      </c>
      <c r="F579" s="382">
        <f>F576-F578</f>
        <v>12.600000000000001</v>
      </c>
      <c r="G579" s="382">
        <f>G576-G578</f>
        <v>48.2</v>
      </c>
      <c r="H579" s="382">
        <f>H576-H578</f>
        <v>35.024000000000001</v>
      </c>
      <c r="I579" s="382">
        <f t="shared" ref="I579:J579" si="24">I576-I578</f>
        <v>70</v>
      </c>
      <c r="J579" s="382">
        <f t="shared" si="24"/>
        <v>70</v>
      </c>
      <c r="K579" s="382"/>
    </row>
    <row r="580" spans="1:11" x14ac:dyDescent="0.2">
      <c r="A580" s="313" t="s">
        <v>22</v>
      </c>
      <c r="B580" s="314"/>
      <c r="C580" s="387">
        <v>2017</v>
      </c>
      <c r="D580" s="387">
        <v>2018</v>
      </c>
      <c r="E580" s="387">
        <v>2019</v>
      </c>
      <c r="F580" s="387">
        <v>2020</v>
      </c>
      <c r="G580" s="387">
        <v>2021</v>
      </c>
      <c r="H580" s="387">
        <v>2022</v>
      </c>
      <c r="I580" s="387">
        <v>2023</v>
      </c>
      <c r="J580" s="387">
        <v>2024</v>
      </c>
      <c r="K580" s="387">
        <v>2025</v>
      </c>
    </row>
    <row r="581" spans="1:11" x14ac:dyDescent="0.2">
      <c r="A581" s="313" t="s">
        <v>510</v>
      </c>
      <c r="B581" s="315"/>
      <c r="C581" s="478"/>
      <c r="D581" s="478"/>
      <c r="E581" s="478"/>
      <c r="F581" s="478"/>
      <c r="G581" s="478"/>
      <c r="H581" s="478"/>
      <c r="I581" s="478"/>
      <c r="J581" s="478"/>
      <c r="K581" s="675"/>
    </row>
    <row r="582" spans="1:11" x14ac:dyDescent="0.2">
      <c r="A582" s="676" t="s">
        <v>967</v>
      </c>
      <c r="B582" s="677"/>
      <c r="C582" s="677"/>
      <c r="D582" s="677"/>
      <c r="E582" s="677"/>
      <c r="F582" s="677"/>
      <c r="G582" s="677"/>
      <c r="H582" s="677"/>
      <c r="I582" s="677"/>
      <c r="J582" s="677"/>
      <c r="K582" s="678"/>
    </row>
    <row r="583" spans="1:11" x14ac:dyDescent="0.2">
      <c r="A583" s="362"/>
      <c r="B583" s="362"/>
      <c r="C583" s="362"/>
      <c r="D583" s="362"/>
      <c r="E583" s="362"/>
      <c r="F583" s="362"/>
      <c r="G583" s="362"/>
      <c r="H583" s="263"/>
      <c r="I583" s="263"/>
    </row>
    <row r="584" spans="1:11" x14ac:dyDescent="0.2">
      <c r="A584" s="306" t="s">
        <v>14</v>
      </c>
      <c r="B584" s="307" t="s">
        <v>660</v>
      </c>
      <c r="C584" s="307" t="s">
        <v>152</v>
      </c>
      <c r="D584" s="309"/>
      <c r="E584" s="309"/>
      <c r="F584" s="309"/>
      <c r="G584" s="309"/>
      <c r="H584" s="263"/>
      <c r="I584" s="263"/>
    </row>
    <row r="585" spans="1:11" x14ac:dyDescent="0.2">
      <c r="A585" s="378" t="s">
        <v>16</v>
      </c>
      <c r="B585" s="379"/>
      <c r="C585" s="380">
        <v>2015</v>
      </c>
      <c r="D585" s="380">
        <v>2016</v>
      </c>
      <c r="E585" s="380" t="s">
        <v>242</v>
      </c>
      <c r="F585" s="380" t="s">
        <v>243</v>
      </c>
      <c r="G585" s="380" t="s">
        <v>244</v>
      </c>
      <c r="H585" s="380" t="s">
        <v>287</v>
      </c>
      <c r="I585" s="380" t="s">
        <v>512</v>
      </c>
      <c r="J585" s="380" t="s">
        <v>699</v>
      </c>
      <c r="K585" s="380" t="s">
        <v>893</v>
      </c>
    </row>
    <row r="586" spans="1:11" x14ac:dyDescent="0.2">
      <c r="A586" s="310" t="s">
        <v>17</v>
      </c>
      <c r="B586" s="381"/>
      <c r="C586" s="382">
        <v>125</v>
      </c>
      <c r="D586" s="382">
        <v>125</v>
      </c>
      <c r="E586" s="382">
        <v>125</v>
      </c>
      <c r="F586" s="382">
        <v>125</v>
      </c>
      <c r="G586" s="382">
        <v>125</v>
      </c>
      <c r="H586" s="382">
        <v>125</v>
      </c>
      <c r="I586" s="382">
        <v>125</v>
      </c>
      <c r="J586" s="382">
        <v>125</v>
      </c>
      <c r="K586" s="382">
        <v>125</v>
      </c>
    </row>
    <row r="587" spans="1:11" x14ac:dyDescent="0.2">
      <c r="A587" s="310" t="s">
        <v>18</v>
      </c>
      <c r="B587" s="383"/>
      <c r="C587" s="382">
        <f>C586*1.3</f>
        <v>162.5</v>
      </c>
      <c r="D587" s="382">
        <f>D586*1.3+25</f>
        <v>187.5</v>
      </c>
      <c r="E587" s="382">
        <f t="shared" ref="E587" si="25">E586*1.3+25</f>
        <v>187.5</v>
      </c>
      <c r="F587" s="382">
        <f>F586*1.2+25</f>
        <v>175</v>
      </c>
      <c r="G587" s="382">
        <f t="shared" ref="G587:H587" si="26">G586*1.2+25</f>
        <v>175</v>
      </c>
      <c r="H587" s="382">
        <f t="shared" si="26"/>
        <v>175</v>
      </c>
      <c r="I587" s="382">
        <v>150</v>
      </c>
      <c r="J587" s="382">
        <v>150</v>
      </c>
      <c r="K587" s="382">
        <v>150</v>
      </c>
    </row>
    <row r="588" spans="1:11" x14ac:dyDescent="0.2">
      <c r="A588" s="310" t="s">
        <v>19</v>
      </c>
      <c r="B588" s="384"/>
      <c r="C588" s="385" t="s">
        <v>334</v>
      </c>
      <c r="D588" s="385" t="s">
        <v>335</v>
      </c>
      <c r="E588" s="385" t="s">
        <v>335</v>
      </c>
      <c r="F588" s="385" t="s">
        <v>336</v>
      </c>
      <c r="G588" s="385" t="s">
        <v>336</v>
      </c>
      <c r="H588" s="385" t="s">
        <v>336</v>
      </c>
      <c r="I588" s="385" t="s">
        <v>597</v>
      </c>
      <c r="J588" s="385" t="s">
        <v>597</v>
      </c>
      <c r="K588" s="385" t="s">
        <v>597</v>
      </c>
    </row>
    <row r="589" spans="1:11" x14ac:dyDescent="0.2">
      <c r="A589" s="310" t="s">
        <v>20</v>
      </c>
      <c r="B589" s="381"/>
      <c r="C589" s="382">
        <v>41.9</v>
      </c>
      <c r="D589" s="382">
        <v>25.21</v>
      </c>
      <c r="E589" s="382">
        <v>16.8</v>
      </c>
      <c r="F589" s="382">
        <v>46.8</v>
      </c>
      <c r="G589" s="382">
        <v>101.46</v>
      </c>
      <c r="H589" s="382">
        <v>17.2</v>
      </c>
      <c r="I589" s="382">
        <v>0</v>
      </c>
      <c r="J589" s="382">
        <v>23.78</v>
      </c>
      <c r="K589" s="382"/>
    </row>
    <row r="590" spans="1:11" x14ac:dyDescent="0.2">
      <c r="A590" s="310" t="s">
        <v>21</v>
      </c>
      <c r="B590" s="381"/>
      <c r="C590" s="382">
        <f>C587-C589</f>
        <v>120.6</v>
      </c>
      <c r="D590" s="382">
        <f t="shared" ref="D590:G590" si="27">D587-D589</f>
        <v>162.29</v>
      </c>
      <c r="E590" s="382">
        <f t="shared" si="27"/>
        <v>170.7</v>
      </c>
      <c r="F590" s="382">
        <f t="shared" si="27"/>
        <v>128.19999999999999</v>
      </c>
      <c r="G590" s="382">
        <f t="shared" si="27"/>
        <v>73.540000000000006</v>
      </c>
      <c r="H590" s="382">
        <f>H587-H589</f>
        <v>157.80000000000001</v>
      </c>
      <c r="I590" s="382">
        <f t="shared" ref="I590:J590" si="28">I587-I589</f>
        <v>150</v>
      </c>
      <c r="J590" s="382">
        <f t="shared" si="28"/>
        <v>126.22</v>
      </c>
      <c r="K590" s="382"/>
    </row>
    <row r="591" spans="1:11" x14ac:dyDescent="0.2">
      <c r="A591" s="313" t="s">
        <v>22</v>
      </c>
      <c r="B591" s="314"/>
      <c r="C591" s="387">
        <v>2017</v>
      </c>
      <c r="D591" s="387">
        <v>2018</v>
      </c>
      <c r="E591" s="387">
        <v>2019</v>
      </c>
      <c r="F591" s="387">
        <v>2020</v>
      </c>
      <c r="G591" s="387">
        <v>2021</v>
      </c>
      <c r="H591" s="387">
        <v>2022</v>
      </c>
      <c r="I591" s="387">
        <v>2023</v>
      </c>
      <c r="J591" s="387">
        <v>2024</v>
      </c>
      <c r="K591" s="387">
        <v>2025</v>
      </c>
    </row>
    <row r="592" spans="1:11" ht="12.75" customHeight="1" x14ac:dyDescent="0.2">
      <c r="A592" s="388" t="s">
        <v>332</v>
      </c>
      <c r="B592" s="388"/>
      <c r="C592" s="389"/>
      <c r="D592" s="389"/>
      <c r="E592" s="389"/>
      <c r="F592" s="389"/>
      <c r="G592" s="389"/>
      <c r="H592" s="389"/>
      <c r="I592" s="261"/>
      <c r="J592" s="30"/>
      <c r="K592" s="31"/>
    </row>
    <row r="593" spans="1:16" x14ac:dyDescent="0.2">
      <c r="A593" s="390" t="s">
        <v>333</v>
      </c>
      <c r="B593" s="679"/>
      <c r="C593" s="362"/>
      <c r="D593" s="362"/>
      <c r="E593" s="362"/>
      <c r="F593" s="362"/>
      <c r="G593" s="362"/>
      <c r="H593" s="263"/>
      <c r="I593" s="263"/>
      <c r="K593" s="21"/>
    </row>
    <row r="594" spans="1:16" ht="13.15" customHeight="1" x14ac:dyDescent="0.2">
      <c r="A594" s="390" t="s">
        <v>331</v>
      </c>
      <c r="B594" s="679"/>
      <c r="C594" s="362"/>
      <c r="D594" s="362"/>
      <c r="E594" s="362"/>
      <c r="F594" s="362"/>
      <c r="G594" s="362"/>
      <c r="H594" s="263"/>
      <c r="I594" s="263"/>
      <c r="K594" s="21"/>
    </row>
    <row r="595" spans="1:16" x14ac:dyDescent="0.2">
      <c r="A595" s="391"/>
      <c r="B595" s="391"/>
      <c r="C595" s="392"/>
      <c r="D595" s="392"/>
      <c r="E595" s="392"/>
      <c r="F595" s="392"/>
      <c r="G595" s="392"/>
      <c r="H595" s="265"/>
      <c r="I595" s="265"/>
      <c r="J595" s="33"/>
      <c r="K595" s="34"/>
    </row>
    <row r="596" spans="1:16" x14ac:dyDescent="0.2">
      <c r="A596" s="362"/>
      <c r="B596" s="362"/>
      <c r="C596" s="362"/>
      <c r="D596" s="362"/>
      <c r="E596" s="362"/>
      <c r="F596" s="362"/>
      <c r="G596" s="362"/>
      <c r="H596" s="263"/>
      <c r="I596" s="263"/>
    </row>
    <row r="597" spans="1:16" x14ac:dyDescent="0.2">
      <c r="A597" s="362"/>
      <c r="B597" s="362"/>
      <c r="C597" s="362"/>
      <c r="D597" s="362"/>
      <c r="E597" s="362"/>
      <c r="F597" s="362"/>
      <c r="G597" s="362"/>
      <c r="H597" s="263"/>
      <c r="I597" s="263"/>
    </row>
    <row r="598" spans="1:16" x14ac:dyDescent="0.2">
      <c r="A598" s="690" t="s">
        <v>12</v>
      </c>
      <c r="B598" s="691" t="s">
        <v>617</v>
      </c>
      <c r="C598" s="263"/>
      <c r="D598" s="263"/>
      <c r="E598" s="263"/>
      <c r="F598" s="263"/>
      <c r="G598" s="263"/>
      <c r="H598" s="263"/>
      <c r="I598" s="263"/>
      <c r="J598" s="263"/>
      <c r="K598" s="263"/>
      <c r="L598" s="263"/>
      <c r="M598" s="263"/>
      <c r="N598" s="263"/>
      <c r="O598" s="263"/>
      <c r="P598" s="263"/>
    </row>
    <row r="599" spans="1:16" x14ac:dyDescent="0.2">
      <c r="A599" s="692" t="s">
        <v>14</v>
      </c>
      <c r="B599" s="693" t="s">
        <v>74</v>
      </c>
      <c r="C599" s="393" t="s">
        <v>152</v>
      </c>
      <c r="D599" s="309"/>
      <c r="E599" s="309"/>
      <c r="F599" s="309"/>
      <c r="G599" s="309"/>
      <c r="H599" s="263"/>
      <c r="I599" s="263"/>
      <c r="J599" s="263"/>
      <c r="K599" s="263"/>
      <c r="L599" s="263"/>
      <c r="M599" s="263"/>
      <c r="N599" s="263"/>
      <c r="O599" s="263"/>
      <c r="P599" s="263"/>
    </row>
    <row r="600" spans="1:16" x14ac:dyDescent="0.2">
      <c r="A600" s="310" t="s">
        <v>16</v>
      </c>
      <c r="B600" s="394">
        <v>2016</v>
      </c>
      <c r="C600" s="394">
        <v>2017</v>
      </c>
      <c r="D600" s="394">
        <v>2018</v>
      </c>
      <c r="E600" s="394">
        <v>2019</v>
      </c>
      <c r="F600" s="394">
        <v>2020</v>
      </c>
      <c r="G600" s="394">
        <v>2021</v>
      </c>
      <c r="H600" s="394">
        <v>2022</v>
      </c>
      <c r="I600" s="394">
        <v>2023</v>
      </c>
      <c r="J600" s="394">
        <v>2024</v>
      </c>
      <c r="K600" s="394">
        <v>2025</v>
      </c>
      <c r="L600" s="394">
        <v>2026</v>
      </c>
      <c r="M600" s="394">
        <v>2027</v>
      </c>
      <c r="N600" s="394">
        <v>2028</v>
      </c>
      <c r="O600" s="394">
        <v>2029</v>
      </c>
      <c r="P600" s="394">
        <v>2030</v>
      </c>
    </row>
    <row r="601" spans="1:16" x14ac:dyDescent="0.2">
      <c r="A601" s="310" t="s">
        <v>17</v>
      </c>
      <c r="B601" s="382">
        <v>10</v>
      </c>
      <c r="C601" s="382">
        <v>10</v>
      </c>
      <c r="D601" s="382">
        <v>10</v>
      </c>
      <c r="E601" s="382">
        <v>10</v>
      </c>
      <c r="F601" s="382">
        <v>10</v>
      </c>
      <c r="G601" s="382">
        <v>10</v>
      </c>
      <c r="H601" s="382">
        <v>10</v>
      </c>
      <c r="I601" s="382">
        <v>10</v>
      </c>
      <c r="J601" s="382">
        <v>10</v>
      </c>
      <c r="K601" s="382">
        <v>10</v>
      </c>
      <c r="L601" s="382">
        <v>10</v>
      </c>
      <c r="M601" s="382">
        <v>10</v>
      </c>
      <c r="N601" s="382">
        <v>10</v>
      </c>
      <c r="O601" s="382">
        <v>10</v>
      </c>
      <c r="P601" s="382">
        <v>10</v>
      </c>
    </row>
    <row r="602" spans="1:16" x14ac:dyDescent="0.2">
      <c r="A602" s="310" t="s">
        <v>18</v>
      </c>
      <c r="B602" s="382"/>
      <c r="C602" s="382"/>
      <c r="D602" s="382">
        <f>C605+D601</f>
        <v>-28</v>
      </c>
      <c r="E602" s="382">
        <f t="shared" ref="E602:G602" si="29">D605+E601</f>
        <v>-20.3</v>
      </c>
      <c r="F602" s="382">
        <f t="shared" si="29"/>
        <v>-30.6</v>
      </c>
      <c r="G602" s="382">
        <f t="shared" si="29"/>
        <v>-20.6</v>
      </c>
      <c r="H602" s="382">
        <f>-2.53+H601</f>
        <v>7.4700000000000006</v>
      </c>
      <c r="I602" s="382">
        <f>-2.5+I601</f>
        <v>7.5</v>
      </c>
      <c r="J602" s="382">
        <f t="shared" ref="J602:P602" si="30">-2.5+J601</f>
        <v>7.5</v>
      </c>
      <c r="K602" s="382">
        <f t="shared" si="30"/>
        <v>7.5</v>
      </c>
      <c r="L602" s="382">
        <f t="shared" si="30"/>
        <v>7.5</v>
      </c>
      <c r="M602" s="382">
        <f t="shared" si="30"/>
        <v>7.5</v>
      </c>
      <c r="N602" s="382">
        <f t="shared" si="30"/>
        <v>7.5</v>
      </c>
      <c r="O602" s="382">
        <f t="shared" si="30"/>
        <v>7.5</v>
      </c>
      <c r="P602" s="382">
        <f t="shared" si="30"/>
        <v>7.5</v>
      </c>
    </row>
    <row r="603" spans="1:16" x14ac:dyDescent="0.2">
      <c r="A603" s="310" t="s">
        <v>19</v>
      </c>
      <c r="B603" s="395"/>
      <c r="C603" s="395"/>
      <c r="D603" s="395"/>
      <c r="E603" s="395"/>
      <c r="F603" s="395"/>
      <c r="G603" s="395"/>
      <c r="H603" s="396" t="s">
        <v>552</v>
      </c>
      <c r="I603" s="396" t="s">
        <v>552</v>
      </c>
      <c r="J603" s="298" t="s">
        <v>552</v>
      </c>
      <c r="K603" s="298" t="s">
        <v>552</v>
      </c>
      <c r="L603" s="298" t="s">
        <v>552</v>
      </c>
      <c r="M603" s="298" t="s">
        <v>552</v>
      </c>
      <c r="N603" s="298" t="s">
        <v>552</v>
      </c>
      <c r="O603" s="298" t="s">
        <v>552</v>
      </c>
      <c r="P603" s="298" t="s">
        <v>552</v>
      </c>
    </row>
    <row r="604" spans="1:16" x14ac:dyDescent="0.2">
      <c r="A604" s="310" t="s">
        <v>20</v>
      </c>
      <c r="B604" s="382">
        <v>0</v>
      </c>
      <c r="C604" s="382">
        <v>48</v>
      </c>
      <c r="D604" s="382">
        <v>2.2999999999999998</v>
      </c>
      <c r="E604" s="382">
        <v>20.3</v>
      </c>
      <c r="F604" s="382">
        <v>0</v>
      </c>
      <c r="G604" s="382">
        <v>1.9330000000000001</v>
      </c>
      <c r="H604" s="382">
        <v>6.29</v>
      </c>
      <c r="I604" s="382"/>
      <c r="J604" s="29"/>
      <c r="K604" s="29"/>
      <c r="L604" s="29"/>
      <c r="M604" s="29"/>
      <c r="N604" s="29"/>
      <c r="O604" s="29"/>
      <c r="P604" s="29"/>
    </row>
    <row r="605" spans="1:16" x14ac:dyDescent="0.2">
      <c r="A605" s="310" t="s">
        <v>21</v>
      </c>
      <c r="B605" s="382">
        <f>B601-B604</f>
        <v>10</v>
      </c>
      <c r="C605" s="382">
        <f>C601-C604</f>
        <v>-38</v>
      </c>
      <c r="D605" s="382">
        <f>D602-D604</f>
        <v>-30.3</v>
      </c>
      <c r="E605" s="382">
        <f>E602-E604</f>
        <v>-40.6</v>
      </c>
      <c r="F605" s="382">
        <f>F602-F604</f>
        <v>-30.6</v>
      </c>
      <c r="G605" s="382">
        <f>G602-G604</f>
        <v>-22.533000000000001</v>
      </c>
      <c r="H605" s="382">
        <f>H602-H604</f>
        <v>1.1800000000000006</v>
      </c>
      <c r="I605" s="382"/>
      <c r="J605" s="242"/>
      <c r="K605" s="242"/>
      <c r="L605" s="242"/>
      <c r="M605" s="242"/>
      <c r="N605" s="242"/>
      <c r="O605" s="242"/>
      <c r="P605" s="242"/>
    </row>
    <row r="606" spans="1:16" x14ac:dyDescent="0.2">
      <c r="A606" s="313" t="s">
        <v>22</v>
      </c>
      <c r="B606" s="314">
        <v>2017</v>
      </c>
      <c r="C606" s="314">
        <v>2018</v>
      </c>
      <c r="D606" s="314">
        <v>2019</v>
      </c>
      <c r="E606" s="314">
        <v>2020</v>
      </c>
      <c r="F606" s="314">
        <v>2021</v>
      </c>
      <c r="G606" s="314">
        <v>2022</v>
      </c>
      <c r="H606" s="314">
        <v>2023</v>
      </c>
      <c r="I606" s="314">
        <v>2024</v>
      </c>
      <c r="J606" s="38">
        <v>2025</v>
      </c>
      <c r="K606" s="38">
        <v>2026</v>
      </c>
      <c r="L606" s="38">
        <v>2027</v>
      </c>
      <c r="M606" s="38">
        <v>2028</v>
      </c>
      <c r="N606" s="38">
        <v>2029</v>
      </c>
      <c r="O606" s="38">
        <v>2030</v>
      </c>
      <c r="P606" s="38">
        <v>2031</v>
      </c>
    </row>
    <row r="607" spans="1:16" x14ac:dyDescent="0.2">
      <c r="A607" s="313" t="s">
        <v>436</v>
      </c>
      <c r="B607" s="315"/>
      <c r="C607" s="315"/>
      <c r="D607" s="315"/>
      <c r="E607" s="315"/>
      <c r="F607" s="315"/>
      <c r="G607" s="315"/>
      <c r="H607" s="315"/>
      <c r="I607" s="261"/>
      <c r="J607" s="30"/>
      <c r="K607" s="30"/>
      <c r="L607" s="30"/>
      <c r="M607" s="30"/>
      <c r="N607" s="30"/>
      <c r="O607" s="30"/>
      <c r="P607" s="31"/>
    </row>
    <row r="608" spans="1:16" ht="12.75" customHeight="1" x14ac:dyDescent="0.2">
      <c r="A608" s="728" t="s">
        <v>761</v>
      </c>
      <c r="B608" s="729"/>
      <c r="C608" s="729"/>
      <c r="D608" s="729"/>
      <c r="E608" s="729"/>
      <c r="F608" s="729"/>
      <c r="G608" s="729"/>
      <c r="H608" s="729"/>
      <c r="I608" s="265"/>
      <c r="J608" s="33"/>
      <c r="K608" s="33"/>
      <c r="L608" s="33"/>
      <c r="M608" s="33"/>
      <c r="N608" s="33"/>
      <c r="O608" s="33"/>
      <c r="P608" s="34"/>
    </row>
    <row r="609" spans="1:9" x14ac:dyDescent="0.2">
      <c r="A609" s="263"/>
      <c r="B609" s="263"/>
      <c r="C609" s="263"/>
      <c r="D609" s="263"/>
      <c r="E609" s="263"/>
      <c r="F609" s="263"/>
      <c r="G609" s="263"/>
      <c r="H609" s="263"/>
      <c r="I609" s="263"/>
    </row>
    <row r="610" spans="1:9" x14ac:dyDescent="0.2">
      <c r="A610" s="362"/>
      <c r="B610" s="362"/>
      <c r="C610" s="362"/>
      <c r="D610" s="362"/>
      <c r="E610" s="362"/>
      <c r="F610" s="362"/>
      <c r="G610" s="362"/>
      <c r="H610" s="263"/>
      <c r="I610" s="263"/>
    </row>
    <row r="611" spans="1:9" x14ac:dyDescent="0.2">
      <c r="A611" s="362"/>
      <c r="B611" s="362"/>
      <c r="C611" s="362"/>
      <c r="D611" s="362"/>
      <c r="E611" s="362"/>
      <c r="F611" s="362"/>
      <c r="G611" s="362"/>
      <c r="H611" s="263"/>
      <c r="I611" s="263"/>
    </row>
    <row r="612" spans="1:9" x14ac:dyDescent="0.2">
      <c r="A612" s="690" t="s">
        <v>12</v>
      </c>
      <c r="B612" s="691" t="s">
        <v>733</v>
      </c>
      <c r="C612" s="263"/>
      <c r="D612" s="263"/>
      <c r="E612" s="263"/>
      <c r="F612" s="263"/>
      <c r="G612" s="263"/>
      <c r="H612" s="263"/>
      <c r="I612" s="263"/>
    </row>
    <row r="613" spans="1:9" x14ac:dyDescent="0.2">
      <c r="A613" s="688" t="s">
        <v>14</v>
      </c>
      <c r="B613" s="689" t="s">
        <v>661</v>
      </c>
      <c r="C613" s="307" t="s">
        <v>152</v>
      </c>
      <c r="D613" s="309"/>
      <c r="E613" s="309"/>
      <c r="F613" s="309"/>
      <c r="G613" s="309"/>
      <c r="H613" s="263"/>
      <c r="I613" s="263"/>
    </row>
    <row r="614" spans="1:9" x14ac:dyDescent="0.2">
      <c r="A614" s="378" t="s">
        <v>16</v>
      </c>
      <c r="B614" s="394"/>
      <c r="C614" s="394">
        <v>2021</v>
      </c>
      <c r="D614" s="394">
        <v>2022</v>
      </c>
      <c r="E614" s="394">
        <v>2023</v>
      </c>
      <c r="F614" s="263"/>
      <c r="G614" s="263"/>
      <c r="H614" s="263"/>
      <c r="I614" s="263"/>
    </row>
    <row r="615" spans="1:9" x14ac:dyDescent="0.2">
      <c r="A615" s="310" t="s">
        <v>17</v>
      </c>
      <c r="B615" s="382"/>
      <c r="C615" s="382">
        <v>330</v>
      </c>
      <c r="D615" s="382">
        <v>330</v>
      </c>
      <c r="E615" s="382">
        <v>513</v>
      </c>
      <c r="F615" s="263"/>
      <c r="G615" s="263"/>
      <c r="H615" s="263"/>
      <c r="I615" s="263"/>
    </row>
    <row r="616" spans="1:9" x14ac:dyDescent="0.2">
      <c r="A616" s="310" t="s">
        <v>18</v>
      </c>
      <c r="B616" s="382"/>
      <c r="C616" s="382"/>
      <c r="D616" s="382">
        <f>D615-259.62</f>
        <v>70.38</v>
      </c>
      <c r="E616" s="382">
        <f>E615-507.87</f>
        <v>5.1299999999999955</v>
      </c>
      <c r="F616" s="263"/>
      <c r="G616" s="263"/>
      <c r="H616" s="263"/>
      <c r="I616" s="263"/>
    </row>
    <row r="617" spans="1:9" x14ac:dyDescent="0.2">
      <c r="A617" s="310" t="s">
        <v>19</v>
      </c>
      <c r="B617" s="395"/>
      <c r="C617" s="395"/>
      <c r="D617" s="395"/>
      <c r="E617" s="395"/>
      <c r="F617" s="263"/>
      <c r="G617" s="263"/>
      <c r="H617" s="263"/>
      <c r="I617" s="263"/>
    </row>
    <row r="618" spans="1:9" x14ac:dyDescent="0.2">
      <c r="A618" s="310" t="s">
        <v>20</v>
      </c>
      <c r="B618" s="382"/>
      <c r="C618" s="382">
        <v>326.61</v>
      </c>
      <c r="D618" s="382">
        <v>67.08</v>
      </c>
      <c r="E618" s="382"/>
      <c r="F618" s="263"/>
      <c r="G618" s="263"/>
      <c r="H618" s="263"/>
      <c r="I618" s="263"/>
    </row>
    <row r="619" spans="1:9" x14ac:dyDescent="0.2">
      <c r="A619" s="310" t="s">
        <v>21</v>
      </c>
      <c r="B619" s="382"/>
      <c r="C619" s="382">
        <f>C615-C618</f>
        <v>3.3899999999999864</v>
      </c>
      <c r="D619" s="382">
        <f>D616-D618</f>
        <v>3.2999999999999972</v>
      </c>
      <c r="E619" s="382"/>
      <c r="F619" s="263"/>
      <c r="G619" s="263"/>
      <c r="H619" s="263"/>
      <c r="I619" s="263"/>
    </row>
    <row r="620" spans="1:9" x14ac:dyDescent="0.2">
      <c r="A620" s="313" t="s">
        <v>22</v>
      </c>
      <c r="B620" s="314"/>
      <c r="C620" s="314"/>
      <c r="D620" s="314"/>
      <c r="E620" s="314"/>
      <c r="F620" s="263"/>
      <c r="G620" s="263"/>
      <c r="H620" s="263"/>
      <c r="I620" s="263"/>
    </row>
    <row r="621" spans="1:9" ht="13.15" customHeight="1" x14ac:dyDescent="0.2">
      <c r="A621" s="587" t="s">
        <v>23</v>
      </c>
      <c r="B621" s="587"/>
      <c r="C621" s="587"/>
      <c r="D621" s="587"/>
      <c r="E621" s="587"/>
      <c r="F621" s="263"/>
      <c r="G621" s="263"/>
      <c r="H621" s="263"/>
      <c r="I621" s="263"/>
    </row>
    <row r="622" spans="1:9" x14ac:dyDescent="0.2">
      <c r="A622" s="313" t="s">
        <v>681</v>
      </c>
      <c r="B622" s="315"/>
      <c r="C622" s="315"/>
      <c r="D622" s="315"/>
      <c r="E622" s="588"/>
      <c r="F622" s="263"/>
      <c r="G622" s="263"/>
      <c r="H622" s="263"/>
      <c r="I622" s="263"/>
    </row>
    <row r="623" spans="1:9" x14ac:dyDescent="0.2">
      <c r="A623" s="728" t="s">
        <v>845</v>
      </c>
      <c r="B623" s="729"/>
      <c r="C623" s="729"/>
      <c r="D623" s="729"/>
      <c r="E623" s="462"/>
      <c r="F623" s="263"/>
      <c r="G623" s="263"/>
      <c r="H623" s="263"/>
      <c r="I623" s="263"/>
    </row>
    <row r="624" spans="1:9" x14ac:dyDescent="0.2">
      <c r="A624" s="35"/>
      <c r="B624" s="35"/>
      <c r="C624" s="35"/>
      <c r="D624" s="35"/>
      <c r="E624" s="28"/>
      <c r="F624" s="28"/>
      <c r="G624" s="28"/>
      <c r="H624" s="28"/>
    </row>
    <row r="626" spans="1:8" x14ac:dyDescent="0.2">
      <c r="A626" s="125" t="s">
        <v>12</v>
      </c>
      <c r="B626" s="691" t="s">
        <v>259</v>
      </c>
      <c r="C626" s="263"/>
      <c r="D626" s="263"/>
      <c r="E626" s="263"/>
    </row>
    <row r="627" spans="1:8" x14ac:dyDescent="0.2">
      <c r="A627" s="694" t="s">
        <v>14</v>
      </c>
      <c r="B627" s="689" t="s">
        <v>66</v>
      </c>
      <c r="C627" s="307" t="s">
        <v>152</v>
      </c>
      <c r="D627" s="309"/>
      <c r="E627" s="309"/>
      <c r="F627" s="7"/>
      <c r="G627" s="7"/>
    </row>
    <row r="628" spans="1:8" x14ac:dyDescent="0.2">
      <c r="A628" s="14" t="s">
        <v>16</v>
      </c>
      <c r="B628" s="398" t="s">
        <v>243</v>
      </c>
      <c r="C628" s="394" t="s">
        <v>244</v>
      </c>
      <c r="D628" s="394" t="s">
        <v>287</v>
      </c>
      <c r="E628" s="394" t="s">
        <v>605</v>
      </c>
      <c r="F628" s="394" t="s">
        <v>848</v>
      </c>
    </row>
    <row r="629" spans="1:8" x14ac:dyDescent="0.2">
      <c r="A629" s="8" t="s">
        <v>17</v>
      </c>
      <c r="B629" s="382" t="s">
        <v>47</v>
      </c>
      <c r="C629" s="382" t="s">
        <v>47</v>
      </c>
      <c r="D629" s="382">
        <v>1552.77</v>
      </c>
      <c r="E629" s="382">
        <v>1527.9256800000001</v>
      </c>
      <c r="F629" s="382">
        <v>1540.3478400000001</v>
      </c>
    </row>
    <row r="630" spans="1:8" x14ac:dyDescent="0.2">
      <c r="A630" s="8" t="s">
        <v>18</v>
      </c>
      <c r="B630" s="382" t="s">
        <v>47</v>
      </c>
      <c r="C630" s="382" t="s">
        <v>47</v>
      </c>
      <c r="D630" s="382"/>
      <c r="E630" s="382"/>
      <c r="F630" s="382"/>
    </row>
    <row r="631" spans="1:8" x14ac:dyDescent="0.2">
      <c r="A631" s="8" t="s">
        <v>19</v>
      </c>
      <c r="B631" s="395"/>
      <c r="C631" s="395"/>
      <c r="D631" s="395"/>
      <c r="E631" s="395"/>
      <c r="F631" s="395"/>
    </row>
    <row r="632" spans="1:8" x14ac:dyDescent="0.2">
      <c r="A632" s="8" t="s">
        <v>20</v>
      </c>
      <c r="B632" s="382">
        <v>2633.56</v>
      </c>
      <c r="C632" s="382">
        <v>2463.83</v>
      </c>
      <c r="D632" s="382">
        <v>1518</v>
      </c>
      <c r="E632" s="382">
        <v>1491.84</v>
      </c>
      <c r="F632" s="382">
        <v>1499.98</v>
      </c>
    </row>
    <row r="633" spans="1:8" x14ac:dyDescent="0.2">
      <c r="A633" s="8" t="s">
        <v>21</v>
      </c>
      <c r="B633" s="382" t="s">
        <v>47</v>
      </c>
      <c r="C633" s="382" t="s">
        <v>47</v>
      </c>
      <c r="D633" s="382">
        <f>D629-D632</f>
        <v>34.769999999999982</v>
      </c>
      <c r="E633" s="382">
        <f>E629-E632</f>
        <v>36.085680000000139</v>
      </c>
      <c r="F633" s="382">
        <f>F629-F632</f>
        <v>40.367840000000115</v>
      </c>
    </row>
    <row r="634" spans="1:8" x14ac:dyDescent="0.2">
      <c r="A634" s="37" t="s">
        <v>22</v>
      </c>
      <c r="B634" s="314"/>
      <c r="C634" s="314"/>
      <c r="D634" s="314"/>
      <c r="E634" s="314"/>
      <c r="F634" s="314"/>
    </row>
    <row r="635" spans="1:8" x14ac:dyDescent="0.2">
      <c r="A635" s="734" t="s">
        <v>846</v>
      </c>
      <c r="B635" s="735"/>
      <c r="C635" s="735"/>
      <c r="D635" s="735"/>
      <c r="E635" s="735"/>
      <c r="F635" s="589"/>
      <c r="G635" s="28"/>
      <c r="H635" s="28"/>
    </row>
    <row r="636" spans="1:8" x14ac:dyDescent="0.2">
      <c r="A636" s="20" t="s">
        <v>847</v>
      </c>
      <c r="F636" s="21"/>
    </row>
    <row r="637" spans="1:8" x14ac:dyDescent="0.2">
      <c r="A637" s="32" t="s">
        <v>849</v>
      </c>
      <c r="B637" s="33"/>
      <c r="C637" s="33"/>
      <c r="D637" s="33"/>
      <c r="E637" s="33"/>
      <c r="F637" s="34"/>
    </row>
    <row r="639" spans="1:8" ht="13.15" customHeight="1" x14ac:dyDescent="0.2"/>
    <row r="640" spans="1:8" x14ac:dyDescent="0.2">
      <c r="A640" s="125" t="s">
        <v>12</v>
      </c>
      <c r="B640" s="696" t="s">
        <v>39</v>
      </c>
    </row>
    <row r="641" spans="1:13" x14ac:dyDescent="0.2">
      <c r="A641" s="74" t="s">
        <v>14</v>
      </c>
      <c r="B641" s="695" t="s">
        <v>638</v>
      </c>
      <c r="C641" s="56" t="s">
        <v>15</v>
      </c>
    </row>
    <row r="642" spans="1:13" x14ac:dyDescent="0.2">
      <c r="A642" s="32" t="s">
        <v>16</v>
      </c>
      <c r="B642" s="108">
        <v>2014</v>
      </c>
      <c r="C642" s="52">
        <v>2015</v>
      </c>
      <c r="D642" s="52">
        <v>2016</v>
      </c>
      <c r="E642" s="52">
        <v>2017</v>
      </c>
      <c r="F642" s="52">
        <v>2018</v>
      </c>
      <c r="G642" s="52">
        <v>2019</v>
      </c>
      <c r="H642" s="52">
        <v>2020</v>
      </c>
      <c r="I642" s="52">
        <v>2021</v>
      </c>
      <c r="J642" s="52">
        <v>2022</v>
      </c>
      <c r="K642" s="52">
        <v>2023</v>
      </c>
    </row>
    <row r="643" spans="1:13" x14ac:dyDescent="0.2">
      <c r="A643" s="47" t="s">
        <v>17</v>
      </c>
      <c r="B643" s="61">
        <v>21551.3</v>
      </c>
      <c r="C643" s="61">
        <v>21551.3</v>
      </c>
      <c r="D643" s="61">
        <v>21551.3</v>
      </c>
      <c r="E643" s="61">
        <v>21551.3</v>
      </c>
      <c r="F643" s="61">
        <v>25861.599999999999</v>
      </c>
      <c r="G643" s="61">
        <v>25861.599999999999</v>
      </c>
      <c r="H643" s="61">
        <v>25861.599999999999</v>
      </c>
      <c r="I643" s="23">
        <v>29095.1</v>
      </c>
      <c r="J643" s="23">
        <v>29095.1</v>
      </c>
      <c r="K643" s="23">
        <v>29095.1</v>
      </c>
    </row>
    <row r="644" spans="1:13" x14ac:dyDescent="0.2">
      <c r="A644" s="47" t="s">
        <v>18</v>
      </c>
      <c r="B644" s="61">
        <v>26534.959999999999</v>
      </c>
      <c r="C644" s="61">
        <v>26939.13</v>
      </c>
      <c r="D644" s="61">
        <v>24541.7</v>
      </c>
      <c r="E644" s="61">
        <v>26939.125</v>
      </c>
      <c r="F644" s="61">
        <v>26094.649999999998</v>
      </c>
      <c r="G644" s="61">
        <v>29536.849000000002</v>
      </c>
      <c r="H644" s="61">
        <v>26869.420999999995</v>
      </c>
      <c r="I644" s="23">
        <f>I643+G647-434.04</f>
        <v>28121.021000000001</v>
      </c>
      <c r="J644" s="23">
        <f>J643+H647-0.0152*J643</f>
        <v>29941.571479999991</v>
      </c>
      <c r="K644" s="23">
        <f>K643+I647-0.0152*I643</f>
        <v>30678.782479999994</v>
      </c>
      <c r="L644" s="42"/>
      <c r="M644" s="42"/>
    </row>
    <row r="645" spans="1:13" ht="51" x14ac:dyDescent="0.2">
      <c r="A645" s="47" t="s">
        <v>19</v>
      </c>
      <c r="B645" s="63" t="s">
        <v>40</v>
      </c>
      <c r="C645" s="63" t="s">
        <v>41</v>
      </c>
      <c r="D645" s="63" t="s">
        <v>42</v>
      </c>
      <c r="E645" s="160" t="s">
        <v>43</v>
      </c>
      <c r="F645" s="160" t="s">
        <v>44</v>
      </c>
      <c r="G645" s="160" t="s">
        <v>45</v>
      </c>
      <c r="H645" s="160" t="s">
        <v>46</v>
      </c>
      <c r="I645" s="87" t="s">
        <v>479</v>
      </c>
      <c r="J645" s="87" t="s">
        <v>480</v>
      </c>
      <c r="K645" s="87" t="s">
        <v>653</v>
      </c>
    </row>
    <row r="646" spans="1:13" ht="12.6" customHeight="1" x14ac:dyDescent="0.2">
      <c r="A646" s="47" t="s">
        <v>20</v>
      </c>
      <c r="B646" s="23">
        <v>23544.560000000001</v>
      </c>
      <c r="C646" s="23">
        <v>20891.8</v>
      </c>
      <c r="D646" s="23">
        <v>24308.65</v>
      </c>
      <c r="E646" s="23">
        <v>23263.875999999997</v>
      </c>
      <c r="F646" s="23">
        <v>25086.829000000002</v>
      </c>
      <c r="G646" s="23">
        <v>30076.887999999999</v>
      </c>
      <c r="H646" s="23">
        <v>25580.704000000002</v>
      </c>
      <c r="I646" s="23">
        <v>26095.093000000004</v>
      </c>
      <c r="J646" s="23">
        <v>26844.75</v>
      </c>
      <c r="K646" s="23"/>
    </row>
    <row r="647" spans="1:13" x14ac:dyDescent="0.2">
      <c r="A647" s="47" t="s">
        <v>21</v>
      </c>
      <c r="B647" s="23">
        <v>2990.4</v>
      </c>
      <c r="C647" s="23">
        <v>6047.33</v>
      </c>
      <c r="D647" s="23">
        <v>233.04999999999927</v>
      </c>
      <c r="E647" s="23">
        <v>3675.2490000000034</v>
      </c>
      <c r="F647" s="23">
        <v>1007.8209999999963</v>
      </c>
      <c r="G647" s="23">
        <f>G644-G646</f>
        <v>-540.03899999999703</v>
      </c>
      <c r="H647" s="23">
        <f>H644-H646</f>
        <v>1288.7169999999933</v>
      </c>
      <c r="I647" s="23">
        <f>I644-I646</f>
        <v>2025.9279999999962</v>
      </c>
      <c r="J647" s="23">
        <f>J644-J646</f>
        <v>3096.8214799999914</v>
      </c>
      <c r="K647" s="23"/>
    </row>
    <row r="648" spans="1:13" x14ac:dyDescent="0.2">
      <c r="A648" s="50" t="s">
        <v>22</v>
      </c>
      <c r="B648" s="58">
        <v>2016</v>
      </c>
      <c r="C648" s="58">
        <v>2017</v>
      </c>
      <c r="D648" s="58">
        <v>2018</v>
      </c>
      <c r="E648" s="58">
        <v>2019</v>
      </c>
      <c r="F648" s="58">
        <v>2020</v>
      </c>
      <c r="G648" s="58">
        <v>2021</v>
      </c>
      <c r="H648" s="58">
        <v>2022</v>
      </c>
      <c r="I648" s="58">
        <v>2023</v>
      </c>
      <c r="J648" s="58">
        <v>2024</v>
      </c>
      <c r="K648" s="58">
        <v>2025</v>
      </c>
    </row>
    <row r="649" spans="1:13" x14ac:dyDescent="0.2">
      <c r="A649" s="50" t="s">
        <v>477</v>
      </c>
      <c r="B649" s="86"/>
      <c r="C649" s="86"/>
      <c r="D649" s="86"/>
      <c r="E649" s="86"/>
      <c r="F649" s="86"/>
      <c r="G649" s="86"/>
      <c r="H649" s="86"/>
      <c r="I649" s="86"/>
      <c r="J649" s="30"/>
      <c r="K649" s="31"/>
    </row>
    <row r="650" spans="1:13" x14ac:dyDescent="0.2">
      <c r="A650" s="20" t="s">
        <v>478</v>
      </c>
      <c r="B650" s="85"/>
      <c r="C650" s="85"/>
      <c r="D650" s="85"/>
      <c r="E650" s="85"/>
      <c r="F650" s="85"/>
      <c r="G650" s="85"/>
      <c r="H650" s="85"/>
      <c r="I650" s="85"/>
      <c r="K650" s="21"/>
    </row>
    <row r="651" spans="1:13" x14ac:dyDescent="0.2">
      <c r="A651" s="20" t="s">
        <v>481</v>
      </c>
      <c r="B651" s="85"/>
      <c r="C651" s="85"/>
      <c r="D651" s="85"/>
      <c r="E651" s="85"/>
      <c r="F651" s="85"/>
      <c r="G651" s="85"/>
      <c r="H651" s="85"/>
      <c r="I651" s="85"/>
      <c r="K651" s="21"/>
    </row>
    <row r="652" spans="1:13" x14ac:dyDescent="0.2">
      <c r="A652" s="20" t="s">
        <v>482</v>
      </c>
      <c r="B652" s="85"/>
      <c r="C652" s="85"/>
      <c r="D652" s="85"/>
      <c r="E652" s="85"/>
      <c r="F652" s="85"/>
      <c r="G652" s="85"/>
      <c r="H652" s="85"/>
      <c r="I652" s="85"/>
      <c r="K652" s="21"/>
    </row>
    <row r="653" spans="1:13" x14ac:dyDescent="0.2">
      <c r="A653" s="32" t="s">
        <v>654</v>
      </c>
      <c r="B653" s="88"/>
      <c r="C653" s="88"/>
      <c r="D653" s="88"/>
      <c r="E653" s="88"/>
      <c r="F653" s="88"/>
      <c r="G653" s="88"/>
      <c r="H653" s="88"/>
      <c r="I653" s="88"/>
      <c r="J653" s="33"/>
      <c r="K653" s="34"/>
    </row>
    <row r="655" spans="1:13" x14ac:dyDescent="0.2">
      <c r="A655" s="96" t="s">
        <v>14</v>
      </c>
      <c r="B655" s="109" t="s">
        <v>657</v>
      </c>
      <c r="C655" s="56" t="s">
        <v>15</v>
      </c>
    </row>
    <row r="656" spans="1:13" x14ac:dyDescent="0.2">
      <c r="A656" s="32" t="s">
        <v>16</v>
      </c>
      <c r="B656" s="108">
        <v>2014</v>
      </c>
      <c r="C656" s="52">
        <v>2015</v>
      </c>
      <c r="D656" s="52">
        <v>2016</v>
      </c>
      <c r="E656" s="52">
        <v>2017</v>
      </c>
      <c r="F656" s="52">
        <v>2018</v>
      </c>
      <c r="G656" s="52">
        <v>2019</v>
      </c>
      <c r="H656" s="52">
        <v>2020</v>
      </c>
      <c r="I656" s="52">
        <v>2021</v>
      </c>
      <c r="J656" s="52">
        <v>2022</v>
      </c>
      <c r="K656" s="52">
        <v>2023</v>
      </c>
    </row>
    <row r="657" spans="1:11" x14ac:dyDescent="0.2">
      <c r="A657" s="47" t="s">
        <v>17</v>
      </c>
      <c r="B657" s="61">
        <v>1470</v>
      </c>
      <c r="C657" s="61">
        <v>1470</v>
      </c>
      <c r="D657" s="61">
        <v>1470</v>
      </c>
      <c r="E657" s="61">
        <v>1470</v>
      </c>
      <c r="F657" s="61">
        <v>1470</v>
      </c>
      <c r="G657" s="61">
        <v>1470</v>
      </c>
      <c r="H657" s="61">
        <v>1470</v>
      </c>
      <c r="I657" s="23">
        <v>1470</v>
      </c>
      <c r="J657" s="23">
        <v>1470</v>
      </c>
      <c r="K657" s="46">
        <v>1765</v>
      </c>
    </row>
    <row r="658" spans="1:11" x14ac:dyDescent="0.2">
      <c r="A658" s="47" t="s">
        <v>18</v>
      </c>
      <c r="B658" s="61">
        <v>1470</v>
      </c>
      <c r="C658" s="61">
        <v>1719</v>
      </c>
      <c r="D658" s="61">
        <v>1837.5</v>
      </c>
      <c r="E658" s="61">
        <v>1837.5</v>
      </c>
      <c r="F658" s="61">
        <v>1837.5</v>
      </c>
      <c r="G658" s="61">
        <v>1837.5</v>
      </c>
      <c r="H658" s="61">
        <v>1837.5</v>
      </c>
      <c r="I658" s="61">
        <f>+I657+G657*0.25</f>
        <v>1837.5</v>
      </c>
      <c r="J658" s="61">
        <f>+J657+H657*0.25</f>
        <v>1837.5</v>
      </c>
      <c r="K658" s="399">
        <f>K657+I657*0.25</f>
        <v>2132.5</v>
      </c>
    </row>
    <row r="659" spans="1:11" ht="25.5" x14ac:dyDescent="0.2">
      <c r="A659" s="47" t="s">
        <v>19</v>
      </c>
      <c r="B659" s="63" t="s">
        <v>47</v>
      </c>
      <c r="C659" s="63" t="s">
        <v>48</v>
      </c>
      <c r="D659" s="63" t="s">
        <v>49</v>
      </c>
      <c r="E659" s="160" t="s">
        <v>43</v>
      </c>
      <c r="F659" s="160" t="s">
        <v>50</v>
      </c>
      <c r="G659" s="160" t="s">
        <v>51</v>
      </c>
      <c r="H659" s="160" t="s">
        <v>52</v>
      </c>
      <c r="I659" s="87" t="s">
        <v>264</v>
      </c>
      <c r="J659" s="87" t="s">
        <v>486</v>
      </c>
      <c r="K659" s="87" t="s">
        <v>737</v>
      </c>
    </row>
    <row r="660" spans="1:11" x14ac:dyDescent="0.2">
      <c r="A660" s="47" t="s">
        <v>20</v>
      </c>
      <c r="B660" s="23">
        <v>335.36</v>
      </c>
      <c r="C660" s="23">
        <v>472.71</v>
      </c>
      <c r="D660" s="23">
        <v>54.77</v>
      </c>
      <c r="E660" s="23">
        <v>178.2</v>
      </c>
      <c r="F660" s="23">
        <v>102.81099999999999</v>
      </c>
      <c r="G660" s="160">
        <v>81.733813276999982</v>
      </c>
      <c r="H660" s="23">
        <v>60.466000000000008</v>
      </c>
      <c r="I660" s="23">
        <v>70.94</v>
      </c>
      <c r="J660" s="23">
        <v>71.53</v>
      </c>
      <c r="K660" s="23"/>
    </row>
    <row r="661" spans="1:11" x14ac:dyDescent="0.2">
      <c r="A661" s="47" t="s">
        <v>21</v>
      </c>
      <c r="B661" s="23">
        <v>1135</v>
      </c>
      <c r="C661" s="23">
        <v>1246.29</v>
      </c>
      <c r="D661" s="23">
        <v>1782.73</v>
      </c>
      <c r="E661" s="23">
        <v>1659.3</v>
      </c>
      <c r="F661" s="23">
        <v>1734.6890000000001</v>
      </c>
      <c r="G661" s="160">
        <f>G658-G660</f>
        <v>1755.7661867229999</v>
      </c>
      <c r="H661" s="23">
        <f>H658-H660</f>
        <v>1777.0340000000001</v>
      </c>
      <c r="I661" s="23">
        <f>I658-I660</f>
        <v>1766.56</v>
      </c>
      <c r="J661" s="23">
        <f>J658-J660</f>
        <v>1765.97</v>
      </c>
      <c r="K661" s="23"/>
    </row>
    <row r="662" spans="1:11" x14ac:dyDescent="0.2">
      <c r="A662" s="50" t="s">
        <v>22</v>
      </c>
      <c r="B662" s="58">
        <v>2016</v>
      </c>
      <c r="C662" s="58">
        <v>2017</v>
      </c>
      <c r="D662" s="58">
        <v>2018</v>
      </c>
      <c r="E662" s="58">
        <v>2019</v>
      </c>
      <c r="F662" s="58">
        <v>2020</v>
      </c>
      <c r="G662" s="58">
        <v>2021</v>
      </c>
      <c r="H662" s="58">
        <v>2022</v>
      </c>
      <c r="I662" s="58">
        <v>2023</v>
      </c>
      <c r="J662" s="58">
        <v>2024</v>
      </c>
      <c r="K662" s="58">
        <v>2025</v>
      </c>
    </row>
    <row r="663" spans="1:11" x14ac:dyDescent="0.2">
      <c r="A663" s="50" t="s">
        <v>484</v>
      </c>
      <c r="B663" s="86"/>
      <c r="C663" s="86"/>
      <c r="D663" s="86"/>
      <c r="E663" s="86"/>
      <c r="F663" s="86"/>
      <c r="G663" s="86"/>
      <c r="H663" s="86"/>
      <c r="I663" s="86"/>
      <c r="J663" s="30"/>
      <c r="K663" s="31"/>
    </row>
    <row r="664" spans="1:11" x14ac:dyDescent="0.2">
      <c r="A664" s="20" t="s">
        <v>483</v>
      </c>
      <c r="K664" s="21"/>
    </row>
    <row r="665" spans="1:11" x14ac:dyDescent="0.2">
      <c r="A665" s="20" t="s">
        <v>485</v>
      </c>
      <c r="K665" s="21"/>
    </row>
    <row r="666" spans="1:11" x14ac:dyDescent="0.2">
      <c r="A666" s="32" t="s">
        <v>738</v>
      </c>
      <c r="B666" s="33"/>
      <c r="C666" s="33"/>
      <c r="D666" s="33"/>
      <c r="E666" s="33"/>
      <c r="F666" s="33"/>
      <c r="G666" s="33"/>
      <c r="H666" s="33"/>
      <c r="I666" s="33"/>
      <c r="J666" s="33"/>
      <c r="K666" s="34"/>
    </row>
    <row r="668" spans="1:11" x14ac:dyDescent="0.2">
      <c r="A668" s="96" t="s">
        <v>14</v>
      </c>
      <c r="B668" s="109" t="s">
        <v>637</v>
      </c>
      <c r="C668" s="56" t="s">
        <v>15</v>
      </c>
    </row>
    <row r="669" spans="1:11" x14ac:dyDescent="0.2">
      <c r="A669" s="32" t="s">
        <v>16</v>
      </c>
      <c r="B669" s="108">
        <v>2014</v>
      </c>
      <c r="C669" s="52">
        <v>2015</v>
      </c>
      <c r="D669" s="52">
        <v>2016</v>
      </c>
      <c r="E669" s="52">
        <v>2017</v>
      </c>
      <c r="F669" s="52">
        <v>2018</v>
      </c>
      <c r="G669" s="52">
        <v>2019</v>
      </c>
      <c r="H669" s="52">
        <v>2020</v>
      </c>
      <c r="I669" s="52">
        <v>2021</v>
      </c>
      <c r="J669" s="52">
        <v>2022</v>
      </c>
      <c r="K669" s="52">
        <v>2023</v>
      </c>
    </row>
    <row r="670" spans="1:11" x14ac:dyDescent="0.2">
      <c r="A670" s="47" t="s">
        <v>17</v>
      </c>
      <c r="B670" s="61">
        <v>6718</v>
      </c>
      <c r="C670" s="61">
        <v>6718</v>
      </c>
      <c r="D670" s="61">
        <v>6718</v>
      </c>
      <c r="E670" s="61">
        <v>6718</v>
      </c>
      <c r="F670" s="61">
        <v>6718</v>
      </c>
      <c r="G670" s="61">
        <v>6718</v>
      </c>
      <c r="H670" s="61">
        <v>6718</v>
      </c>
      <c r="I670" s="23">
        <v>6718</v>
      </c>
      <c r="J670" s="23">
        <v>6718</v>
      </c>
      <c r="K670" s="23">
        <v>6717.33</v>
      </c>
    </row>
    <row r="671" spans="1:11" x14ac:dyDescent="0.2">
      <c r="A671" s="47" t="s">
        <v>18</v>
      </c>
      <c r="B671" s="61">
        <v>7887.5</v>
      </c>
      <c r="C671" s="61">
        <v>7897.5</v>
      </c>
      <c r="D671" s="61">
        <v>7390.7</v>
      </c>
      <c r="E671" s="61">
        <v>7425.7</v>
      </c>
      <c r="F671" s="61">
        <v>7385.7</v>
      </c>
      <c r="G671" s="61">
        <v>7385.7</v>
      </c>
      <c r="H671" s="61">
        <f>H670+F670*0.15-100-40</f>
        <v>7585.7</v>
      </c>
      <c r="I671" s="61">
        <f>I670+0.15*G670-40-200-0.67</f>
        <v>7485.03</v>
      </c>
      <c r="J671" s="61">
        <f>J670+0.15*H670-40-250-0.0001*J670</f>
        <v>7435.0281999999997</v>
      </c>
      <c r="K671" s="61">
        <f>K670+0.15*I670-40-327</f>
        <v>7358.03</v>
      </c>
    </row>
    <row r="672" spans="1:11" ht="38.25" x14ac:dyDescent="0.2">
      <c r="A672" s="47" t="s">
        <v>19</v>
      </c>
      <c r="B672" s="63" t="s">
        <v>53</v>
      </c>
      <c r="C672" s="63" t="s">
        <v>54</v>
      </c>
      <c r="D672" s="63" t="s">
        <v>55</v>
      </c>
      <c r="E672" s="160" t="s">
        <v>56</v>
      </c>
      <c r="F672" s="160" t="s">
        <v>57</v>
      </c>
      <c r="G672" s="160" t="s">
        <v>58</v>
      </c>
      <c r="H672" s="160" t="s">
        <v>525</v>
      </c>
      <c r="I672" s="90" t="s">
        <v>526</v>
      </c>
      <c r="J672" s="90" t="s">
        <v>656</v>
      </c>
      <c r="K672" s="90" t="s">
        <v>959</v>
      </c>
    </row>
    <row r="673" spans="1:11" s="42" customFormat="1" x14ac:dyDescent="0.2">
      <c r="A673" s="161" t="s">
        <v>20</v>
      </c>
      <c r="B673" s="23">
        <v>5020.43</v>
      </c>
      <c r="C673" s="23">
        <v>5449.08</v>
      </c>
      <c r="D673" s="23">
        <v>5765.63</v>
      </c>
      <c r="E673" s="23">
        <v>5573.6610000000001</v>
      </c>
      <c r="F673" s="23">
        <v>4966.4159999999993</v>
      </c>
      <c r="G673" s="23">
        <v>5740.2240000000002</v>
      </c>
      <c r="H673" s="23">
        <v>5960.2599999999993</v>
      </c>
      <c r="I673" s="23">
        <v>5522.9264400000002</v>
      </c>
      <c r="J673" s="23">
        <v>5527.68</v>
      </c>
      <c r="K673" s="23"/>
    </row>
    <row r="674" spans="1:11" x14ac:dyDescent="0.2">
      <c r="A674" s="47" t="s">
        <v>21</v>
      </c>
      <c r="B674" s="23">
        <v>2867.0699999999997</v>
      </c>
      <c r="C674" s="23">
        <v>2448.42</v>
      </c>
      <c r="D674" s="23">
        <v>1625.0699999999997</v>
      </c>
      <c r="E674" s="23">
        <v>1852.039</v>
      </c>
      <c r="F674" s="23">
        <v>2419.2840000000006</v>
      </c>
      <c r="G674" s="23">
        <v>1645.4759999999997</v>
      </c>
      <c r="H674" s="23">
        <f>H671-H673</f>
        <v>1625.4400000000005</v>
      </c>
      <c r="I674" s="23">
        <f>I671-I673</f>
        <v>1962.1035599999996</v>
      </c>
      <c r="J674" s="23">
        <f>J671-J673</f>
        <v>1907.3481999999995</v>
      </c>
      <c r="K674" s="23"/>
    </row>
    <row r="675" spans="1:11" x14ac:dyDescent="0.2">
      <c r="A675" s="50" t="s">
        <v>22</v>
      </c>
      <c r="B675" s="58">
        <v>2016</v>
      </c>
      <c r="C675" s="58">
        <v>2017</v>
      </c>
      <c r="D675" s="58">
        <v>2018</v>
      </c>
      <c r="E675" s="58">
        <v>2019</v>
      </c>
      <c r="F675" s="58">
        <v>2020</v>
      </c>
      <c r="G675" s="58">
        <v>2021</v>
      </c>
      <c r="H675" s="58">
        <v>2022</v>
      </c>
      <c r="I675" s="58">
        <v>2023</v>
      </c>
      <c r="J675" s="58">
        <v>2024</v>
      </c>
      <c r="K675" s="58">
        <v>2025</v>
      </c>
    </row>
    <row r="676" spans="1:11" x14ac:dyDescent="0.2">
      <c r="A676" s="50" t="s">
        <v>487</v>
      </c>
      <c r="B676" s="89"/>
      <c r="C676" s="89"/>
      <c r="D676" s="89"/>
      <c r="E676" s="89"/>
      <c r="F676" s="89"/>
      <c r="G676" s="89"/>
      <c r="H676" s="89"/>
      <c r="I676" s="89"/>
      <c r="J676" s="30"/>
      <c r="K676" s="31"/>
    </row>
    <row r="677" spans="1:11" x14ac:dyDescent="0.2">
      <c r="A677" s="20" t="s">
        <v>527</v>
      </c>
      <c r="B677" s="18"/>
      <c r="C677" s="18"/>
      <c r="D677" s="18"/>
      <c r="E677" s="18"/>
      <c r="F677" s="18"/>
      <c r="G677" s="18"/>
      <c r="H677" s="18"/>
      <c r="I677" s="18"/>
      <c r="K677" s="21"/>
    </row>
    <row r="678" spans="1:11" x14ac:dyDescent="0.2">
      <c r="A678" s="20" t="s">
        <v>488</v>
      </c>
      <c r="B678" s="18"/>
      <c r="C678" s="18"/>
      <c r="D678" s="18"/>
      <c r="E678" s="18"/>
      <c r="F678" s="18"/>
      <c r="G678" s="18"/>
      <c r="H678" s="18"/>
      <c r="I678" s="18"/>
      <c r="K678" s="21"/>
    </row>
    <row r="679" spans="1:11" x14ac:dyDescent="0.2">
      <c r="A679" s="20" t="s">
        <v>528</v>
      </c>
      <c r="B679" s="18"/>
      <c r="C679" s="18"/>
      <c r="D679" s="18"/>
      <c r="E679" s="18"/>
      <c r="F679" s="18"/>
      <c r="G679" s="18"/>
      <c r="H679" s="18"/>
      <c r="I679" s="18"/>
      <c r="K679" s="21"/>
    </row>
    <row r="680" spans="1:11" x14ac:dyDescent="0.2">
      <c r="A680" s="20" t="s">
        <v>489</v>
      </c>
      <c r="B680" s="18"/>
      <c r="C680" s="18"/>
      <c r="D680" s="18"/>
      <c r="E680" s="18"/>
      <c r="F680" s="18"/>
      <c r="G680" s="18"/>
      <c r="H680" s="18"/>
      <c r="I680" s="18"/>
      <c r="K680" s="21"/>
    </row>
    <row r="681" spans="1:11" x14ac:dyDescent="0.2">
      <c r="A681" s="20" t="s">
        <v>491</v>
      </c>
      <c r="B681" s="18"/>
      <c r="C681" s="18"/>
      <c r="D681" s="18"/>
      <c r="E681" s="18"/>
      <c r="F681" s="18"/>
      <c r="G681" s="18"/>
      <c r="H681" s="18"/>
      <c r="I681" s="18"/>
      <c r="K681" s="21"/>
    </row>
    <row r="682" spans="1:11" x14ac:dyDescent="0.2">
      <c r="A682" s="20" t="s">
        <v>490</v>
      </c>
      <c r="B682" s="18"/>
      <c r="C682" s="18"/>
      <c r="D682" s="18"/>
      <c r="E682" s="18"/>
      <c r="F682" s="18"/>
      <c r="G682" s="18"/>
      <c r="H682" s="18"/>
      <c r="I682" s="18"/>
      <c r="K682" s="21"/>
    </row>
    <row r="683" spans="1:11" ht="44.25" customHeight="1" x14ac:dyDescent="0.2">
      <c r="A683" s="724" t="s">
        <v>655</v>
      </c>
      <c r="B683" s="706"/>
      <c r="C683" s="706"/>
      <c r="D683" s="706"/>
      <c r="E683" s="706"/>
      <c r="F683" s="706"/>
      <c r="G683" s="706"/>
      <c r="H683" s="706"/>
      <c r="I683" s="706"/>
      <c r="J683" s="706"/>
      <c r="K683" s="21"/>
    </row>
    <row r="684" spans="1:11" x14ac:dyDescent="0.2">
      <c r="A684" s="673" t="s">
        <v>960</v>
      </c>
      <c r="B684" s="162"/>
      <c r="C684" s="162"/>
      <c r="D684" s="162"/>
      <c r="E684" s="162"/>
      <c r="F684" s="162"/>
      <c r="G684" s="162"/>
      <c r="H684" s="162"/>
      <c r="I684" s="162"/>
      <c r="J684" s="33"/>
      <c r="K684" s="34"/>
    </row>
    <row r="686" spans="1:11" x14ac:dyDescent="0.2">
      <c r="A686" s="96" t="s">
        <v>14</v>
      </c>
      <c r="B686" s="109" t="s">
        <v>660</v>
      </c>
      <c r="C686" s="56" t="s">
        <v>15</v>
      </c>
    </row>
    <row r="687" spans="1:11" x14ac:dyDescent="0.2">
      <c r="A687" s="32" t="s">
        <v>16</v>
      </c>
      <c r="B687" s="108">
        <v>2014</v>
      </c>
      <c r="C687" s="52">
        <v>2015</v>
      </c>
      <c r="D687" s="52">
        <v>2016</v>
      </c>
      <c r="E687" s="52">
        <v>2017</v>
      </c>
      <c r="F687" s="52">
        <v>2018</v>
      </c>
      <c r="G687" s="52">
        <v>2019</v>
      </c>
      <c r="H687" s="52">
        <v>2020</v>
      </c>
      <c r="I687" s="52">
        <v>2021</v>
      </c>
      <c r="J687" s="52">
        <v>2022</v>
      </c>
      <c r="K687" s="52">
        <v>2023</v>
      </c>
    </row>
    <row r="688" spans="1:11" x14ac:dyDescent="0.2">
      <c r="A688" s="47" t="s">
        <v>17</v>
      </c>
      <c r="B688" s="61">
        <v>4824</v>
      </c>
      <c r="C688" s="61">
        <v>4824</v>
      </c>
      <c r="D688" s="61">
        <v>4824</v>
      </c>
      <c r="E688" s="61">
        <v>4824</v>
      </c>
      <c r="F688" s="61">
        <v>4824</v>
      </c>
      <c r="G688" s="61">
        <v>4824</v>
      </c>
      <c r="H688" s="61">
        <v>4824</v>
      </c>
      <c r="I688" s="61">
        <v>4824</v>
      </c>
      <c r="J688" s="61">
        <v>4824</v>
      </c>
      <c r="K688" s="61">
        <v>4824</v>
      </c>
    </row>
    <row r="689" spans="1:11" x14ac:dyDescent="0.2">
      <c r="A689" s="47" t="s">
        <v>18</v>
      </c>
      <c r="B689" s="61">
        <v>5141.7</v>
      </c>
      <c r="C689" s="61">
        <v>5695.4</v>
      </c>
      <c r="D689" s="61">
        <v>5601.06</v>
      </c>
      <c r="E689" s="61">
        <v>5224.38</v>
      </c>
      <c r="F689" s="61">
        <v>4963.5200000000004</v>
      </c>
      <c r="G689" s="61">
        <v>4928.1499999999996</v>
      </c>
      <c r="H689" s="61">
        <v>5011.2030000000004</v>
      </c>
      <c r="I689" s="61">
        <f>I688+G692</f>
        <v>5243.19</v>
      </c>
      <c r="J689" s="61">
        <f>J688+H692</f>
        <v>5085.0014400000018</v>
      </c>
      <c r="K689" s="61">
        <f>K688+0.1*I688</f>
        <v>5306.4</v>
      </c>
    </row>
    <row r="690" spans="1:11" ht="25.5" x14ac:dyDescent="0.2">
      <c r="A690" s="47" t="s">
        <v>19</v>
      </c>
      <c r="B690" s="63" t="s">
        <v>59</v>
      </c>
      <c r="C690" s="63" t="s">
        <v>60</v>
      </c>
      <c r="D690" s="63" t="s">
        <v>61</v>
      </c>
      <c r="E690" s="64" t="s">
        <v>62</v>
      </c>
      <c r="F690" s="64" t="s">
        <v>63</v>
      </c>
      <c r="G690" s="64" t="s">
        <v>64</v>
      </c>
      <c r="H690" s="64" t="s">
        <v>65</v>
      </c>
      <c r="I690" s="40" t="s">
        <v>265</v>
      </c>
      <c r="J690" s="40" t="s">
        <v>495</v>
      </c>
      <c r="K690" s="40" t="s">
        <v>962</v>
      </c>
    </row>
    <row r="691" spans="1:11" s="42" customFormat="1" x14ac:dyDescent="0.2">
      <c r="A691" s="161" t="s">
        <v>20</v>
      </c>
      <c r="B691" s="23">
        <v>4364.6400000000003</v>
      </c>
      <c r="C691" s="23">
        <v>5295.02</v>
      </c>
      <c r="D691" s="23">
        <v>5461.54</v>
      </c>
      <c r="E691" s="23">
        <v>5120.2</v>
      </c>
      <c r="F691" s="23">
        <v>4776.317</v>
      </c>
      <c r="G691" s="23">
        <v>4508.96</v>
      </c>
      <c r="H691" s="23">
        <v>4750.2015599999986</v>
      </c>
      <c r="I691" s="23">
        <v>4695.1249299999999</v>
      </c>
      <c r="J691" s="23">
        <v>3802.12</v>
      </c>
      <c r="K691" s="23"/>
    </row>
    <row r="692" spans="1:11" x14ac:dyDescent="0.2">
      <c r="A692" s="47" t="s">
        <v>21</v>
      </c>
      <c r="B692" s="23">
        <v>777.06</v>
      </c>
      <c r="C692" s="23">
        <v>400.38</v>
      </c>
      <c r="D692" s="23">
        <v>139.52000000000001</v>
      </c>
      <c r="E692" s="23">
        <v>104.2</v>
      </c>
      <c r="F692" s="23">
        <v>187.20300000000043</v>
      </c>
      <c r="G692" s="23">
        <v>419.1899999999996</v>
      </c>
      <c r="H692" s="23">
        <v>261.00144000000182</v>
      </c>
      <c r="I692" s="23">
        <f>I689-I691</f>
        <v>548.06506999999965</v>
      </c>
      <c r="J692" s="23">
        <f>J689-J691</f>
        <v>1282.8814400000019</v>
      </c>
      <c r="K692" s="22"/>
    </row>
    <row r="693" spans="1:11" x14ac:dyDescent="0.2">
      <c r="A693" s="50" t="s">
        <v>22</v>
      </c>
      <c r="B693" s="58">
        <v>2016</v>
      </c>
      <c r="C693" s="58">
        <v>2017</v>
      </c>
      <c r="D693" s="58">
        <v>2018</v>
      </c>
      <c r="E693" s="58">
        <v>2019</v>
      </c>
      <c r="F693" s="58">
        <v>2020</v>
      </c>
      <c r="G693" s="58">
        <v>2021</v>
      </c>
      <c r="H693" s="58">
        <v>2022</v>
      </c>
      <c r="I693" s="58">
        <v>2023</v>
      </c>
      <c r="J693" s="58">
        <v>2024</v>
      </c>
      <c r="K693" s="58">
        <v>2024</v>
      </c>
    </row>
    <row r="694" spans="1:11" x14ac:dyDescent="0.2">
      <c r="A694" s="50" t="s">
        <v>492</v>
      </c>
      <c r="B694" s="86"/>
      <c r="C694" s="86"/>
      <c r="D694" s="86"/>
      <c r="E694" s="86"/>
      <c r="F694" s="86"/>
      <c r="G694" s="86"/>
      <c r="H694" s="86"/>
      <c r="I694" s="86"/>
      <c r="J694" s="30"/>
      <c r="K694" s="31"/>
    </row>
    <row r="695" spans="1:11" x14ac:dyDescent="0.2">
      <c r="A695" s="20" t="s">
        <v>493</v>
      </c>
      <c r="B695" s="85"/>
      <c r="C695" s="85"/>
      <c r="D695" s="85"/>
      <c r="E695" s="85"/>
      <c r="F695" s="85"/>
      <c r="G695" s="85"/>
      <c r="H695" s="85"/>
      <c r="I695" s="85"/>
      <c r="K695" s="21"/>
    </row>
    <row r="696" spans="1:11" x14ac:dyDescent="0.2">
      <c r="A696" s="20" t="s">
        <v>494</v>
      </c>
      <c r="B696" s="85"/>
      <c r="C696" s="85"/>
      <c r="D696" s="85"/>
      <c r="E696" s="85"/>
      <c r="F696" s="85"/>
      <c r="G696" s="85"/>
      <c r="H696" s="85"/>
      <c r="I696" s="85"/>
      <c r="K696" s="21"/>
    </row>
    <row r="697" spans="1:11" x14ac:dyDescent="0.2">
      <c r="A697" s="736" t="s">
        <v>961</v>
      </c>
      <c r="B697" s="737"/>
      <c r="C697" s="737"/>
      <c r="D697" s="737"/>
      <c r="E697" s="737"/>
      <c r="F697" s="737"/>
      <c r="G697" s="737"/>
      <c r="H697" s="737"/>
      <c r="I697" s="737"/>
      <c r="J697" s="737"/>
      <c r="K697" s="34"/>
    </row>
    <row r="698" spans="1:11" customFormat="1" ht="15" x14ac:dyDescent="0.25">
      <c r="A698" s="19"/>
      <c r="B698" s="19"/>
      <c r="C698" s="19"/>
      <c r="D698" s="19"/>
      <c r="E698" s="19"/>
      <c r="F698" s="19"/>
      <c r="G698" s="19"/>
      <c r="H698" s="19"/>
      <c r="I698" s="19"/>
      <c r="J698" s="19"/>
      <c r="K698" s="19"/>
    </row>
    <row r="699" spans="1:11" customFormat="1" ht="15" x14ac:dyDescent="0.25">
      <c r="A699" s="96" t="s">
        <v>14</v>
      </c>
      <c r="B699" s="109" t="s">
        <v>661</v>
      </c>
      <c r="C699" s="56" t="s">
        <v>15</v>
      </c>
      <c r="D699" s="19"/>
      <c r="E699" s="19"/>
      <c r="F699" s="19"/>
      <c r="G699" s="19"/>
      <c r="H699" s="19"/>
      <c r="I699" s="19"/>
      <c r="J699" s="19"/>
      <c r="K699" s="19"/>
    </row>
    <row r="700" spans="1:11" customFormat="1" ht="15" x14ac:dyDescent="0.25">
      <c r="A700" s="32" t="s">
        <v>16</v>
      </c>
      <c r="B700" s="108">
        <v>2020</v>
      </c>
      <c r="C700" s="52">
        <v>2021</v>
      </c>
      <c r="D700" s="52">
        <v>2022</v>
      </c>
      <c r="E700" s="52">
        <v>2023</v>
      </c>
      <c r="F700" s="52"/>
      <c r="G700" s="52"/>
      <c r="H700" s="52"/>
      <c r="I700" s="52"/>
      <c r="J700" s="52"/>
      <c r="K700" s="19"/>
    </row>
    <row r="701" spans="1:11" customFormat="1" ht="15" x14ac:dyDescent="0.25">
      <c r="A701" s="47" t="s">
        <v>17</v>
      </c>
      <c r="B701" s="62">
        <v>19460</v>
      </c>
      <c r="C701" s="62">
        <v>19460</v>
      </c>
      <c r="D701" s="62">
        <v>19460</v>
      </c>
      <c r="E701" s="61">
        <v>21503</v>
      </c>
      <c r="F701" s="61"/>
      <c r="G701" s="61"/>
      <c r="H701" s="163"/>
      <c r="I701" s="22"/>
      <c r="J701" s="22"/>
      <c r="K701" s="19"/>
    </row>
    <row r="702" spans="1:11" customFormat="1" ht="15" x14ac:dyDescent="0.25">
      <c r="A702" s="47" t="s">
        <v>18</v>
      </c>
      <c r="B702" s="61"/>
      <c r="C702" s="399">
        <f>C701+B705-48.4</f>
        <v>19737.565544000001</v>
      </c>
      <c r="D702" s="46">
        <f>D701+B705-19360*0.0025</f>
        <v>19737.565544000001</v>
      </c>
      <c r="E702" s="61">
        <f>E701+D705</f>
        <v>22289.665543999999</v>
      </c>
      <c r="F702" s="61"/>
      <c r="G702" s="61"/>
      <c r="H702" s="61"/>
      <c r="I702" s="23"/>
      <c r="J702" s="23"/>
      <c r="K702" s="19"/>
    </row>
    <row r="703" spans="1:11" customFormat="1" ht="26.25" x14ac:dyDescent="0.25">
      <c r="A703" s="47" t="s">
        <v>19</v>
      </c>
      <c r="B703" s="64"/>
      <c r="C703" s="70" t="s">
        <v>954</v>
      </c>
      <c r="D703" s="668" t="s">
        <v>955</v>
      </c>
      <c r="E703" s="64" t="s">
        <v>969</v>
      </c>
      <c r="F703" s="64"/>
      <c r="G703" s="64"/>
      <c r="H703" s="64"/>
      <c r="I703" s="40"/>
      <c r="J703" s="40"/>
      <c r="K703" s="19"/>
    </row>
    <row r="704" spans="1:11" customFormat="1" ht="15" x14ac:dyDescent="0.25">
      <c r="A704" s="161" t="s">
        <v>20</v>
      </c>
      <c r="B704" s="23">
        <v>19134.034455999998</v>
      </c>
      <c r="C704" s="23">
        <v>19163.665450999997</v>
      </c>
      <c r="D704" s="23">
        <v>18950.900000000001</v>
      </c>
      <c r="E704" s="23"/>
      <c r="F704" s="23"/>
      <c r="G704" s="23"/>
      <c r="H704" s="23"/>
      <c r="I704" s="23"/>
      <c r="J704" s="23"/>
      <c r="K704" s="19"/>
    </row>
    <row r="705" spans="1:11" customFormat="1" ht="15" x14ac:dyDescent="0.25">
      <c r="A705" s="161" t="s">
        <v>21</v>
      </c>
      <c r="B705" s="23">
        <f>B701-B704</f>
        <v>325.96554400000241</v>
      </c>
      <c r="C705" s="46">
        <f>C702-C704</f>
        <v>573.90009300000384</v>
      </c>
      <c r="D705" s="23">
        <f>D702-D704</f>
        <v>786.6655439999995</v>
      </c>
      <c r="E705" s="23"/>
      <c r="F705" s="23"/>
      <c r="G705" s="23"/>
      <c r="H705" s="23"/>
      <c r="I705" s="23"/>
      <c r="J705" s="23"/>
      <c r="K705" s="19"/>
    </row>
    <row r="706" spans="1:11" customFormat="1" ht="15" x14ac:dyDescent="0.25">
      <c r="A706" s="50" t="s">
        <v>22</v>
      </c>
      <c r="B706" s="241">
        <v>2021</v>
      </c>
      <c r="C706" s="241">
        <v>2022</v>
      </c>
      <c r="D706" s="241">
        <v>2023</v>
      </c>
      <c r="E706" s="84"/>
      <c r="F706" s="84"/>
      <c r="G706" s="84"/>
      <c r="H706" s="84"/>
      <c r="I706" s="84"/>
      <c r="J706" s="84"/>
      <c r="K706" s="19"/>
    </row>
    <row r="707" spans="1:11" customFormat="1" ht="15" x14ac:dyDescent="0.25">
      <c r="A707" s="567" t="s">
        <v>953</v>
      </c>
      <c r="B707" s="86"/>
      <c r="C707" s="86"/>
      <c r="D707" s="86"/>
      <c r="E707" s="86"/>
      <c r="F707" s="86"/>
      <c r="G707" s="86"/>
      <c r="H707" s="86"/>
      <c r="I707" s="86"/>
      <c r="J707" s="91"/>
      <c r="K707" s="19"/>
    </row>
    <row r="708" spans="1:11" customFormat="1" ht="15" x14ac:dyDescent="0.25">
      <c r="A708" s="244" t="s">
        <v>956</v>
      </c>
      <c r="B708" s="85"/>
      <c r="C708" s="85"/>
      <c r="D708" s="85"/>
      <c r="E708" s="85"/>
      <c r="F708" s="85"/>
      <c r="G708" s="85"/>
      <c r="H708" s="85"/>
      <c r="I708" s="85"/>
      <c r="J708" s="92"/>
      <c r="K708" s="19"/>
    </row>
    <row r="709" spans="1:11" customFormat="1" ht="15" x14ac:dyDescent="0.25">
      <c r="A709" s="20" t="s">
        <v>503</v>
      </c>
      <c r="B709" s="85"/>
      <c r="C709" s="85"/>
      <c r="D709" s="85"/>
      <c r="E709" s="85"/>
      <c r="F709" s="85"/>
      <c r="G709" s="85"/>
      <c r="H709" s="85"/>
      <c r="I709" s="85"/>
      <c r="J709" s="92"/>
      <c r="K709" s="19"/>
    </row>
    <row r="710" spans="1:11" customFormat="1" ht="15" x14ac:dyDescent="0.25">
      <c r="A710" s="20" t="s">
        <v>504</v>
      </c>
      <c r="B710" s="85"/>
      <c r="C710" s="85"/>
      <c r="D710" s="85"/>
      <c r="E710" s="85"/>
      <c r="F710" s="85"/>
      <c r="G710" s="85"/>
      <c r="H710" s="85"/>
      <c r="I710" s="85"/>
      <c r="J710" s="92"/>
      <c r="K710" s="19"/>
    </row>
    <row r="711" spans="1:11" customFormat="1" ht="15" x14ac:dyDescent="0.25">
      <c r="A711" s="244" t="s">
        <v>957</v>
      </c>
      <c r="B711" s="85"/>
      <c r="C711" s="85"/>
      <c r="D711" s="85"/>
      <c r="E711" s="85"/>
      <c r="F711" s="85"/>
      <c r="G711" s="85"/>
      <c r="H711" s="85"/>
      <c r="I711" s="85"/>
      <c r="J711" s="92"/>
      <c r="K711" s="19"/>
    </row>
    <row r="712" spans="1:11" customFormat="1" ht="15" x14ac:dyDescent="0.25">
      <c r="A712" s="669" t="s">
        <v>968</v>
      </c>
      <c r="B712" s="164"/>
      <c r="C712" s="164"/>
      <c r="D712" s="164"/>
      <c r="E712" s="164"/>
      <c r="F712" s="164"/>
      <c r="G712" s="164"/>
      <c r="H712" s="164"/>
      <c r="I712" s="164"/>
      <c r="J712" s="165"/>
      <c r="K712" s="19"/>
    </row>
    <row r="713" spans="1:11" x14ac:dyDescent="0.2">
      <c r="A713" s="263"/>
      <c r="B713" s="263"/>
      <c r="C713" s="263"/>
      <c r="D713" s="263"/>
      <c r="E713" s="263"/>
      <c r="F713" s="263"/>
      <c r="G713" s="263"/>
      <c r="H713" s="263"/>
      <c r="I713" s="263"/>
      <c r="J713" s="263"/>
    </row>
    <row r="714" spans="1:11" x14ac:dyDescent="0.2">
      <c r="A714" s="317" t="s">
        <v>14</v>
      </c>
      <c r="B714" s="333" t="s">
        <v>66</v>
      </c>
      <c r="C714" s="331" t="s">
        <v>15</v>
      </c>
      <c r="D714" s="263"/>
      <c r="E714" s="263"/>
      <c r="F714" s="263"/>
      <c r="G714" s="263"/>
      <c r="H714" s="263"/>
      <c r="I714" s="263"/>
      <c r="J714" s="263"/>
    </row>
    <row r="715" spans="1:11" x14ac:dyDescent="0.2">
      <c r="A715" s="253" t="s">
        <v>16</v>
      </c>
      <c r="B715" s="400">
        <v>2014</v>
      </c>
      <c r="C715" s="254">
        <v>2015</v>
      </c>
      <c r="D715" s="254">
        <v>2016</v>
      </c>
      <c r="E715" s="254">
        <v>2017</v>
      </c>
      <c r="F715" s="254">
        <v>2018</v>
      </c>
      <c r="G715" s="254">
        <v>2019</v>
      </c>
      <c r="H715" s="254">
        <v>2020</v>
      </c>
      <c r="I715" s="254">
        <v>2021</v>
      </c>
      <c r="J715" s="254">
        <v>2022</v>
      </c>
      <c r="K715" s="254">
        <v>2023</v>
      </c>
    </row>
    <row r="716" spans="1:11" x14ac:dyDescent="0.2">
      <c r="A716" s="320" t="s">
        <v>17</v>
      </c>
      <c r="B716" s="401">
        <v>22667</v>
      </c>
      <c r="C716" s="401">
        <v>22667</v>
      </c>
      <c r="D716" s="401">
        <v>16989</v>
      </c>
      <c r="E716" s="401">
        <v>16989</v>
      </c>
      <c r="F716" s="401">
        <v>16989</v>
      </c>
      <c r="G716" s="401">
        <v>16989</v>
      </c>
      <c r="H716" s="402">
        <v>13421.3</v>
      </c>
      <c r="I716" s="268">
        <v>13206.57</v>
      </c>
      <c r="J716" s="268">
        <v>13313.94</v>
      </c>
      <c r="K716" s="268">
        <v>13313.94</v>
      </c>
    </row>
    <row r="717" spans="1:11" x14ac:dyDescent="0.2">
      <c r="A717" s="320" t="s">
        <v>18</v>
      </c>
      <c r="B717" s="401">
        <v>29467.1</v>
      </c>
      <c r="C717" s="401">
        <v>29467.1</v>
      </c>
      <c r="D717" s="401">
        <v>23789.1</v>
      </c>
      <c r="E717" s="401">
        <v>20389.099999999999</v>
      </c>
      <c r="F717" s="401">
        <v>19537.400000000001</v>
      </c>
      <c r="G717" s="401">
        <v>17157.5</v>
      </c>
      <c r="H717" s="401">
        <f>H716+F720+300</f>
        <v>15842.646000000001</v>
      </c>
      <c r="I717" s="257">
        <f>I716+G720</f>
        <v>13453.544999999998</v>
      </c>
      <c r="J717" s="257">
        <f>J716+0.1*H716</f>
        <v>14656.07</v>
      </c>
      <c r="K717" s="257">
        <f>K716+0.1*I716</f>
        <v>14634.597000000002</v>
      </c>
    </row>
    <row r="718" spans="1:11" ht="25.5" x14ac:dyDescent="0.2">
      <c r="A718" s="320" t="s">
        <v>19</v>
      </c>
      <c r="B718" s="403" t="s">
        <v>67</v>
      </c>
      <c r="C718" s="403" t="s">
        <v>67</v>
      </c>
      <c r="D718" s="403" t="s">
        <v>68</v>
      </c>
      <c r="E718" s="404" t="s">
        <v>69</v>
      </c>
      <c r="F718" s="404" t="s">
        <v>70</v>
      </c>
      <c r="G718" s="404" t="s">
        <v>71</v>
      </c>
      <c r="H718" s="404" t="s">
        <v>266</v>
      </c>
      <c r="I718" s="291" t="s">
        <v>267</v>
      </c>
      <c r="J718" s="291" t="s">
        <v>592</v>
      </c>
      <c r="K718" s="291" t="s">
        <v>958</v>
      </c>
    </row>
    <row r="719" spans="1:11" x14ac:dyDescent="0.2">
      <c r="A719" s="405" t="s">
        <v>20</v>
      </c>
      <c r="B719" s="257">
        <v>18152.900000000001</v>
      </c>
      <c r="C719" s="257">
        <v>15741.23</v>
      </c>
      <c r="D719" s="257">
        <v>18059.400000000001</v>
      </c>
      <c r="E719" s="257">
        <v>20220.53</v>
      </c>
      <c r="F719" s="257">
        <v>17416.054</v>
      </c>
      <c r="G719" s="257">
        <v>16910.525000000001</v>
      </c>
      <c r="H719" s="257">
        <v>11285.478270000007</v>
      </c>
      <c r="I719" s="257">
        <v>11445.933670000008</v>
      </c>
      <c r="J719" s="257">
        <v>12588.91</v>
      </c>
      <c r="K719" s="257"/>
    </row>
    <row r="720" spans="1:11" x14ac:dyDescent="0.2">
      <c r="A720" s="670" t="s">
        <v>21</v>
      </c>
      <c r="B720" s="671">
        <v>11314.2</v>
      </c>
      <c r="C720" s="671">
        <v>13725.87</v>
      </c>
      <c r="D720" s="671">
        <v>5729.68</v>
      </c>
      <c r="E720" s="671">
        <v>168.52</v>
      </c>
      <c r="F720" s="671">
        <v>2121.3460000000014</v>
      </c>
      <c r="G720" s="671">
        <f>G717-G719</f>
        <v>246.97499999999854</v>
      </c>
      <c r="H720" s="671">
        <f>H717-H719</f>
        <v>4557.1677299999938</v>
      </c>
      <c r="I720" s="671">
        <f>I717-I719</f>
        <v>2007.6113299999906</v>
      </c>
      <c r="J720" s="671">
        <f>J717-J719</f>
        <v>2067.16</v>
      </c>
      <c r="K720" s="671"/>
    </row>
    <row r="721" spans="1:11" x14ac:dyDescent="0.2">
      <c r="A721" s="268" t="s">
        <v>22</v>
      </c>
      <c r="B721" s="344">
        <v>2016</v>
      </c>
      <c r="C721" s="344">
        <v>2017</v>
      </c>
      <c r="D721" s="344">
        <v>2018</v>
      </c>
      <c r="E721" s="344">
        <v>2019</v>
      </c>
      <c r="F721" s="344" t="s">
        <v>72</v>
      </c>
      <c r="G721" s="344" t="s">
        <v>73</v>
      </c>
      <c r="H721" s="344">
        <v>2022</v>
      </c>
      <c r="I721" s="344">
        <v>2023</v>
      </c>
      <c r="J721" s="344">
        <v>2024</v>
      </c>
      <c r="K721" s="344"/>
    </row>
    <row r="722" spans="1:11" x14ac:dyDescent="0.2">
      <c r="A722" s="260" t="s">
        <v>496</v>
      </c>
      <c r="B722" s="406"/>
      <c r="C722" s="406"/>
      <c r="D722" s="406"/>
      <c r="E722" s="406"/>
      <c r="F722" s="406"/>
      <c r="G722" s="406"/>
      <c r="H722" s="406"/>
      <c r="I722" s="406"/>
      <c r="J722" s="261"/>
      <c r="K722" s="31"/>
    </row>
    <row r="723" spans="1:11" x14ac:dyDescent="0.2">
      <c r="A723" s="262" t="s">
        <v>497</v>
      </c>
      <c r="B723" s="407"/>
      <c r="C723" s="407"/>
      <c r="D723" s="407"/>
      <c r="E723" s="407"/>
      <c r="F723" s="407"/>
      <c r="G723" s="407"/>
      <c r="H723" s="407"/>
      <c r="I723" s="407"/>
      <c r="J723" s="263"/>
      <c r="K723" s="21"/>
    </row>
    <row r="724" spans="1:11" ht="15" x14ac:dyDescent="0.2">
      <c r="A724" s="262" t="s">
        <v>762</v>
      </c>
      <c r="B724" s="407"/>
      <c r="C724" s="407"/>
      <c r="D724" s="407"/>
      <c r="E724" s="407"/>
      <c r="F724" s="407"/>
      <c r="G724" s="407"/>
      <c r="H724" s="407"/>
      <c r="I724" s="407"/>
      <c r="J724" s="263"/>
      <c r="K724" s="21"/>
    </row>
    <row r="725" spans="1:11" x14ac:dyDescent="0.2">
      <c r="A725" s="253" t="s">
        <v>593</v>
      </c>
      <c r="B725" s="672"/>
      <c r="C725" s="672"/>
      <c r="D725" s="672"/>
      <c r="E725" s="672"/>
      <c r="F725" s="672"/>
      <c r="G725" s="672"/>
      <c r="H725" s="672"/>
      <c r="I725" s="672"/>
      <c r="J725" s="265"/>
      <c r="K725" s="34"/>
    </row>
    <row r="726" spans="1:11" x14ac:dyDescent="0.2">
      <c r="A726" s="263"/>
      <c r="B726" s="426"/>
      <c r="C726" s="426"/>
      <c r="D726" s="426"/>
      <c r="E726" s="426"/>
      <c r="F726" s="426"/>
      <c r="G726" s="426"/>
      <c r="H726" s="426"/>
      <c r="I726" s="426"/>
      <c r="J726" s="263"/>
    </row>
    <row r="727" spans="1:11" x14ac:dyDescent="0.2">
      <c r="A727" s="263"/>
      <c r="B727" s="263"/>
      <c r="C727" s="263"/>
      <c r="D727" s="263"/>
      <c r="E727" s="263"/>
      <c r="F727" s="263"/>
      <c r="G727" s="263"/>
      <c r="H727" s="263"/>
      <c r="I727" s="263"/>
      <c r="J727" s="263"/>
    </row>
    <row r="728" spans="1:11" x14ac:dyDescent="0.2">
      <c r="A728" s="317" t="s">
        <v>14</v>
      </c>
      <c r="B728" s="333" t="s">
        <v>74</v>
      </c>
      <c r="C728" s="331" t="s">
        <v>15</v>
      </c>
      <c r="D728" s="263"/>
      <c r="E728" s="263"/>
      <c r="F728" s="263"/>
      <c r="G728" s="263"/>
      <c r="H728" s="263"/>
      <c r="I728" s="263"/>
      <c r="J728" s="263"/>
    </row>
    <row r="729" spans="1:11" x14ac:dyDescent="0.2">
      <c r="A729" s="253" t="s">
        <v>16</v>
      </c>
      <c r="B729" s="400">
        <v>2014</v>
      </c>
      <c r="C729" s="254">
        <v>2015</v>
      </c>
      <c r="D729" s="254">
        <v>2016</v>
      </c>
      <c r="E729" s="254">
        <v>2017</v>
      </c>
      <c r="F729" s="254">
        <v>2018</v>
      </c>
      <c r="G729" s="254">
        <v>2019</v>
      </c>
      <c r="H729" s="254">
        <v>2020</v>
      </c>
      <c r="I729" s="254">
        <v>2021</v>
      </c>
      <c r="J729" s="254">
        <v>2022</v>
      </c>
      <c r="K729" s="254">
        <v>2023</v>
      </c>
    </row>
    <row r="730" spans="1:11" x14ac:dyDescent="0.2">
      <c r="A730" s="320" t="s">
        <v>17</v>
      </c>
      <c r="B730" s="401">
        <v>480</v>
      </c>
      <c r="C730" s="401">
        <v>480</v>
      </c>
      <c r="D730" s="401">
        <v>480</v>
      </c>
      <c r="E730" s="401">
        <v>480</v>
      </c>
      <c r="F730" s="401">
        <v>480</v>
      </c>
      <c r="G730" s="401">
        <v>480</v>
      </c>
      <c r="H730" s="409">
        <v>403.8</v>
      </c>
      <c r="I730" s="268">
        <v>403.8</v>
      </c>
      <c r="J730" s="268">
        <v>403.8</v>
      </c>
      <c r="K730" s="268">
        <v>403.8</v>
      </c>
    </row>
    <row r="731" spans="1:11" x14ac:dyDescent="0.2">
      <c r="A731" s="320" t="s">
        <v>18</v>
      </c>
      <c r="B731" s="401">
        <v>480</v>
      </c>
      <c r="C731" s="401">
        <v>528</v>
      </c>
      <c r="D731" s="401">
        <v>407.63</v>
      </c>
      <c r="E731" s="401">
        <v>414.75</v>
      </c>
      <c r="F731" s="401">
        <v>462.75</v>
      </c>
      <c r="G731" s="401">
        <v>528</v>
      </c>
      <c r="H731" s="401">
        <v>449.8</v>
      </c>
      <c r="I731" s="268">
        <f>I730+0.1*G730-2</f>
        <v>449.8</v>
      </c>
      <c r="J731" s="268">
        <v>401.8</v>
      </c>
      <c r="K731" s="268">
        <v>401.8</v>
      </c>
    </row>
    <row r="732" spans="1:11" ht="25.5" x14ac:dyDescent="0.2">
      <c r="A732" s="320" t="s">
        <v>19</v>
      </c>
      <c r="B732" s="403">
        <v>480</v>
      </c>
      <c r="C732" s="403">
        <v>528</v>
      </c>
      <c r="D732" s="403" t="s">
        <v>75</v>
      </c>
      <c r="E732" s="404" t="s">
        <v>76</v>
      </c>
      <c r="F732" s="404" t="s">
        <v>77</v>
      </c>
      <c r="G732" s="404" t="s">
        <v>78</v>
      </c>
      <c r="H732" s="404" t="s">
        <v>268</v>
      </c>
      <c r="I732" s="410" t="s">
        <v>269</v>
      </c>
      <c r="J732" s="410" t="s">
        <v>498</v>
      </c>
      <c r="K732" s="410" t="s">
        <v>963</v>
      </c>
    </row>
    <row r="733" spans="1:11" x14ac:dyDescent="0.2">
      <c r="A733" s="320" t="s">
        <v>20</v>
      </c>
      <c r="B733" s="257">
        <v>552.37</v>
      </c>
      <c r="C733" s="257">
        <v>658.51</v>
      </c>
      <c r="D733" s="257">
        <v>355.07</v>
      </c>
      <c r="E733" s="257">
        <v>338.75</v>
      </c>
      <c r="F733" s="257">
        <v>120.791</v>
      </c>
      <c r="G733" s="257">
        <v>79.62</v>
      </c>
      <c r="H733" s="257">
        <v>138.81700000000001</v>
      </c>
      <c r="I733" s="268">
        <v>105.06</v>
      </c>
      <c r="J733" s="268">
        <v>282.19</v>
      </c>
      <c r="K733" s="268"/>
    </row>
    <row r="734" spans="1:11" x14ac:dyDescent="0.2">
      <c r="A734" s="320" t="s">
        <v>21</v>
      </c>
      <c r="B734" s="257">
        <v>-72.37</v>
      </c>
      <c r="C734" s="257">
        <v>-130.51</v>
      </c>
      <c r="D734" s="257">
        <f>D731-D733</f>
        <v>52.56</v>
      </c>
      <c r="E734" s="257">
        <f>E731-E733</f>
        <v>76</v>
      </c>
      <c r="F734" s="257">
        <v>341.959</v>
      </c>
      <c r="G734" s="257">
        <f>G731-G733</f>
        <v>448.38</v>
      </c>
      <c r="H734" s="257">
        <f>H731-H733</f>
        <v>310.983</v>
      </c>
      <c r="I734" s="268">
        <f>I731-I733</f>
        <v>344.74</v>
      </c>
      <c r="J734" s="268">
        <f>J731-J733</f>
        <v>119.61000000000001</v>
      </c>
      <c r="K734" s="268"/>
    </row>
    <row r="735" spans="1:11" x14ac:dyDescent="0.2">
      <c r="A735" s="260" t="s">
        <v>22</v>
      </c>
      <c r="B735" s="292">
        <v>2016</v>
      </c>
      <c r="C735" s="292">
        <v>2017</v>
      </c>
      <c r="D735" s="292">
        <v>2018</v>
      </c>
      <c r="E735" s="292">
        <v>2019</v>
      </c>
      <c r="F735" s="292" t="s">
        <v>72</v>
      </c>
      <c r="G735" s="292" t="s">
        <v>73</v>
      </c>
      <c r="H735" s="292" t="s">
        <v>161</v>
      </c>
      <c r="I735" s="292" t="s">
        <v>161</v>
      </c>
      <c r="J735" s="292" t="s">
        <v>161</v>
      </c>
      <c r="K735" s="292" t="s">
        <v>161</v>
      </c>
    </row>
    <row r="736" spans="1:11" x14ac:dyDescent="0.2">
      <c r="A736" s="260" t="s">
        <v>499</v>
      </c>
      <c r="B736" s="406"/>
      <c r="C736" s="406"/>
      <c r="D736" s="406"/>
      <c r="E736" s="406"/>
      <c r="F736" s="406"/>
      <c r="G736" s="406"/>
      <c r="H736" s="406"/>
      <c r="I736" s="406"/>
      <c r="J736" s="411"/>
      <c r="K736" s="411"/>
    </row>
    <row r="737" spans="1:11" x14ac:dyDescent="0.2">
      <c r="A737" s="262" t="s">
        <v>500</v>
      </c>
      <c r="B737" s="407"/>
      <c r="C737" s="407"/>
      <c r="D737" s="407"/>
      <c r="E737" s="407"/>
      <c r="F737" s="407"/>
      <c r="G737" s="407"/>
      <c r="H737" s="407"/>
      <c r="I737" s="407"/>
      <c r="J737" s="412"/>
      <c r="K737" s="412"/>
    </row>
    <row r="738" spans="1:11" x14ac:dyDescent="0.2">
      <c r="A738" s="674" t="s">
        <v>964</v>
      </c>
      <c r="B738" s="414"/>
      <c r="C738" s="414"/>
      <c r="D738" s="414"/>
      <c r="E738" s="414"/>
      <c r="F738" s="414"/>
      <c r="G738" s="414"/>
      <c r="H738" s="414"/>
      <c r="I738" s="265"/>
      <c r="J738" s="266"/>
      <c r="K738" s="266"/>
    </row>
    <row r="739" spans="1:11" x14ac:dyDescent="0.2">
      <c r="A739" s="263"/>
      <c r="B739" s="263"/>
      <c r="C739" s="263"/>
      <c r="D739" s="263"/>
      <c r="E739" s="263"/>
      <c r="F739" s="263"/>
      <c r="G739" s="263"/>
      <c r="H739" s="263"/>
      <c r="I739" s="263"/>
      <c r="J739" s="263"/>
    </row>
    <row r="740" spans="1:11" x14ac:dyDescent="0.2">
      <c r="A740" s="317" t="s">
        <v>14</v>
      </c>
      <c r="B740" s="333" t="s">
        <v>79</v>
      </c>
      <c r="C740" s="331" t="s">
        <v>15</v>
      </c>
      <c r="D740" s="263"/>
      <c r="E740" s="263"/>
      <c r="F740" s="263"/>
      <c r="G740" s="263"/>
      <c r="H740" s="263"/>
      <c r="I740" s="263"/>
      <c r="J740" s="263"/>
    </row>
    <row r="741" spans="1:11" x14ac:dyDescent="0.2">
      <c r="A741" s="253" t="s">
        <v>16</v>
      </c>
      <c r="B741" s="400">
        <v>2014</v>
      </c>
      <c r="C741" s="254">
        <v>2015</v>
      </c>
      <c r="D741" s="254">
        <v>2016</v>
      </c>
      <c r="E741" s="254">
        <v>2017</v>
      </c>
      <c r="F741" s="254">
        <v>2018</v>
      </c>
      <c r="G741" s="254">
        <v>2019</v>
      </c>
      <c r="H741" s="254">
        <v>2020</v>
      </c>
      <c r="I741" s="254">
        <v>2021</v>
      </c>
      <c r="J741" s="254">
        <v>2022</v>
      </c>
    </row>
    <row r="742" spans="1:11" x14ac:dyDescent="0.2">
      <c r="A742" s="320" t="s">
        <v>17</v>
      </c>
      <c r="B742" s="401">
        <v>50</v>
      </c>
      <c r="C742" s="401">
        <v>50</v>
      </c>
      <c r="D742" s="401">
        <v>50</v>
      </c>
      <c r="E742" s="401">
        <v>50</v>
      </c>
      <c r="F742" s="401">
        <v>50</v>
      </c>
      <c r="G742" s="401">
        <v>50</v>
      </c>
      <c r="H742" s="409">
        <v>50</v>
      </c>
      <c r="I742" s="257">
        <v>50</v>
      </c>
      <c r="J742" s="257">
        <v>50</v>
      </c>
    </row>
    <row r="743" spans="1:11" x14ac:dyDescent="0.2">
      <c r="A743" s="320" t="s">
        <v>18</v>
      </c>
      <c r="B743" s="401">
        <v>50</v>
      </c>
      <c r="C743" s="401">
        <v>52.5</v>
      </c>
      <c r="D743" s="401">
        <v>23.9</v>
      </c>
      <c r="E743" s="401">
        <v>23.9</v>
      </c>
      <c r="F743" s="401">
        <v>27.6</v>
      </c>
      <c r="G743" s="401">
        <v>27.6</v>
      </c>
      <c r="H743" s="401">
        <v>32.6</v>
      </c>
      <c r="I743" s="257">
        <v>55</v>
      </c>
      <c r="J743" s="257">
        <v>50</v>
      </c>
    </row>
    <row r="744" spans="1:11" ht="25.5" x14ac:dyDescent="0.2">
      <c r="A744" s="320" t="s">
        <v>19</v>
      </c>
      <c r="B744" s="415">
        <v>50</v>
      </c>
      <c r="C744" s="415">
        <v>52.5</v>
      </c>
      <c r="D744" s="403" t="s">
        <v>80</v>
      </c>
      <c r="E744" s="404" t="s">
        <v>81</v>
      </c>
      <c r="F744" s="404" t="s">
        <v>82</v>
      </c>
      <c r="G744" s="404" t="s">
        <v>83</v>
      </c>
      <c r="H744" s="404" t="s">
        <v>84</v>
      </c>
      <c r="I744" s="291" t="s">
        <v>270</v>
      </c>
      <c r="J744" s="291" t="s">
        <v>581</v>
      </c>
    </row>
    <row r="745" spans="1:11" x14ac:dyDescent="0.2">
      <c r="A745" s="320" t="s">
        <v>20</v>
      </c>
      <c r="B745" s="257">
        <v>102.21</v>
      </c>
      <c r="C745" s="257">
        <v>119.69</v>
      </c>
      <c r="D745" s="257">
        <v>101.54</v>
      </c>
      <c r="E745" s="257">
        <v>14.67</v>
      </c>
      <c r="F745" s="257">
        <v>0.17</v>
      </c>
      <c r="G745" s="257">
        <v>0.7</v>
      </c>
      <c r="H745" s="257">
        <v>3.0670000000000002</v>
      </c>
      <c r="I745" s="257">
        <v>14.32</v>
      </c>
      <c r="J745" s="257">
        <v>1.1000000000000001</v>
      </c>
    </row>
    <row r="746" spans="1:11" x14ac:dyDescent="0.2">
      <c r="A746" s="320" t="s">
        <v>21</v>
      </c>
      <c r="B746" s="257">
        <v>-52.21</v>
      </c>
      <c r="C746" s="257">
        <v>-67.19</v>
      </c>
      <c r="D746" s="257">
        <v>-77.640000000000015</v>
      </c>
      <c r="E746" s="257">
        <f t="shared" ref="E746:J746" si="31">E743-E745</f>
        <v>9.2299999999999986</v>
      </c>
      <c r="F746" s="257">
        <f t="shared" si="31"/>
        <v>27.43</v>
      </c>
      <c r="G746" s="257">
        <f t="shared" si="31"/>
        <v>26.900000000000002</v>
      </c>
      <c r="H746" s="257">
        <f t="shared" si="31"/>
        <v>29.533000000000001</v>
      </c>
      <c r="I746" s="257">
        <f t="shared" si="31"/>
        <v>40.68</v>
      </c>
      <c r="J746" s="257">
        <f t="shared" si="31"/>
        <v>48.9</v>
      </c>
    </row>
    <row r="747" spans="1:11" x14ac:dyDescent="0.2">
      <c r="A747" s="260" t="s">
        <v>22</v>
      </c>
      <c r="B747" s="292">
        <v>2016</v>
      </c>
      <c r="C747" s="292">
        <v>2017</v>
      </c>
      <c r="D747" s="292">
        <v>2018</v>
      </c>
      <c r="E747" s="292">
        <v>2019</v>
      </c>
      <c r="F747" s="292" t="s">
        <v>72</v>
      </c>
      <c r="G747" s="292" t="s">
        <v>73</v>
      </c>
      <c r="H747" s="292" t="s">
        <v>161</v>
      </c>
      <c r="I747" s="292" t="s">
        <v>161</v>
      </c>
      <c r="J747" s="292" t="s">
        <v>161</v>
      </c>
    </row>
    <row r="748" spans="1:11" x14ac:dyDescent="0.2">
      <c r="A748" s="260" t="s">
        <v>501</v>
      </c>
      <c r="B748" s="337"/>
      <c r="C748" s="337"/>
      <c r="D748" s="337"/>
      <c r="E748" s="337"/>
      <c r="F748" s="337"/>
      <c r="G748" s="337"/>
      <c r="H748" s="337"/>
      <c r="I748" s="337"/>
      <c r="J748" s="293"/>
    </row>
    <row r="749" spans="1:11" x14ac:dyDescent="0.2">
      <c r="A749" s="413" t="s">
        <v>502</v>
      </c>
      <c r="B749" s="414"/>
      <c r="C749" s="414"/>
      <c r="D749" s="414"/>
      <c r="E749" s="414"/>
      <c r="F749" s="414"/>
      <c r="G749" s="414"/>
      <c r="H749" s="414"/>
      <c r="I749" s="414"/>
      <c r="J749" s="266"/>
    </row>
    <row r="750" spans="1:11" x14ac:dyDescent="0.2">
      <c r="A750" s="416"/>
      <c r="B750" s="416"/>
      <c r="C750" s="416"/>
      <c r="D750" s="416"/>
      <c r="E750" s="416"/>
      <c r="F750" s="416"/>
      <c r="G750" s="416"/>
      <c r="H750" s="416"/>
      <c r="I750" s="416"/>
      <c r="J750" s="263"/>
    </row>
    <row r="751" spans="1:11" x14ac:dyDescent="0.2">
      <c r="A751" s="263"/>
      <c r="B751" s="263"/>
      <c r="C751" s="263"/>
      <c r="D751" s="263"/>
      <c r="E751" s="263"/>
      <c r="F751" s="263"/>
      <c r="G751" s="263"/>
      <c r="H751" s="263"/>
      <c r="I751" s="263"/>
      <c r="J751" s="263"/>
    </row>
    <row r="752" spans="1:11" x14ac:dyDescent="0.2">
      <c r="A752" s="417" t="s">
        <v>11</v>
      </c>
      <c r="B752" s="682" t="s">
        <v>362</v>
      </c>
      <c r="C752" s="418"/>
      <c r="D752" s="263"/>
      <c r="E752" s="263"/>
      <c r="F752" s="263"/>
      <c r="G752" s="263"/>
      <c r="H752" s="263"/>
      <c r="I752" s="263"/>
      <c r="J752" s="263"/>
    </row>
    <row r="753" spans="1:10" x14ac:dyDescent="0.2">
      <c r="A753" s="419" t="s">
        <v>1</v>
      </c>
      <c r="B753" s="420" t="s">
        <v>638</v>
      </c>
      <c r="C753" s="319" t="s">
        <v>2</v>
      </c>
      <c r="D753" s="263"/>
      <c r="E753" s="263"/>
      <c r="F753" s="263"/>
      <c r="G753" s="263"/>
      <c r="H753" s="263"/>
      <c r="I753" s="263"/>
      <c r="J753" s="263"/>
    </row>
    <row r="754" spans="1:10" x14ac:dyDescent="0.2">
      <c r="A754" s="320" t="s">
        <v>3</v>
      </c>
      <c r="B754" s="254">
        <v>2015</v>
      </c>
      <c r="C754" s="254">
        <v>2016</v>
      </c>
      <c r="D754" s="332">
        <v>2017</v>
      </c>
      <c r="E754" s="254">
        <v>2018</v>
      </c>
      <c r="F754" s="254">
        <v>2019</v>
      </c>
      <c r="G754" s="254">
        <v>2020</v>
      </c>
      <c r="H754" s="254">
        <v>2021</v>
      </c>
      <c r="I754" s="254">
        <v>2022</v>
      </c>
      <c r="J754" s="254">
        <v>2023</v>
      </c>
    </row>
    <row r="755" spans="1:10" x14ac:dyDescent="0.2">
      <c r="A755" s="320" t="s">
        <v>4</v>
      </c>
      <c r="B755" s="274">
        <v>200</v>
      </c>
      <c r="C755" s="334">
        <v>200</v>
      </c>
      <c r="D755" s="274">
        <v>200</v>
      </c>
      <c r="E755" s="255">
        <v>200</v>
      </c>
      <c r="F755" s="255">
        <v>215</v>
      </c>
      <c r="G755" s="255">
        <v>215</v>
      </c>
      <c r="H755" s="255">
        <v>242</v>
      </c>
      <c r="I755" s="255">
        <v>242</v>
      </c>
      <c r="J755" s="255">
        <v>242</v>
      </c>
    </row>
    <row r="756" spans="1:10" x14ac:dyDescent="0.2">
      <c r="A756" s="320" t="s">
        <v>5</v>
      </c>
      <c r="B756" s="274">
        <f t="shared" ref="B756:E756" si="32">200+(200*25%)</f>
        <v>250</v>
      </c>
      <c r="C756" s="274">
        <f t="shared" si="32"/>
        <v>250</v>
      </c>
      <c r="D756" s="274">
        <f t="shared" si="32"/>
        <v>250</v>
      </c>
      <c r="E756" s="274">
        <f t="shared" si="32"/>
        <v>250</v>
      </c>
      <c r="F756" s="255">
        <f>F755+0.25*E755</f>
        <v>265</v>
      </c>
      <c r="G756" s="255">
        <f t="shared" ref="G756:J756" si="33">G755+0.25*F755</f>
        <v>268.75</v>
      </c>
      <c r="H756" s="255">
        <f t="shared" si="33"/>
        <v>295.75</v>
      </c>
      <c r="I756" s="255">
        <f t="shared" si="33"/>
        <v>302.5</v>
      </c>
      <c r="J756" s="255">
        <f t="shared" si="33"/>
        <v>302.5</v>
      </c>
    </row>
    <row r="757" spans="1:10" x14ac:dyDescent="0.2">
      <c r="A757" s="320" t="s">
        <v>6</v>
      </c>
      <c r="B757" s="256">
        <v>2</v>
      </c>
      <c r="C757" s="421">
        <v>3</v>
      </c>
      <c r="D757" s="256">
        <v>4</v>
      </c>
      <c r="E757" s="422">
        <v>5</v>
      </c>
      <c r="F757" s="422">
        <v>6</v>
      </c>
      <c r="G757" s="256">
        <v>7</v>
      </c>
      <c r="H757" s="256">
        <v>8</v>
      </c>
      <c r="I757" s="256">
        <v>9</v>
      </c>
      <c r="J757" s="256">
        <v>10</v>
      </c>
    </row>
    <row r="758" spans="1:10" x14ac:dyDescent="0.2">
      <c r="A758" s="320" t="s">
        <v>7</v>
      </c>
      <c r="B758" s="257">
        <v>0</v>
      </c>
      <c r="C758" s="340">
        <v>0</v>
      </c>
      <c r="D758" s="257">
        <v>0</v>
      </c>
      <c r="E758" s="341">
        <v>0</v>
      </c>
      <c r="F758" s="341">
        <v>0</v>
      </c>
      <c r="G758" s="257">
        <v>0</v>
      </c>
      <c r="H758" s="257">
        <v>0</v>
      </c>
      <c r="I758" s="257">
        <v>0</v>
      </c>
      <c r="J758" s="257"/>
    </row>
    <row r="759" spans="1:10" x14ac:dyDescent="0.2">
      <c r="A759" s="320" t="s">
        <v>8</v>
      </c>
      <c r="B759" s="274">
        <f t="shared" ref="B759:D759" si="34">B756-B758</f>
        <v>250</v>
      </c>
      <c r="C759" s="274">
        <f t="shared" si="34"/>
        <v>250</v>
      </c>
      <c r="D759" s="274">
        <f t="shared" si="34"/>
        <v>250</v>
      </c>
      <c r="E759" s="255">
        <v>250</v>
      </c>
      <c r="F759" s="255">
        <f>F756-F758</f>
        <v>265</v>
      </c>
      <c r="G759" s="255">
        <f>G756-G758</f>
        <v>268.75</v>
      </c>
      <c r="H759" s="255">
        <f t="shared" ref="H759:I759" si="35">H756-H758</f>
        <v>295.75</v>
      </c>
      <c r="I759" s="255">
        <f t="shared" si="35"/>
        <v>302.5</v>
      </c>
      <c r="J759" s="255"/>
    </row>
    <row r="760" spans="1:10" x14ac:dyDescent="0.2">
      <c r="A760" s="320" t="s">
        <v>9</v>
      </c>
      <c r="B760" s="258">
        <v>2016</v>
      </c>
      <c r="C760" s="258">
        <v>2017</v>
      </c>
      <c r="D760" s="258">
        <v>2018</v>
      </c>
      <c r="E760" s="258">
        <v>2019</v>
      </c>
      <c r="F760" s="258">
        <v>2020</v>
      </c>
      <c r="G760" s="258">
        <v>2021</v>
      </c>
      <c r="H760" s="258">
        <v>2022</v>
      </c>
      <c r="I760" s="258">
        <v>2023</v>
      </c>
      <c r="J760" s="258">
        <v>2024</v>
      </c>
    </row>
    <row r="761" spans="1:10" x14ac:dyDescent="0.2">
      <c r="A761" s="260" t="s">
        <v>10</v>
      </c>
      <c r="B761" s="260"/>
      <c r="C761" s="261"/>
      <c r="D761" s="261"/>
      <c r="E761" s="261"/>
      <c r="F761" s="261"/>
      <c r="G761" s="259"/>
      <c r="H761" s="259"/>
      <c r="I761" s="259"/>
      <c r="J761" s="259"/>
    </row>
    <row r="762" spans="1:10" x14ac:dyDescent="0.2">
      <c r="A762" s="260" t="s">
        <v>363</v>
      </c>
      <c r="B762" s="261"/>
      <c r="C762" s="261"/>
      <c r="D762" s="261"/>
      <c r="E762" s="261"/>
      <c r="F762" s="261"/>
      <c r="G762" s="261"/>
      <c r="H762" s="261"/>
      <c r="I762" s="261"/>
      <c r="J762" s="259"/>
    </row>
    <row r="763" spans="1:10" x14ac:dyDescent="0.2">
      <c r="A763" s="262" t="s">
        <v>856</v>
      </c>
      <c r="B763" s="263"/>
      <c r="C763" s="263"/>
      <c r="D763" s="263"/>
      <c r="E763" s="263"/>
      <c r="F763" s="263"/>
      <c r="G763" s="263"/>
      <c r="H763" s="263"/>
      <c r="I763" s="263"/>
      <c r="J763" s="264"/>
    </row>
    <row r="764" spans="1:10" x14ac:dyDescent="0.2">
      <c r="A764" s="262" t="s">
        <v>857</v>
      </c>
      <c r="B764" s="263"/>
      <c r="C764" s="263"/>
      <c r="D764" s="263"/>
      <c r="E764" s="263"/>
      <c r="F764" s="263"/>
      <c r="G764" s="263"/>
      <c r="H764" s="263"/>
      <c r="I764" s="263"/>
      <c r="J764" s="264"/>
    </row>
    <row r="765" spans="1:10" x14ac:dyDescent="0.2">
      <c r="A765" s="262" t="s">
        <v>858</v>
      </c>
      <c r="B765" s="263"/>
      <c r="C765" s="263"/>
      <c r="D765" s="263"/>
      <c r="E765" s="263"/>
      <c r="F765" s="263"/>
      <c r="G765" s="263"/>
      <c r="H765" s="263"/>
      <c r="I765" s="263"/>
      <c r="J765" s="264"/>
    </row>
    <row r="766" spans="1:10" x14ac:dyDescent="0.2">
      <c r="A766" s="262" t="s">
        <v>859</v>
      </c>
      <c r="B766" s="263"/>
      <c r="C766" s="263"/>
      <c r="D766" s="263"/>
      <c r="E766" s="263"/>
      <c r="F766" s="263"/>
      <c r="G766" s="263"/>
      <c r="H766" s="263"/>
      <c r="I766" s="263"/>
      <c r="J766" s="264"/>
    </row>
    <row r="767" spans="1:10" x14ac:dyDescent="0.2">
      <c r="A767" s="262" t="s">
        <v>860</v>
      </c>
      <c r="B767" s="263"/>
      <c r="C767" s="263"/>
      <c r="D767" s="263"/>
      <c r="E767" s="263"/>
      <c r="F767" s="263"/>
      <c r="G767" s="263"/>
      <c r="H767" s="263"/>
      <c r="I767" s="263"/>
      <c r="J767" s="264"/>
    </row>
    <row r="768" spans="1:10" x14ac:dyDescent="0.2">
      <c r="A768" s="262" t="s">
        <v>861</v>
      </c>
      <c r="B768" s="263"/>
      <c r="C768" s="263"/>
      <c r="D768" s="263"/>
      <c r="E768" s="263"/>
      <c r="F768" s="263"/>
      <c r="G768" s="263"/>
      <c r="H768" s="263"/>
      <c r="I768" s="263"/>
      <c r="J768" s="264"/>
    </row>
    <row r="769" spans="1:10" x14ac:dyDescent="0.2">
      <c r="A769" s="262" t="s">
        <v>862</v>
      </c>
      <c r="B769" s="263"/>
      <c r="C769" s="263"/>
      <c r="D769" s="263"/>
      <c r="E769" s="263"/>
      <c r="F769" s="263"/>
      <c r="G769" s="263"/>
      <c r="H769" s="263"/>
      <c r="I769" s="263"/>
      <c r="J769" s="264"/>
    </row>
    <row r="770" spans="1:10" x14ac:dyDescent="0.2">
      <c r="A770" s="262" t="s">
        <v>863</v>
      </c>
      <c r="B770" s="263"/>
      <c r="C770" s="263"/>
      <c r="D770" s="263"/>
      <c r="E770" s="263"/>
      <c r="F770" s="263"/>
      <c r="G770" s="263"/>
      <c r="H770" s="263"/>
      <c r="I770" s="263"/>
      <c r="J770" s="264"/>
    </row>
    <row r="771" spans="1:10" x14ac:dyDescent="0.2">
      <c r="A771" s="253" t="s">
        <v>864</v>
      </c>
      <c r="B771" s="265"/>
      <c r="C771" s="265"/>
      <c r="D771" s="265"/>
      <c r="E771" s="265"/>
      <c r="F771" s="265"/>
      <c r="G771" s="265"/>
      <c r="H771" s="265"/>
      <c r="I771" s="265"/>
      <c r="J771" s="266"/>
    </row>
    <row r="772" spans="1:10" x14ac:dyDescent="0.2">
      <c r="A772" s="263"/>
      <c r="B772" s="263"/>
      <c r="C772" s="263"/>
      <c r="D772" s="263"/>
      <c r="E772" s="263"/>
      <c r="F772" s="263"/>
      <c r="G772" s="263"/>
      <c r="H772" s="263"/>
      <c r="I772" s="263"/>
      <c r="J772" s="263"/>
    </row>
    <row r="773" spans="1:10" s="68" customFormat="1" x14ac:dyDescent="0.2">
      <c r="A773" s="423" t="s">
        <v>1</v>
      </c>
      <c r="B773" s="424" t="s">
        <v>637</v>
      </c>
      <c r="C773" s="425" t="s">
        <v>2</v>
      </c>
      <c r="D773" s="426"/>
      <c r="E773" s="426"/>
      <c r="F773" s="426"/>
      <c r="G773" s="426"/>
      <c r="H773" s="426"/>
      <c r="I773" s="426"/>
      <c r="J773" s="426"/>
    </row>
    <row r="774" spans="1:10" s="68" customFormat="1" x14ac:dyDescent="0.2">
      <c r="A774" s="427" t="s">
        <v>3</v>
      </c>
      <c r="B774" s="428">
        <v>2015</v>
      </c>
      <c r="C774" s="428">
        <v>2016</v>
      </c>
      <c r="D774" s="429">
        <v>2017</v>
      </c>
      <c r="E774" s="428">
        <v>2018</v>
      </c>
      <c r="F774" s="428">
        <v>2019</v>
      </c>
      <c r="G774" s="428">
        <v>2020</v>
      </c>
      <c r="H774" s="428">
        <v>2021</v>
      </c>
      <c r="I774" s="428">
        <v>2022</v>
      </c>
      <c r="J774" s="428">
        <v>2023</v>
      </c>
    </row>
    <row r="775" spans="1:10" s="68" customFormat="1" x14ac:dyDescent="0.2">
      <c r="A775" s="427" t="s">
        <v>4</v>
      </c>
      <c r="B775" s="430">
        <v>40</v>
      </c>
      <c r="C775" s="430">
        <v>40</v>
      </c>
      <c r="D775" s="431">
        <v>40</v>
      </c>
      <c r="E775" s="430">
        <v>40</v>
      </c>
      <c r="F775" s="432">
        <v>40</v>
      </c>
      <c r="G775" s="432">
        <v>40</v>
      </c>
      <c r="H775" s="432">
        <v>40</v>
      </c>
      <c r="I775" s="432">
        <v>40</v>
      </c>
      <c r="J775" s="432">
        <v>40</v>
      </c>
    </row>
    <row r="776" spans="1:10" s="68" customFormat="1" x14ac:dyDescent="0.2">
      <c r="A776" s="427" t="s">
        <v>5</v>
      </c>
      <c r="B776" s="430">
        <f>40+(40*50%)+40</f>
        <v>100</v>
      </c>
      <c r="C776" s="430">
        <f>40+(40*50%)+40</f>
        <v>100</v>
      </c>
      <c r="D776" s="430">
        <v>112.75</v>
      </c>
      <c r="E776" s="430">
        <v>108.75</v>
      </c>
      <c r="F776" s="430">
        <v>108.75</v>
      </c>
      <c r="G776" s="430">
        <v>108.75</v>
      </c>
      <c r="H776" s="430">
        <v>108.75</v>
      </c>
      <c r="I776" s="430">
        <f>I775+0.4*G775+40</f>
        <v>96</v>
      </c>
      <c r="J776" s="430">
        <f>J775+0.4*H775+40</f>
        <v>96</v>
      </c>
    </row>
    <row r="777" spans="1:10" s="68" customFormat="1" x14ac:dyDescent="0.2">
      <c r="A777" s="427" t="s">
        <v>6</v>
      </c>
      <c r="B777" s="291">
        <v>1</v>
      </c>
      <c r="C777" s="291">
        <v>2</v>
      </c>
      <c r="D777" s="433">
        <v>3</v>
      </c>
      <c r="E777" s="291">
        <v>4</v>
      </c>
      <c r="F777" s="434">
        <v>5</v>
      </c>
      <c r="G777" s="291">
        <v>6</v>
      </c>
      <c r="H777" s="291">
        <v>7</v>
      </c>
      <c r="I777" s="291">
        <v>8</v>
      </c>
      <c r="J777" s="291">
        <v>9</v>
      </c>
    </row>
    <row r="778" spans="1:10" s="68" customFormat="1" x14ac:dyDescent="0.2">
      <c r="A778" s="427" t="s">
        <v>7</v>
      </c>
      <c r="B778" s="430">
        <v>0</v>
      </c>
      <c r="C778" s="430">
        <v>0</v>
      </c>
      <c r="D778" s="431">
        <v>0</v>
      </c>
      <c r="E778" s="430">
        <v>0</v>
      </c>
      <c r="F778" s="432">
        <v>0</v>
      </c>
      <c r="G778" s="430">
        <v>0</v>
      </c>
      <c r="H778" s="430">
        <v>0</v>
      </c>
      <c r="I778" s="430">
        <v>78</v>
      </c>
      <c r="J778" s="430"/>
    </row>
    <row r="779" spans="1:10" s="68" customFormat="1" x14ac:dyDescent="0.2">
      <c r="A779" s="427" t="s">
        <v>8</v>
      </c>
      <c r="B779" s="430">
        <f>B776-B778</f>
        <v>100</v>
      </c>
      <c r="C779" s="430">
        <f t="shared" ref="C779" si="36">C776-C778</f>
        <v>100</v>
      </c>
      <c r="D779" s="430">
        <f>D776-D778</f>
        <v>112.75</v>
      </c>
      <c r="E779" s="430">
        <f t="shared" ref="E779:G779" si="37">E776-E778</f>
        <v>108.75</v>
      </c>
      <c r="F779" s="430">
        <f t="shared" si="37"/>
        <v>108.75</v>
      </c>
      <c r="G779" s="430">
        <f t="shared" si="37"/>
        <v>108.75</v>
      </c>
      <c r="H779" s="430">
        <v>108.75</v>
      </c>
      <c r="I779" s="430">
        <f t="shared" ref="I779" si="38">I776-I778</f>
        <v>18</v>
      </c>
      <c r="J779" s="430"/>
    </row>
    <row r="780" spans="1:10" s="68" customFormat="1" x14ac:dyDescent="0.2">
      <c r="A780" s="435" t="s">
        <v>9</v>
      </c>
      <c r="B780" s="436">
        <v>2017</v>
      </c>
      <c r="C780" s="436">
        <v>2018</v>
      </c>
      <c r="D780" s="436">
        <v>2019</v>
      </c>
      <c r="E780" s="436">
        <v>2020</v>
      </c>
      <c r="F780" s="436">
        <v>2021</v>
      </c>
      <c r="G780" s="436">
        <v>2022</v>
      </c>
      <c r="H780" s="436">
        <v>2023</v>
      </c>
      <c r="I780" s="436">
        <v>2024</v>
      </c>
      <c r="J780" s="436">
        <v>2025</v>
      </c>
    </row>
    <row r="781" spans="1:10" s="68" customFormat="1" x14ac:dyDescent="0.2">
      <c r="A781" s="738" t="s">
        <v>10</v>
      </c>
      <c r="B781" s="739"/>
      <c r="C781" s="739"/>
      <c r="D781" s="739"/>
      <c r="E781" s="739"/>
      <c r="F781" s="739"/>
      <c r="G781" s="433"/>
      <c r="H781" s="433"/>
      <c r="I781" s="433"/>
      <c r="J781" s="434"/>
    </row>
    <row r="782" spans="1:10" s="68" customFormat="1" x14ac:dyDescent="0.2">
      <c r="A782" s="595" t="s">
        <v>363</v>
      </c>
      <c r="B782" s="426"/>
      <c r="C782" s="426"/>
      <c r="D782" s="426"/>
      <c r="E782" s="426"/>
      <c r="F782" s="426"/>
      <c r="G782" s="426"/>
      <c r="H782" s="426"/>
      <c r="I782" s="426"/>
      <c r="J782" s="439"/>
    </row>
    <row r="783" spans="1:10" s="68" customFormat="1" x14ac:dyDescent="0.2">
      <c r="A783" s="707" t="s">
        <v>364</v>
      </c>
      <c r="B783" s="708"/>
      <c r="C783" s="708"/>
      <c r="D783" s="708"/>
      <c r="E783" s="708"/>
      <c r="F783" s="708"/>
      <c r="G783" s="426"/>
      <c r="H783" s="426"/>
      <c r="I783" s="426"/>
      <c r="J783" s="439"/>
    </row>
    <row r="784" spans="1:10" s="68" customFormat="1" x14ac:dyDescent="0.2">
      <c r="A784" s="707" t="s">
        <v>365</v>
      </c>
      <c r="B784" s="708"/>
      <c r="C784" s="708"/>
      <c r="D784" s="708"/>
      <c r="E784" s="708"/>
      <c r="F784" s="708"/>
      <c r="G784" s="426"/>
      <c r="H784" s="426"/>
      <c r="I784" s="426"/>
      <c r="J784" s="439"/>
    </row>
    <row r="785" spans="1:10" s="68" customFormat="1" ht="45" customHeight="1" x14ac:dyDescent="0.2">
      <c r="A785" s="707" t="s">
        <v>366</v>
      </c>
      <c r="B785" s="708"/>
      <c r="C785" s="708"/>
      <c r="D785" s="708"/>
      <c r="E785" s="708"/>
      <c r="F785" s="708"/>
      <c r="G785" s="708"/>
      <c r="H785" s="426"/>
      <c r="I785" s="426"/>
      <c r="J785" s="439"/>
    </row>
    <row r="786" spans="1:10" s="68" customFormat="1" ht="30" customHeight="1" x14ac:dyDescent="0.2">
      <c r="A786" s="707" t="s">
        <v>367</v>
      </c>
      <c r="B786" s="708"/>
      <c r="C786" s="708"/>
      <c r="D786" s="708"/>
      <c r="E786" s="708"/>
      <c r="F786" s="708"/>
      <c r="G786" s="708"/>
      <c r="H786" s="426"/>
      <c r="I786" s="426"/>
      <c r="J786" s="439"/>
    </row>
    <row r="787" spans="1:10" s="68" customFormat="1" ht="30" customHeight="1" x14ac:dyDescent="0.2">
      <c r="A787" s="707" t="s">
        <v>368</v>
      </c>
      <c r="B787" s="708"/>
      <c r="C787" s="708"/>
      <c r="D787" s="708"/>
      <c r="E787" s="708"/>
      <c r="F787" s="708"/>
      <c r="G787" s="708"/>
      <c r="H787" s="426"/>
      <c r="I787" s="426"/>
      <c r="J787" s="439"/>
    </row>
    <row r="788" spans="1:10" s="68" customFormat="1" ht="30" customHeight="1" x14ac:dyDescent="0.2">
      <c r="A788" s="707" t="s">
        <v>369</v>
      </c>
      <c r="B788" s="708"/>
      <c r="C788" s="708"/>
      <c r="D788" s="708"/>
      <c r="E788" s="708"/>
      <c r="F788" s="708"/>
      <c r="G788" s="708"/>
      <c r="H788" s="426"/>
      <c r="I788" s="426"/>
      <c r="J788" s="439"/>
    </row>
    <row r="789" spans="1:10" s="68" customFormat="1" ht="30" customHeight="1" x14ac:dyDescent="0.2">
      <c r="A789" s="707" t="s">
        <v>608</v>
      </c>
      <c r="B789" s="708"/>
      <c r="C789" s="708"/>
      <c r="D789" s="708"/>
      <c r="E789" s="708"/>
      <c r="F789" s="708"/>
      <c r="G789" s="708"/>
      <c r="H789" s="426"/>
      <c r="I789" s="426"/>
      <c r="J789" s="439"/>
    </row>
    <row r="790" spans="1:10" s="68" customFormat="1" ht="30" customHeight="1" x14ac:dyDescent="0.2">
      <c r="A790" s="330" t="s">
        <v>609</v>
      </c>
      <c r="B790" s="581"/>
      <c r="C790" s="581"/>
      <c r="D790" s="581"/>
      <c r="E790" s="581"/>
      <c r="F790" s="581"/>
      <c r="G790" s="581"/>
      <c r="H790" s="426"/>
      <c r="I790" s="426"/>
      <c r="J790" s="439"/>
    </row>
    <row r="791" spans="1:10" s="68" customFormat="1" ht="30" customHeight="1" x14ac:dyDescent="0.2">
      <c r="A791" s="726" t="s">
        <v>865</v>
      </c>
      <c r="B791" s="727"/>
      <c r="C791" s="727"/>
      <c r="D791" s="727"/>
      <c r="E791" s="727"/>
      <c r="F791" s="727"/>
      <c r="G791" s="727"/>
      <c r="H791" s="408"/>
      <c r="I791" s="408"/>
      <c r="J791" s="440"/>
    </row>
    <row r="792" spans="1:10" x14ac:dyDescent="0.2">
      <c r="A792" s="263"/>
      <c r="B792" s="263"/>
      <c r="C792" s="263"/>
      <c r="D792" s="263"/>
      <c r="E792" s="263"/>
      <c r="F792" s="263"/>
      <c r="G792" s="263"/>
      <c r="H792" s="263"/>
      <c r="I792" s="263"/>
      <c r="J792" s="263"/>
    </row>
    <row r="793" spans="1:10" x14ac:dyDescent="0.2">
      <c r="A793" s="317" t="s">
        <v>1</v>
      </c>
      <c r="B793" s="331" t="s">
        <v>664</v>
      </c>
      <c r="C793" s="425" t="s">
        <v>2</v>
      </c>
      <c r="D793" s="263"/>
      <c r="E793" s="263"/>
      <c r="F793" s="263"/>
      <c r="G793" s="263"/>
      <c r="H793" s="263"/>
      <c r="I793" s="263"/>
      <c r="J793" s="263"/>
    </row>
    <row r="794" spans="1:10" x14ac:dyDescent="0.2">
      <c r="A794" s="320" t="s">
        <v>3</v>
      </c>
      <c r="B794" s="441">
        <v>2015</v>
      </c>
      <c r="C794" s="441">
        <v>2016</v>
      </c>
      <c r="D794" s="442">
        <v>2017</v>
      </c>
      <c r="E794" s="441">
        <v>2018</v>
      </c>
      <c r="F794" s="441">
        <v>2019</v>
      </c>
      <c r="G794" s="254">
        <v>2020</v>
      </c>
      <c r="H794" s="254">
        <v>2021</v>
      </c>
      <c r="I794" s="254">
        <v>2022</v>
      </c>
      <c r="J794" s="254">
        <v>2023</v>
      </c>
    </row>
    <row r="795" spans="1:10" x14ac:dyDescent="0.2">
      <c r="A795" s="320" t="s">
        <v>4</v>
      </c>
      <c r="B795" s="443">
        <v>4.51</v>
      </c>
      <c r="C795" s="443">
        <v>4.51</v>
      </c>
      <c r="D795" s="444">
        <v>4.51</v>
      </c>
      <c r="E795" s="443">
        <v>5.31</v>
      </c>
      <c r="F795" s="445">
        <v>5.31</v>
      </c>
      <c r="G795" s="257">
        <v>5.31</v>
      </c>
      <c r="H795" s="257">
        <v>5.31</v>
      </c>
      <c r="I795" s="257">
        <v>6.18</v>
      </c>
      <c r="J795" s="257">
        <v>6.18</v>
      </c>
    </row>
    <row r="796" spans="1:10" x14ac:dyDescent="0.2">
      <c r="A796" s="320" t="s">
        <v>5</v>
      </c>
      <c r="B796" s="443">
        <v>8.51</v>
      </c>
      <c r="C796" s="443">
        <v>9.02</v>
      </c>
      <c r="D796" s="443">
        <v>4.1899999999999995</v>
      </c>
      <c r="E796" s="443">
        <v>9.5</v>
      </c>
      <c r="F796" s="443">
        <f>2*F795-9.62</f>
        <v>1</v>
      </c>
      <c r="G796" s="257">
        <f>G795+F799-4.78</f>
        <v>1.5299999999999994</v>
      </c>
      <c r="H796" s="257">
        <f>H795+G799-4.78</f>
        <v>2.0599999999999987</v>
      </c>
      <c r="I796" s="257">
        <f>I795+H799-4.78</f>
        <v>3.4599999999999982</v>
      </c>
      <c r="J796" s="257">
        <f>J795+I799-5.18</f>
        <v>4.4599999999999973</v>
      </c>
    </row>
    <row r="797" spans="1:10" x14ac:dyDescent="0.2">
      <c r="A797" s="320" t="s">
        <v>6</v>
      </c>
      <c r="B797" s="446">
        <v>1</v>
      </c>
      <c r="C797" s="446">
        <v>2</v>
      </c>
      <c r="D797" s="447">
        <v>3</v>
      </c>
      <c r="E797" s="446">
        <v>4</v>
      </c>
      <c r="F797" s="448">
        <v>5</v>
      </c>
      <c r="G797" s="268">
        <v>6</v>
      </c>
      <c r="H797" s="268">
        <v>7</v>
      </c>
      <c r="I797" s="268">
        <v>8</v>
      </c>
      <c r="J797" s="268">
        <v>9</v>
      </c>
    </row>
    <row r="798" spans="1:10" x14ac:dyDescent="0.2">
      <c r="A798" s="320" t="s">
        <v>7</v>
      </c>
      <c r="B798" s="443">
        <v>0.17</v>
      </c>
      <c r="C798" s="443">
        <v>9.34</v>
      </c>
      <c r="D798" s="444">
        <v>0</v>
      </c>
      <c r="E798" s="443">
        <v>0</v>
      </c>
      <c r="F798" s="445">
        <v>0</v>
      </c>
      <c r="G798" s="257">
        <v>0</v>
      </c>
      <c r="H798" s="257">
        <v>0</v>
      </c>
      <c r="I798" s="257">
        <v>0</v>
      </c>
      <c r="J798" s="257"/>
    </row>
    <row r="799" spans="1:10" x14ac:dyDescent="0.2">
      <c r="A799" s="320" t="s">
        <v>8</v>
      </c>
      <c r="B799" s="443">
        <v>8.34</v>
      </c>
      <c r="C799" s="443">
        <v>-0.32000000000000028</v>
      </c>
      <c r="D799" s="443">
        <v>4.1899999999999995</v>
      </c>
      <c r="E799" s="443">
        <v>9.5</v>
      </c>
      <c r="F799" s="445">
        <f>F796-F798</f>
        <v>1</v>
      </c>
      <c r="G799" s="257">
        <f>G796</f>
        <v>1.5299999999999994</v>
      </c>
      <c r="H799" s="257">
        <f>H796</f>
        <v>2.0599999999999987</v>
      </c>
      <c r="I799" s="257">
        <f>I796-I798</f>
        <v>3.4599999999999982</v>
      </c>
      <c r="J799" s="257"/>
    </row>
    <row r="800" spans="1:10" x14ac:dyDescent="0.2">
      <c r="A800" s="260" t="s">
        <v>9</v>
      </c>
      <c r="B800" s="449">
        <v>2016</v>
      </c>
      <c r="C800" s="449">
        <v>2017</v>
      </c>
      <c r="D800" s="449">
        <v>2018</v>
      </c>
      <c r="E800" s="449">
        <v>2019</v>
      </c>
      <c r="F800" s="449">
        <v>2020</v>
      </c>
      <c r="G800" s="449">
        <v>2021</v>
      </c>
      <c r="H800" s="449">
        <v>2022</v>
      </c>
      <c r="I800" s="449">
        <v>2023</v>
      </c>
      <c r="J800" s="449">
        <v>2024</v>
      </c>
    </row>
    <row r="801" spans="1:10" x14ac:dyDescent="0.2">
      <c r="A801" s="320" t="s">
        <v>10</v>
      </c>
      <c r="B801" s="566"/>
      <c r="C801" s="566"/>
      <c r="D801" s="566"/>
      <c r="E801" s="566"/>
      <c r="F801" s="566"/>
      <c r="G801" s="566"/>
      <c r="H801" s="566"/>
      <c r="I801" s="566"/>
      <c r="J801" s="275"/>
    </row>
    <row r="802" spans="1:10" x14ac:dyDescent="0.2">
      <c r="A802" s="260" t="s">
        <v>370</v>
      </c>
      <c r="B802" s="261"/>
      <c r="C802" s="261"/>
      <c r="D802" s="261"/>
      <c r="E802" s="261"/>
      <c r="F802" s="261"/>
      <c r="G802" s="261"/>
      <c r="H802" s="261"/>
      <c r="I802" s="261"/>
      <c r="J802" s="259"/>
    </row>
    <row r="803" spans="1:10" x14ac:dyDescent="0.2">
      <c r="A803" s="262" t="s">
        <v>371</v>
      </c>
      <c r="B803" s="263"/>
      <c r="C803" s="263"/>
      <c r="D803" s="263"/>
      <c r="E803" s="263"/>
      <c r="F803" s="263"/>
      <c r="G803" s="263"/>
      <c r="H803" s="263"/>
      <c r="I803" s="263"/>
      <c r="J803" s="264"/>
    </row>
    <row r="804" spans="1:10" x14ac:dyDescent="0.2">
      <c r="A804" s="262" t="s">
        <v>372</v>
      </c>
      <c r="B804" s="263"/>
      <c r="C804" s="263"/>
      <c r="D804" s="263"/>
      <c r="E804" s="263"/>
      <c r="F804" s="263"/>
      <c r="G804" s="263"/>
      <c r="H804" s="263"/>
      <c r="I804" s="263"/>
      <c r="J804" s="264"/>
    </row>
    <row r="805" spans="1:10" x14ac:dyDescent="0.2">
      <c r="A805" s="262" t="s">
        <v>373</v>
      </c>
      <c r="B805" s="263"/>
      <c r="C805" s="263"/>
      <c r="D805" s="263"/>
      <c r="E805" s="263"/>
      <c r="F805" s="263"/>
      <c r="G805" s="263"/>
      <c r="H805" s="263"/>
      <c r="I805" s="263"/>
      <c r="J805" s="264"/>
    </row>
    <row r="806" spans="1:10" x14ac:dyDescent="0.2">
      <c r="A806" s="262" t="s">
        <v>610</v>
      </c>
      <c r="B806" s="263"/>
      <c r="C806" s="263"/>
      <c r="D806" s="263"/>
      <c r="E806" s="263"/>
      <c r="F806" s="263"/>
      <c r="G806" s="263"/>
      <c r="H806" s="263"/>
      <c r="I806" s="263"/>
      <c r="J806" s="264"/>
    </row>
    <row r="807" spans="1:10" x14ac:dyDescent="0.2">
      <c r="A807" s="262" t="s">
        <v>599</v>
      </c>
      <c r="B807" s="263"/>
      <c r="C807" s="263"/>
      <c r="D807" s="263"/>
      <c r="E807" s="263"/>
      <c r="F807" s="263"/>
      <c r="G807" s="263"/>
      <c r="H807" s="263"/>
      <c r="I807" s="263"/>
      <c r="J807" s="264"/>
    </row>
    <row r="808" spans="1:10" x14ac:dyDescent="0.2">
      <c r="A808" s="262" t="s">
        <v>598</v>
      </c>
      <c r="B808" s="263"/>
      <c r="C808" s="263"/>
      <c r="D808" s="263"/>
      <c r="E808" s="263"/>
      <c r="F808" s="263"/>
      <c r="G808" s="263"/>
      <c r="H808" s="263"/>
      <c r="I808" s="263"/>
      <c r="J808" s="264"/>
    </row>
    <row r="809" spans="1:10" x14ac:dyDescent="0.2">
      <c r="A809" s="262" t="s">
        <v>611</v>
      </c>
      <c r="B809" s="263"/>
      <c r="C809" s="263"/>
      <c r="D809" s="263"/>
      <c r="E809" s="263"/>
      <c r="F809" s="263"/>
      <c r="G809" s="263"/>
      <c r="H809" s="263"/>
      <c r="I809" s="263"/>
      <c r="J809" s="264"/>
    </row>
    <row r="810" spans="1:10" x14ac:dyDescent="0.2">
      <c r="A810" s="253" t="s">
        <v>866</v>
      </c>
      <c r="B810" s="265"/>
      <c r="C810" s="265"/>
      <c r="D810" s="265"/>
      <c r="E810" s="265"/>
      <c r="F810" s="265"/>
      <c r="G810" s="265"/>
      <c r="H810" s="265"/>
      <c r="I810" s="265"/>
      <c r="J810" s="266"/>
    </row>
    <row r="811" spans="1:10" x14ac:dyDescent="0.2">
      <c r="A811" s="263"/>
      <c r="B811" s="263"/>
      <c r="C811" s="263"/>
      <c r="D811" s="263"/>
      <c r="E811" s="263"/>
      <c r="F811" s="263"/>
      <c r="G811" s="263"/>
      <c r="H811" s="263"/>
      <c r="I811" s="263"/>
      <c r="J811" s="263"/>
    </row>
    <row r="812" spans="1:10" x14ac:dyDescent="0.2">
      <c r="A812" s="263"/>
      <c r="B812" s="263"/>
      <c r="C812" s="263"/>
      <c r="D812" s="263"/>
      <c r="E812" s="263"/>
      <c r="F812" s="263"/>
      <c r="G812" s="263"/>
      <c r="H812" s="263"/>
      <c r="I812" s="263"/>
      <c r="J812" s="263"/>
    </row>
    <row r="813" spans="1:10" x14ac:dyDescent="0.2">
      <c r="A813" s="450" t="s">
        <v>12</v>
      </c>
      <c r="B813" s="683" t="s">
        <v>249</v>
      </c>
      <c r="C813" s="451"/>
      <c r="D813" s="309"/>
      <c r="E813" s="309"/>
      <c r="F813" s="309"/>
      <c r="G813" s="263"/>
      <c r="H813" s="263"/>
      <c r="I813" s="263"/>
      <c r="J813" s="263"/>
    </row>
    <row r="814" spans="1:10" x14ac:dyDescent="0.2">
      <c r="A814" s="306" t="s">
        <v>14</v>
      </c>
      <c r="B814" s="307" t="s">
        <v>66</v>
      </c>
      <c r="C814" s="308" t="s">
        <v>15</v>
      </c>
      <c r="D814" s="309"/>
      <c r="E814" s="309"/>
      <c r="F814" s="309"/>
      <c r="G814" s="263"/>
      <c r="H814" s="263"/>
      <c r="I814" s="263"/>
      <c r="J814" s="263"/>
    </row>
    <row r="815" spans="1:10" x14ac:dyDescent="0.2">
      <c r="A815" s="310" t="s">
        <v>16</v>
      </c>
      <c r="B815" s="394">
        <v>2015</v>
      </c>
      <c r="C815" s="394">
        <v>2016</v>
      </c>
      <c r="D815" s="452">
        <v>2017</v>
      </c>
      <c r="E815" s="394">
        <v>2018</v>
      </c>
      <c r="F815" s="270">
        <v>2019</v>
      </c>
      <c r="G815" s="270">
        <v>2020</v>
      </c>
      <c r="H815" s="270">
        <v>2021</v>
      </c>
      <c r="I815" s="270">
        <v>2022</v>
      </c>
      <c r="J815" s="263"/>
    </row>
    <row r="816" spans="1:10" x14ac:dyDescent="0.2">
      <c r="A816" s="310" t="s">
        <v>17</v>
      </c>
      <c r="B816" s="257">
        <v>4722</v>
      </c>
      <c r="C816" s="257">
        <v>4250</v>
      </c>
      <c r="D816" s="257">
        <v>4250</v>
      </c>
      <c r="E816" s="257">
        <v>4250</v>
      </c>
      <c r="F816" s="257">
        <v>4250</v>
      </c>
      <c r="G816" s="46">
        <v>3968.23</v>
      </c>
      <c r="H816" s="46">
        <v>3904.7383199999999</v>
      </c>
      <c r="I816" s="46">
        <v>3936.48416</v>
      </c>
      <c r="J816" s="263"/>
    </row>
    <row r="817" spans="1:10" x14ac:dyDescent="0.2">
      <c r="A817" s="310" t="s">
        <v>18</v>
      </c>
      <c r="B817" s="257">
        <v>6614.6</v>
      </c>
      <c r="C817" s="257">
        <f>C816+70+583-337</f>
        <v>4566</v>
      </c>
      <c r="D817" s="257">
        <f>D816-337+70+B820+C820</f>
        <v>4433.3230000000003</v>
      </c>
      <c r="E817" s="257">
        <f>E816-337+70</f>
        <v>3983</v>
      </c>
      <c r="F817" s="257">
        <f>F816+70+D820</f>
        <v>4667.3230000000003</v>
      </c>
      <c r="G817" s="46">
        <f>G816+E820</f>
        <v>4380.2299999999996</v>
      </c>
      <c r="H817" s="46">
        <f>H816+425</f>
        <v>4329.7383200000004</v>
      </c>
      <c r="I817" s="46">
        <f>I816+396.82</f>
        <v>4333.3041599999997</v>
      </c>
      <c r="J817" s="263"/>
    </row>
    <row r="818" spans="1:10" x14ac:dyDescent="0.2">
      <c r="A818" s="310" t="s">
        <v>19</v>
      </c>
      <c r="B818" s="256"/>
      <c r="C818" s="256">
        <v>1</v>
      </c>
      <c r="D818" s="256">
        <v>2</v>
      </c>
      <c r="E818" s="256">
        <v>3</v>
      </c>
      <c r="F818" s="256">
        <v>4</v>
      </c>
      <c r="G818" s="256">
        <v>5</v>
      </c>
      <c r="H818" s="256">
        <v>6</v>
      </c>
      <c r="I818" s="256">
        <v>7</v>
      </c>
      <c r="J818" s="453"/>
    </row>
    <row r="819" spans="1:10" x14ac:dyDescent="0.2">
      <c r="A819" s="310" t="s">
        <v>20</v>
      </c>
      <c r="B819" s="257">
        <v>5917.6769999999997</v>
      </c>
      <c r="C819" s="257">
        <v>4812.6000000000004</v>
      </c>
      <c r="D819" s="257">
        <v>4086</v>
      </c>
      <c r="E819" s="257">
        <v>3571</v>
      </c>
      <c r="F819" s="257">
        <v>2864.5</v>
      </c>
      <c r="G819" s="257">
        <v>2932.5</v>
      </c>
      <c r="H819" s="257">
        <v>1925</v>
      </c>
      <c r="I819" s="257"/>
      <c r="J819" s="263"/>
    </row>
    <row r="820" spans="1:10" x14ac:dyDescent="0.2">
      <c r="A820" s="310" t="s">
        <v>21</v>
      </c>
      <c r="B820" s="257">
        <f t="shared" ref="B820:H820" si="39">B817-B819</f>
        <v>696.92300000000068</v>
      </c>
      <c r="C820" s="257">
        <f t="shared" si="39"/>
        <v>-246.60000000000036</v>
      </c>
      <c r="D820" s="257">
        <f t="shared" si="39"/>
        <v>347.32300000000032</v>
      </c>
      <c r="E820" s="257">
        <f t="shared" si="39"/>
        <v>412</v>
      </c>
      <c r="F820" s="257">
        <f t="shared" si="39"/>
        <v>1802.8230000000003</v>
      </c>
      <c r="G820" s="46">
        <f t="shared" si="39"/>
        <v>1447.7299999999996</v>
      </c>
      <c r="H820" s="46">
        <f t="shared" si="39"/>
        <v>2404.7383200000004</v>
      </c>
      <c r="I820" s="257"/>
      <c r="J820" s="453"/>
    </row>
    <row r="821" spans="1:10" x14ac:dyDescent="0.2">
      <c r="A821" s="313" t="s">
        <v>22</v>
      </c>
      <c r="B821" s="271">
        <v>2017</v>
      </c>
      <c r="C821" s="271">
        <v>2018</v>
      </c>
      <c r="D821" s="271">
        <v>2019</v>
      </c>
      <c r="E821" s="271">
        <v>2020</v>
      </c>
      <c r="F821" s="271">
        <v>2021</v>
      </c>
      <c r="G821" s="271">
        <v>2022</v>
      </c>
      <c r="H821" s="271">
        <v>2023</v>
      </c>
      <c r="I821" s="271"/>
      <c r="J821" s="263"/>
    </row>
    <row r="822" spans="1:10" x14ac:dyDescent="0.2">
      <c r="A822" s="454"/>
      <c r="B822" s="261"/>
      <c r="C822" s="455"/>
      <c r="D822" s="261"/>
      <c r="E822" s="261"/>
      <c r="F822" s="261"/>
      <c r="G822" s="261"/>
      <c r="H822" s="261"/>
      <c r="I822" s="259"/>
      <c r="J822" s="263"/>
    </row>
    <row r="823" spans="1:10" x14ac:dyDescent="0.2">
      <c r="A823" s="262" t="s">
        <v>612</v>
      </c>
      <c r="B823" s="263"/>
      <c r="C823" s="263"/>
      <c r="D823" s="263"/>
      <c r="E823" s="263"/>
      <c r="F823" s="263"/>
      <c r="G823" s="263"/>
      <c r="H823" s="263"/>
      <c r="I823" s="264"/>
      <c r="J823" s="263"/>
    </row>
    <row r="824" spans="1:10" x14ac:dyDescent="0.2">
      <c r="A824" s="262" t="s">
        <v>613</v>
      </c>
      <c r="B824" s="263"/>
      <c r="C824" s="263"/>
      <c r="D824" s="263"/>
      <c r="E824" s="263"/>
      <c r="F824" s="263"/>
      <c r="G824" s="263"/>
      <c r="H824" s="263"/>
      <c r="I824" s="264"/>
      <c r="J824" s="263"/>
    </row>
    <row r="825" spans="1:10" x14ac:dyDescent="0.2">
      <c r="A825" s="262" t="s">
        <v>614</v>
      </c>
      <c r="B825" s="263"/>
      <c r="C825" s="456"/>
      <c r="D825" s="263"/>
      <c r="E825" s="263"/>
      <c r="F825" s="263"/>
      <c r="G825" s="263"/>
      <c r="H825" s="263"/>
      <c r="I825" s="264"/>
      <c r="J825" s="263"/>
    </row>
    <row r="826" spans="1:10" x14ac:dyDescent="0.2">
      <c r="A826" s="262" t="s">
        <v>615</v>
      </c>
      <c r="B826" s="263"/>
      <c r="C826" s="456"/>
      <c r="D826" s="263"/>
      <c r="E826" s="263"/>
      <c r="F826" s="263"/>
      <c r="G826" s="263"/>
      <c r="H826" s="263"/>
      <c r="I826" s="264"/>
      <c r="J826" s="263"/>
    </row>
    <row r="827" spans="1:10" x14ac:dyDescent="0.2">
      <c r="A827" s="262" t="s">
        <v>616</v>
      </c>
      <c r="B827" s="263"/>
      <c r="C827" s="456"/>
      <c r="D827" s="263"/>
      <c r="E827" s="263"/>
      <c r="F827" s="263"/>
      <c r="G827" s="263"/>
      <c r="H827" s="263"/>
      <c r="I827" s="264"/>
      <c r="J827" s="263"/>
    </row>
    <row r="828" spans="1:10" x14ac:dyDescent="0.2">
      <c r="A828" s="262" t="s">
        <v>509</v>
      </c>
      <c r="B828" s="263"/>
      <c r="C828" s="263"/>
      <c r="D828" s="263"/>
      <c r="E828" s="263"/>
      <c r="F828" s="263"/>
      <c r="G828" s="263"/>
      <c r="H828" s="263"/>
      <c r="I828" s="264"/>
      <c r="J828" s="263"/>
    </row>
    <row r="829" spans="1:10" x14ac:dyDescent="0.2">
      <c r="A829" s="244" t="s">
        <v>769</v>
      </c>
      <c r="B829" s="263"/>
      <c r="C829" s="263"/>
      <c r="D829" s="263"/>
      <c r="E829" s="263"/>
      <c r="F829" s="263"/>
      <c r="G829" s="263"/>
      <c r="H829" s="263"/>
      <c r="I829" s="264"/>
      <c r="J829" s="263"/>
    </row>
    <row r="830" spans="1:10" x14ac:dyDescent="0.2">
      <c r="A830" s="236" t="s">
        <v>768</v>
      </c>
      <c r="B830" s="265"/>
      <c r="C830" s="265"/>
      <c r="D830" s="265"/>
      <c r="E830" s="265"/>
      <c r="F830" s="265"/>
      <c r="G830" s="265"/>
      <c r="H830" s="265"/>
      <c r="I830" s="266"/>
      <c r="J830" s="263"/>
    </row>
    <row r="831" spans="1:10" x14ac:dyDescent="0.2">
      <c r="A831" s="263"/>
      <c r="B831" s="263"/>
      <c r="C831" s="263"/>
      <c r="D831" s="263"/>
      <c r="E831" s="263"/>
      <c r="F831" s="263"/>
      <c r="G831" s="263"/>
      <c r="H831" s="263"/>
      <c r="I831" s="263"/>
      <c r="J831" s="263"/>
    </row>
    <row r="832" spans="1:10" x14ac:dyDescent="0.2">
      <c r="A832" s="263"/>
      <c r="B832" s="263"/>
      <c r="C832" s="263"/>
      <c r="D832" s="263"/>
      <c r="E832" s="263"/>
      <c r="F832" s="263"/>
      <c r="G832" s="263"/>
      <c r="H832" s="263"/>
      <c r="I832" s="263"/>
      <c r="J832" s="263"/>
    </row>
    <row r="833" spans="1:10" x14ac:dyDescent="0.2">
      <c r="A833" s="263"/>
      <c r="B833" s="263"/>
      <c r="C833" s="263"/>
      <c r="D833" s="263"/>
      <c r="E833" s="263"/>
      <c r="F833" s="263"/>
      <c r="G833" s="263"/>
      <c r="H833" s="263"/>
      <c r="I833" s="263"/>
      <c r="J833" s="263"/>
    </row>
    <row r="834" spans="1:10" x14ac:dyDescent="0.2">
      <c r="A834" s="690" t="s">
        <v>12</v>
      </c>
      <c r="B834" s="691" t="s">
        <v>434</v>
      </c>
      <c r="C834" s="263"/>
      <c r="D834" s="263"/>
      <c r="E834" s="263"/>
      <c r="F834" s="263"/>
      <c r="G834" s="263"/>
      <c r="H834" s="263"/>
      <c r="I834" s="263"/>
      <c r="J834" s="263"/>
    </row>
    <row r="835" spans="1:10" x14ac:dyDescent="0.2">
      <c r="A835" s="688" t="s">
        <v>14</v>
      </c>
      <c r="B835" s="689" t="s">
        <v>66</v>
      </c>
      <c r="C835" s="307" t="s">
        <v>152</v>
      </c>
      <c r="D835" s="309"/>
      <c r="E835" s="309"/>
      <c r="F835" s="309"/>
      <c r="G835" s="309"/>
      <c r="H835" s="263"/>
      <c r="I835" s="263"/>
      <c r="J835" s="263"/>
    </row>
    <row r="836" spans="1:10" x14ac:dyDescent="0.2">
      <c r="A836" s="378" t="s">
        <v>16</v>
      </c>
      <c r="B836" s="398"/>
      <c r="C836" s="394">
        <v>2020</v>
      </c>
      <c r="D836" s="394">
        <v>2021</v>
      </c>
      <c r="E836" s="394">
        <v>2022</v>
      </c>
      <c r="F836" s="263"/>
      <c r="G836" s="263"/>
      <c r="H836" s="263"/>
      <c r="I836" s="263"/>
      <c r="J836" s="263"/>
    </row>
    <row r="837" spans="1:10" x14ac:dyDescent="0.2">
      <c r="A837" s="310" t="s">
        <v>17</v>
      </c>
      <c r="B837" s="381"/>
      <c r="C837" s="382">
        <v>911.93</v>
      </c>
      <c r="D837" s="382">
        <v>911.93</v>
      </c>
      <c r="E837" s="382">
        <v>911.93</v>
      </c>
      <c r="F837" s="263"/>
      <c r="G837" s="263"/>
      <c r="H837" s="263"/>
      <c r="I837" s="263"/>
      <c r="J837" s="263"/>
    </row>
    <row r="838" spans="1:10" x14ac:dyDescent="0.2">
      <c r="A838" s="310" t="s">
        <v>18</v>
      </c>
      <c r="B838" s="381"/>
      <c r="C838" s="382"/>
      <c r="D838" s="382"/>
      <c r="E838" s="382"/>
      <c r="F838" s="263"/>
      <c r="G838" s="263"/>
      <c r="H838" s="263"/>
      <c r="I838" s="263"/>
      <c r="J838" s="263"/>
    </row>
    <row r="839" spans="1:10" x14ac:dyDescent="0.2">
      <c r="A839" s="310" t="s">
        <v>19</v>
      </c>
      <c r="B839" s="386"/>
      <c r="C839" s="395"/>
      <c r="D839" s="395"/>
      <c r="E839" s="395"/>
      <c r="F839" s="263"/>
      <c r="G839" s="263"/>
      <c r="H839" s="263"/>
      <c r="I839" s="263"/>
      <c r="J839" s="263"/>
    </row>
    <row r="840" spans="1:10" x14ac:dyDescent="0.2">
      <c r="A840" s="310" t="s">
        <v>20</v>
      </c>
      <c r="B840" s="381"/>
      <c r="C840" s="382">
        <v>905.99</v>
      </c>
      <c r="D840" s="382">
        <v>768.09</v>
      </c>
      <c r="E840" s="382">
        <v>855.34</v>
      </c>
      <c r="F840" s="263"/>
      <c r="G840" s="263"/>
      <c r="H840" s="263"/>
      <c r="I840" s="263"/>
      <c r="J840" s="263"/>
    </row>
    <row r="841" spans="1:10" x14ac:dyDescent="0.2">
      <c r="A841" s="310" t="s">
        <v>21</v>
      </c>
      <c r="B841" s="381"/>
      <c r="C841" s="382"/>
      <c r="D841" s="382"/>
      <c r="E841" s="382"/>
      <c r="F841" s="263"/>
      <c r="G841" s="263"/>
      <c r="H841" s="263"/>
      <c r="I841" s="263"/>
      <c r="J841" s="263"/>
    </row>
    <row r="842" spans="1:10" x14ac:dyDescent="0.2">
      <c r="A842" s="313" t="s">
        <v>22</v>
      </c>
      <c r="B842" s="314"/>
      <c r="C842" s="457"/>
      <c r="D842" s="457"/>
      <c r="E842" s="457"/>
      <c r="F842" s="263"/>
      <c r="G842" s="263"/>
      <c r="H842" s="263"/>
      <c r="I842" s="263"/>
      <c r="J842" s="263"/>
    </row>
    <row r="843" spans="1:10" x14ac:dyDescent="0.2">
      <c r="A843" s="458"/>
      <c r="B843" s="459"/>
      <c r="C843" s="460"/>
      <c r="D843" s="460"/>
      <c r="E843" s="460"/>
      <c r="F843" s="397"/>
      <c r="G843" s="397"/>
      <c r="H843" s="397"/>
      <c r="I843" s="263"/>
      <c r="J843" s="263"/>
    </row>
    <row r="844" spans="1:10" x14ac:dyDescent="0.2">
      <c r="A844" s="362"/>
      <c r="B844" s="362"/>
      <c r="C844" s="362"/>
      <c r="D844" s="362"/>
      <c r="E844" s="397"/>
      <c r="F844" s="397"/>
      <c r="G844" s="397"/>
      <c r="H844" s="397"/>
      <c r="I844" s="263"/>
      <c r="J844" s="263"/>
    </row>
    <row r="845" spans="1:10" x14ac:dyDescent="0.2">
      <c r="A845" s="362"/>
      <c r="B845" s="362"/>
      <c r="C845" s="362"/>
      <c r="D845" s="362"/>
      <c r="E845" s="362"/>
      <c r="F845" s="362"/>
      <c r="G845" s="362"/>
      <c r="H845" s="263"/>
      <c r="I845" s="263"/>
      <c r="J845" s="263"/>
    </row>
    <row r="846" spans="1:10" x14ac:dyDescent="0.2">
      <c r="A846" s="690" t="s">
        <v>12</v>
      </c>
      <c r="B846" s="691" t="s">
        <v>435</v>
      </c>
      <c r="C846" s="263"/>
      <c r="D846" s="263"/>
      <c r="E846" s="263"/>
      <c r="F846" s="263"/>
      <c r="G846" s="263"/>
      <c r="H846" s="263"/>
      <c r="I846" s="263"/>
      <c r="J846" s="263"/>
    </row>
    <row r="847" spans="1:10" x14ac:dyDescent="0.2">
      <c r="A847" s="688" t="s">
        <v>14</v>
      </c>
      <c r="B847" s="689" t="s">
        <v>637</v>
      </c>
      <c r="C847" s="307" t="s">
        <v>152</v>
      </c>
      <c r="D847" s="309"/>
      <c r="E847" s="309"/>
      <c r="F847" s="309"/>
      <c r="G847" s="309"/>
      <c r="H847" s="263"/>
      <c r="I847" s="263"/>
      <c r="J847" s="263"/>
    </row>
    <row r="848" spans="1:10" x14ac:dyDescent="0.2">
      <c r="A848" s="378" t="s">
        <v>16</v>
      </c>
      <c r="B848" s="398">
        <v>2016</v>
      </c>
      <c r="C848" s="394">
        <v>2017</v>
      </c>
      <c r="D848" s="394">
        <v>2018</v>
      </c>
      <c r="E848" s="394">
        <v>2019</v>
      </c>
      <c r="F848" s="394">
        <v>2020</v>
      </c>
      <c r="G848" s="394">
        <v>2021</v>
      </c>
      <c r="H848" s="394">
        <v>2022</v>
      </c>
      <c r="I848" s="394">
        <v>2023</v>
      </c>
      <c r="J848" s="263"/>
    </row>
    <row r="849" spans="1:10" x14ac:dyDescent="0.2">
      <c r="A849" s="310" t="s">
        <v>17</v>
      </c>
      <c r="B849" s="382">
        <v>0</v>
      </c>
      <c r="C849" s="382">
        <v>0</v>
      </c>
      <c r="D849" s="382">
        <v>0</v>
      </c>
      <c r="E849" s="382">
        <v>0</v>
      </c>
      <c r="F849" s="382">
        <v>0</v>
      </c>
      <c r="G849" s="382">
        <v>0</v>
      </c>
      <c r="H849" s="382">
        <v>0</v>
      </c>
      <c r="I849" s="382">
        <v>0</v>
      </c>
      <c r="J849" s="263"/>
    </row>
    <row r="850" spans="1:10" x14ac:dyDescent="0.2">
      <c r="A850" s="310" t="s">
        <v>18</v>
      </c>
      <c r="B850" s="382">
        <f>B853+B852</f>
        <v>-0.66000000000000014</v>
      </c>
      <c r="C850" s="382">
        <f>B853</f>
        <v>-6.29</v>
      </c>
      <c r="D850" s="382">
        <f t="shared" ref="D850" si="40">C853</f>
        <v>-14.989999999999998</v>
      </c>
      <c r="E850" s="382">
        <f t="shared" ref="E850" si="41">D853</f>
        <v>-19.489999999999998</v>
      </c>
      <c r="F850" s="382">
        <f t="shared" ref="F850" si="42">E853</f>
        <v>-21.189999999999998</v>
      </c>
      <c r="G850" s="382">
        <f t="shared" ref="G850:I850" si="43">F853</f>
        <v>-25.709999999999997</v>
      </c>
      <c r="H850" s="382">
        <f t="shared" si="43"/>
        <v>-28.479999999999997</v>
      </c>
      <c r="I850" s="382">
        <f t="shared" si="43"/>
        <v>-28.479999999999997</v>
      </c>
      <c r="J850" s="263"/>
    </row>
    <row r="851" spans="1:10" x14ac:dyDescent="0.2">
      <c r="A851" s="310" t="s">
        <v>19</v>
      </c>
      <c r="B851" s="395"/>
      <c r="C851" s="395"/>
      <c r="D851" s="395"/>
      <c r="E851" s="395"/>
      <c r="F851" s="395"/>
      <c r="G851" s="395"/>
      <c r="H851" s="395"/>
      <c r="I851" s="395"/>
      <c r="J851" s="263"/>
    </row>
    <row r="852" spans="1:10" x14ac:dyDescent="0.2">
      <c r="A852" s="310" t="s">
        <v>20</v>
      </c>
      <c r="B852" s="382">
        <v>5.63</v>
      </c>
      <c r="C852" s="382">
        <v>8.6999999999999993</v>
      </c>
      <c r="D852" s="382">
        <v>4.5</v>
      </c>
      <c r="E852" s="382">
        <v>1.7</v>
      </c>
      <c r="F852" s="382">
        <v>4.5199999999999996</v>
      </c>
      <c r="G852" s="382">
        <v>2.77</v>
      </c>
      <c r="H852" s="382">
        <v>0</v>
      </c>
      <c r="I852" s="382"/>
      <c r="J852" s="263"/>
    </row>
    <row r="853" spans="1:10" x14ac:dyDescent="0.2">
      <c r="A853" s="310" t="s">
        <v>21</v>
      </c>
      <c r="B853" s="382">
        <v>-6.29</v>
      </c>
      <c r="C853" s="382">
        <f t="shared" ref="C853:H853" si="44">C850-C852</f>
        <v>-14.989999999999998</v>
      </c>
      <c r="D853" s="382">
        <f t="shared" si="44"/>
        <v>-19.489999999999998</v>
      </c>
      <c r="E853" s="382">
        <f t="shared" si="44"/>
        <v>-21.189999999999998</v>
      </c>
      <c r="F853" s="382">
        <f t="shared" si="44"/>
        <v>-25.709999999999997</v>
      </c>
      <c r="G853" s="382">
        <f t="shared" si="44"/>
        <v>-28.479999999999997</v>
      </c>
      <c r="H853" s="382">
        <f t="shared" si="44"/>
        <v>-28.479999999999997</v>
      </c>
      <c r="I853" s="382"/>
      <c r="J853" s="263"/>
    </row>
    <row r="854" spans="1:10" x14ac:dyDescent="0.2">
      <c r="A854" s="313" t="s">
        <v>22</v>
      </c>
      <c r="B854" s="314">
        <v>2017</v>
      </c>
      <c r="C854" s="314">
        <v>2018</v>
      </c>
      <c r="D854" s="314">
        <v>2019</v>
      </c>
      <c r="E854" s="314">
        <v>2020</v>
      </c>
      <c r="F854" s="314">
        <v>2021</v>
      </c>
      <c r="G854" s="314">
        <v>2022</v>
      </c>
      <c r="H854" s="314">
        <v>2023</v>
      </c>
      <c r="I854" s="314">
        <v>2024</v>
      </c>
      <c r="J854" s="263"/>
    </row>
    <row r="855" spans="1:10" x14ac:dyDescent="0.2">
      <c r="A855" s="313" t="s">
        <v>436</v>
      </c>
      <c r="B855" s="315"/>
      <c r="C855" s="315"/>
      <c r="D855" s="315"/>
      <c r="E855" s="315"/>
      <c r="F855" s="315"/>
      <c r="G855" s="315"/>
      <c r="H855" s="261"/>
      <c r="I855" s="259"/>
      <c r="J855" s="263"/>
    </row>
    <row r="856" spans="1:10" ht="13.15" customHeight="1" x14ac:dyDescent="0.2">
      <c r="A856" s="378" t="s">
        <v>682</v>
      </c>
      <c r="B856" s="461"/>
      <c r="C856" s="461"/>
      <c r="D856" s="461"/>
      <c r="E856" s="461"/>
      <c r="F856" s="461"/>
      <c r="G856" s="461"/>
      <c r="H856" s="596"/>
      <c r="I856" s="462"/>
      <c r="J856" s="263"/>
    </row>
    <row r="857" spans="1:10" ht="13.15" customHeight="1" x14ac:dyDescent="0.2">
      <c r="A857" s="14"/>
      <c r="B857" s="15"/>
      <c r="C857" s="15"/>
      <c r="D857" s="7"/>
      <c r="E857" s="7"/>
      <c r="F857" s="7"/>
      <c r="G857" s="7"/>
      <c r="H857" s="28"/>
    </row>
    <row r="858" spans="1:10" x14ac:dyDescent="0.2">
      <c r="A858" s="16" t="s">
        <v>14</v>
      </c>
      <c r="B858" s="13" t="s">
        <v>74</v>
      </c>
      <c r="C858" s="13" t="s">
        <v>152</v>
      </c>
      <c r="D858" s="7"/>
      <c r="E858" s="7"/>
      <c r="F858" s="7"/>
      <c r="G858" s="7"/>
    </row>
    <row r="859" spans="1:10" x14ac:dyDescent="0.2">
      <c r="A859" s="14" t="s">
        <v>16</v>
      </c>
      <c r="B859" s="110">
        <v>2019</v>
      </c>
      <c r="C859" s="79">
        <v>2020</v>
      </c>
      <c r="D859" s="79">
        <v>2021</v>
      </c>
      <c r="E859" s="79">
        <v>2022</v>
      </c>
      <c r="F859" s="79">
        <v>2023</v>
      </c>
    </row>
    <row r="860" spans="1:10" x14ac:dyDescent="0.2">
      <c r="A860" s="8" t="s">
        <v>17</v>
      </c>
      <c r="B860" s="9">
        <v>10</v>
      </c>
      <c r="C860" s="9">
        <v>10</v>
      </c>
      <c r="D860" s="9">
        <v>10</v>
      </c>
      <c r="E860" s="9">
        <v>10</v>
      </c>
      <c r="F860" s="9">
        <v>10</v>
      </c>
    </row>
    <row r="861" spans="1:10" x14ac:dyDescent="0.2">
      <c r="A861" s="8" t="s">
        <v>18</v>
      </c>
      <c r="B861" s="9"/>
      <c r="C861" s="9">
        <f>B864+C860</f>
        <v>-108.22</v>
      </c>
      <c r="D861" s="9">
        <f>D860+C864</f>
        <v>-137.05000000000001</v>
      </c>
      <c r="E861" s="9">
        <f>E860+D864</f>
        <v>-202.31</v>
      </c>
      <c r="F861" s="9">
        <f>F860+E864</f>
        <v>-192.31</v>
      </c>
    </row>
    <row r="862" spans="1:10" x14ac:dyDescent="0.2">
      <c r="A862" s="8" t="s">
        <v>19</v>
      </c>
      <c r="B862" s="12"/>
      <c r="C862" s="12"/>
      <c r="D862" s="12"/>
      <c r="E862" s="12"/>
      <c r="F862" s="12"/>
    </row>
    <row r="863" spans="1:10" x14ac:dyDescent="0.2">
      <c r="A863" s="8" t="s">
        <v>20</v>
      </c>
      <c r="B863" s="9">
        <v>128.22</v>
      </c>
      <c r="C863" s="9">
        <v>38.83</v>
      </c>
      <c r="D863" s="9">
        <v>75.260000000000005</v>
      </c>
      <c r="E863" s="9">
        <v>0</v>
      </c>
      <c r="F863" s="9"/>
    </row>
    <row r="864" spans="1:10" x14ac:dyDescent="0.2">
      <c r="A864" s="8" t="s">
        <v>21</v>
      </c>
      <c r="B864" s="9">
        <f>B860-B863</f>
        <v>-118.22</v>
      </c>
      <c r="C864" s="9">
        <f>C861-C863</f>
        <v>-147.05000000000001</v>
      </c>
      <c r="D864" s="9">
        <f>D861-D863</f>
        <v>-212.31</v>
      </c>
      <c r="E864" s="9">
        <f>E861-E863</f>
        <v>-202.31</v>
      </c>
      <c r="F864" s="9"/>
    </row>
    <row r="865" spans="1:12" x14ac:dyDescent="0.2">
      <c r="A865" s="37" t="s">
        <v>22</v>
      </c>
      <c r="B865" s="38">
        <v>2020</v>
      </c>
      <c r="C865" s="38">
        <v>2021</v>
      </c>
      <c r="D865" s="38">
        <v>2022</v>
      </c>
      <c r="E865" s="38">
        <v>2023</v>
      </c>
      <c r="F865" s="38">
        <v>2023</v>
      </c>
    </row>
    <row r="866" spans="1:12" ht="12.75" customHeight="1" x14ac:dyDescent="0.2">
      <c r="A866" s="8" t="s">
        <v>436</v>
      </c>
      <c r="B866" s="8"/>
      <c r="C866" s="81"/>
      <c r="D866" s="81"/>
      <c r="E866" s="81"/>
      <c r="F866" s="10"/>
      <c r="G866" s="28"/>
      <c r="H866" s="28"/>
    </row>
    <row r="868" spans="1:12" x14ac:dyDescent="0.2">
      <c r="A868" s="16" t="s">
        <v>14</v>
      </c>
      <c r="B868" s="13" t="s">
        <v>79</v>
      </c>
      <c r="C868" s="13" t="s">
        <v>152</v>
      </c>
      <c r="D868" s="7"/>
      <c r="E868" s="7"/>
      <c r="F868" s="7"/>
      <c r="G868" s="7"/>
    </row>
    <row r="869" spans="1:12" x14ac:dyDescent="0.2">
      <c r="A869" s="14" t="s">
        <v>16</v>
      </c>
      <c r="B869" s="110">
        <v>2016</v>
      </c>
      <c r="C869" s="79">
        <v>2017</v>
      </c>
      <c r="D869" s="79">
        <v>2018</v>
      </c>
      <c r="E869" s="79">
        <v>2019</v>
      </c>
      <c r="F869" s="79">
        <v>2020</v>
      </c>
      <c r="G869" s="79">
        <v>2021</v>
      </c>
      <c r="H869" s="79">
        <v>2022</v>
      </c>
      <c r="I869" s="79">
        <v>2023</v>
      </c>
    </row>
    <row r="870" spans="1:12" x14ac:dyDescent="0.2">
      <c r="A870" s="8" t="s">
        <v>17</v>
      </c>
      <c r="B870" s="29">
        <v>2</v>
      </c>
      <c r="C870" s="29">
        <v>2</v>
      </c>
      <c r="D870" s="29">
        <v>2</v>
      </c>
      <c r="E870" s="29">
        <v>2</v>
      </c>
      <c r="F870" s="29">
        <v>2</v>
      </c>
      <c r="G870" s="29">
        <v>2</v>
      </c>
      <c r="H870" s="29">
        <v>2</v>
      </c>
      <c r="I870" s="29">
        <v>2</v>
      </c>
    </row>
    <row r="871" spans="1:12" x14ac:dyDescent="0.2">
      <c r="A871" s="8" t="s">
        <v>18</v>
      </c>
      <c r="B871" s="29">
        <f>B873+B874</f>
        <v>1.3599999999999994</v>
      </c>
      <c r="C871" s="29">
        <f>B874+C870</f>
        <v>-45.06</v>
      </c>
      <c r="D871" s="29">
        <f>D870+C874</f>
        <v>-100.26</v>
      </c>
      <c r="E871" s="29">
        <f>D874+E870</f>
        <v>-165.26</v>
      </c>
      <c r="F871" s="29">
        <f>F870+E874</f>
        <v>-163.26</v>
      </c>
      <c r="G871" s="29">
        <f>G870+F874</f>
        <v>-161.26</v>
      </c>
      <c r="H871" s="29">
        <f>H870+G874</f>
        <v>-159.26</v>
      </c>
      <c r="I871" s="29">
        <f>I870+H874</f>
        <v>-157.26</v>
      </c>
    </row>
    <row r="872" spans="1:12" x14ac:dyDescent="0.2">
      <c r="A872" s="8" t="s">
        <v>19</v>
      </c>
      <c r="B872" s="102"/>
      <c r="C872" s="102"/>
      <c r="D872" s="102"/>
      <c r="E872" s="102"/>
      <c r="F872" s="102"/>
      <c r="G872" s="102"/>
      <c r="H872" s="102"/>
      <c r="I872" s="102"/>
    </row>
    <row r="873" spans="1:12" x14ac:dyDescent="0.2">
      <c r="A873" s="8" t="s">
        <v>20</v>
      </c>
      <c r="B873" s="29">
        <v>48.42</v>
      </c>
      <c r="C873" s="29">
        <v>57.2</v>
      </c>
      <c r="D873" s="29">
        <v>67</v>
      </c>
      <c r="E873" s="29">
        <v>0</v>
      </c>
      <c r="F873" s="29">
        <v>0</v>
      </c>
      <c r="G873" s="29">
        <v>0</v>
      </c>
      <c r="H873" s="29">
        <v>0</v>
      </c>
      <c r="I873" s="29"/>
    </row>
    <row r="874" spans="1:12" x14ac:dyDescent="0.2">
      <c r="A874" s="8" t="s">
        <v>21</v>
      </c>
      <c r="B874" s="29">
        <v>-47.06</v>
      </c>
      <c r="C874" s="29">
        <f>C871-C873</f>
        <v>-102.26</v>
      </c>
      <c r="D874" s="29">
        <f>D871-D873</f>
        <v>-167.26</v>
      </c>
      <c r="E874" s="29">
        <f>E871-E873</f>
        <v>-165.26</v>
      </c>
      <c r="F874" s="29">
        <f>F871-F873</f>
        <v>-163.26</v>
      </c>
      <c r="G874" s="29">
        <f>G871</f>
        <v>-161.26</v>
      </c>
      <c r="H874" s="29">
        <f>H871</f>
        <v>-159.26</v>
      </c>
      <c r="I874" s="29"/>
    </row>
    <row r="875" spans="1:12" x14ac:dyDescent="0.2">
      <c r="A875" s="37" t="s">
        <v>22</v>
      </c>
      <c r="B875" s="38">
        <v>2017</v>
      </c>
      <c r="C875" s="38">
        <v>2018</v>
      </c>
      <c r="D875" s="38">
        <v>2019</v>
      </c>
      <c r="E875" s="38">
        <v>2020</v>
      </c>
      <c r="F875" s="38">
        <v>2021</v>
      </c>
      <c r="G875" s="38">
        <v>2022</v>
      </c>
      <c r="H875" s="38">
        <v>2023</v>
      </c>
      <c r="I875" s="38">
        <v>2023</v>
      </c>
    </row>
    <row r="876" spans="1:12" ht="13.15" customHeight="1" x14ac:dyDescent="0.2">
      <c r="A876" s="597" t="s">
        <v>436</v>
      </c>
      <c r="B876" s="598"/>
      <c r="C876" s="598"/>
      <c r="D876" s="598"/>
      <c r="E876" s="598"/>
      <c r="F876" s="598"/>
      <c r="G876" s="598"/>
      <c r="H876" s="598"/>
      <c r="I876" s="594"/>
    </row>
    <row r="877" spans="1:12" x14ac:dyDescent="0.2">
      <c r="A877" s="35"/>
      <c r="B877" s="35"/>
      <c r="C877" s="35"/>
      <c r="D877" s="35"/>
      <c r="E877" s="28"/>
      <c r="F877" s="28"/>
      <c r="G877" s="28"/>
      <c r="H877" s="28"/>
    </row>
    <row r="878" spans="1:12" x14ac:dyDescent="0.2">
      <c r="A878" s="168"/>
      <c r="C878" s="170"/>
    </row>
    <row r="879" spans="1:12" x14ac:dyDescent="0.2">
      <c r="A879" s="700" t="s">
        <v>12</v>
      </c>
      <c r="B879" s="701" t="s">
        <v>173</v>
      </c>
      <c r="C879" s="169"/>
      <c r="D879" s="169"/>
      <c r="E879" s="169"/>
      <c r="F879" s="169"/>
      <c r="G879" s="169"/>
      <c r="H879" s="169"/>
      <c r="I879" s="169"/>
      <c r="J879" s="169"/>
      <c r="K879" s="169"/>
      <c r="L879" s="169"/>
    </row>
    <row r="880" spans="1:12" x14ac:dyDescent="0.2">
      <c r="A880" s="697" t="s">
        <v>14</v>
      </c>
      <c r="B880" s="698" t="s">
        <v>638</v>
      </c>
      <c r="C880" s="172" t="s">
        <v>15</v>
      </c>
      <c r="D880" s="169"/>
      <c r="E880" s="169"/>
      <c r="F880" s="169"/>
      <c r="G880" s="169"/>
      <c r="H880" s="169"/>
      <c r="I880" s="169"/>
      <c r="J880" s="169"/>
      <c r="K880" s="169"/>
      <c r="L880" s="169"/>
    </row>
    <row r="881" spans="1:16" customFormat="1" ht="15" x14ac:dyDescent="0.25">
      <c r="A881" s="173" t="s">
        <v>16</v>
      </c>
      <c r="B881" s="187">
        <v>2009</v>
      </c>
      <c r="C881" s="188">
        <v>2010</v>
      </c>
      <c r="D881" s="188">
        <v>2011</v>
      </c>
      <c r="E881" s="188">
        <v>2012</v>
      </c>
      <c r="F881" s="188">
        <v>2013</v>
      </c>
      <c r="G881" s="188">
        <v>2014</v>
      </c>
      <c r="H881" s="188">
        <v>2015</v>
      </c>
      <c r="I881" s="188">
        <v>2016</v>
      </c>
      <c r="J881" s="188">
        <v>2017</v>
      </c>
      <c r="K881" s="188">
        <v>2018</v>
      </c>
      <c r="L881" s="188">
        <v>2019</v>
      </c>
      <c r="M881" s="188">
        <v>2020</v>
      </c>
      <c r="N881" s="188">
        <v>2021</v>
      </c>
      <c r="O881" s="188">
        <v>2022</v>
      </c>
      <c r="P881" s="174"/>
    </row>
    <row r="882" spans="1:16" customFormat="1" ht="15" x14ac:dyDescent="0.25">
      <c r="A882" s="175" t="s">
        <v>17</v>
      </c>
      <c r="B882" s="176"/>
      <c r="C882" s="176"/>
      <c r="D882" s="176"/>
      <c r="E882" s="176"/>
      <c r="F882" s="176"/>
      <c r="G882" s="176"/>
      <c r="H882" s="176"/>
      <c r="I882" s="176"/>
      <c r="J882" s="176"/>
      <c r="K882" s="176"/>
      <c r="L882" s="176"/>
      <c r="M882" s="176"/>
      <c r="N882" s="176"/>
      <c r="O882" s="176"/>
      <c r="P882" s="174"/>
    </row>
    <row r="883" spans="1:16" customFormat="1" ht="15" x14ac:dyDescent="0.25">
      <c r="A883" s="175" t="s">
        <v>18</v>
      </c>
      <c r="B883" s="176">
        <v>525.11158760000001</v>
      </c>
      <c r="C883" s="176">
        <v>516.79334119999999</v>
      </c>
      <c r="D883" s="176">
        <v>478.68400000000003</v>
      </c>
      <c r="E883" s="176">
        <v>638.87599999999998</v>
      </c>
      <c r="F883" s="176">
        <v>573.67999999999995</v>
      </c>
      <c r="G883" s="176">
        <v>503.80800000000005</v>
      </c>
      <c r="H883" s="176">
        <v>407.19200000000001</v>
      </c>
      <c r="I883" s="176">
        <v>449.52</v>
      </c>
      <c r="J883" s="176">
        <v>394.88799999999998</v>
      </c>
      <c r="K883" s="176">
        <v>393.98364000000004</v>
      </c>
      <c r="L883" s="176">
        <v>397.32737956000005</v>
      </c>
      <c r="M883" s="176">
        <v>371.77199999999999</v>
      </c>
      <c r="N883" s="176">
        <v>505.18</v>
      </c>
      <c r="O883" s="176">
        <v>373.17</v>
      </c>
      <c r="P883" s="174"/>
    </row>
    <row r="884" spans="1:16" customFormat="1" ht="15" x14ac:dyDescent="0.25">
      <c r="A884" s="175" t="s">
        <v>19</v>
      </c>
      <c r="B884" s="176"/>
      <c r="C884" s="176"/>
      <c r="D884" s="176"/>
      <c r="E884" s="176"/>
      <c r="F884" s="176"/>
      <c r="G884" s="176"/>
      <c r="H884" s="176"/>
      <c r="I884" s="176"/>
      <c r="J884" s="176"/>
      <c r="K884" s="176"/>
      <c r="L884" s="176"/>
      <c r="M884" s="176"/>
      <c r="N884" s="176"/>
      <c r="O884" s="176"/>
      <c r="P884" s="174"/>
    </row>
    <row r="885" spans="1:16" customFormat="1" ht="15" x14ac:dyDescent="0.25">
      <c r="A885" s="175" t="s">
        <v>20</v>
      </c>
      <c r="B885" s="176">
        <v>419.55900000000003</v>
      </c>
      <c r="C885" s="176">
        <v>483.41500000000002</v>
      </c>
      <c r="D885" s="176">
        <v>285.3</v>
      </c>
      <c r="E885" s="176">
        <v>1822.1</v>
      </c>
      <c r="F885" s="176">
        <v>266.39999999999998</v>
      </c>
      <c r="G885" s="176">
        <v>305.2</v>
      </c>
      <c r="H885" s="176">
        <v>329.8</v>
      </c>
      <c r="I885" s="176">
        <v>254.9</v>
      </c>
      <c r="J885" s="176">
        <v>335</v>
      </c>
      <c r="K885" s="176">
        <v>210.6</v>
      </c>
      <c r="L885" s="176">
        <v>319.27300000000002</v>
      </c>
      <c r="M885" s="176">
        <v>282.8</v>
      </c>
      <c r="N885" s="176">
        <v>223.4</v>
      </c>
      <c r="O885" s="176">
        <v>208.4</v>
      </c>
      <c r="P885" s="174"/>
    </row>
    <row r="886" spans="1:16" customFormat="1" ht="15" x14ac:dyDescent="0.25">
      <c r="A886" s="177" t="s">
        <v>21</v>
      </c>
      <c r="B886" s="205">
        <v>105.55258759999998</v>
      </c>
      <c r="C886" s="205">
        <v>33.378341199999966</v>
      </c>
      <c r="D886" s="205">
        <v>193.38400000000001</v>
      </c>
      <c r="E886" s="599">
        <v>-1183.2239999999999</v>
      </c>
      <c r="F886" s="205">
        <v>307.28000000000009</v>
      </c>
      <c r="G886" s="205">
        <v>198.60800000000006</v>
      </c>
      <c r="H886" s="205">
        <v>77.391999999999996</v>
      </c>
      <c r="I886" s="205">
        <v>194.61999999999998</v>
      </c>
      <c r="J886" s="205">
        <v>59.888000000000034</v>
      </c>
      <c r="K886" s="205">
        <v>183.38364000000004</v>
      </c>
      <c r="L886" s="205">
        <v>78.054379560000029</v>
      </c>
      <c r="M886" s="205">
        <v>88.971999999999994</v>
      </c>
      <c r="N886" s="205">
        <f>N883-N885</f>
        <v>281.77999999999997</v>
      </c>
      <c r="O886" s="205">
        <f>O883-O885</f>
        <v>164.77</v>
      </c>
      <c r="P886" s="174"/>
    </row>
    <row r="887" spans="1:16" customFormat="1" ht="15" x14ac:dyDescent="0.25">
      <c r="A887" s="175" t="s">
        <v>22</v>
      </c>
      <c r="B887" s="600"/>
      <c r="C887" s="600"/>
      <c r="D887" s="600"/>
      <c r="E887" s="600"/>
      <c r="F887" s="600"/>
      <c r="G887" s="600"/>
      <c r="H887" s="600"/>
      <c r="I887" s="600"/>
      <c r="J887" s="600"/>
      <c r="K887" s="600"/>
      <c r="L887" s="600"/>
      <c r="M887" s="600"/>
      <c r="N887" s="600"/>
      <c r="O887" s="601"/>
      <c r="P887" s="174"/>
    </row>
    <row r="888" spans="1:16" customFormat="1" ht="15" x14ac:dyDescent="0.25">
      <c r="A888" s="180" t="s">
        <v>23</v>
      </c>
      <c r="B888" s="169"/>
      <c r="C888" s="169"/>
      <c r="D888" s="169"/>
      <c r="E888" s="169"/>
      <c r="F888" s="169"/>
      <c r="G888" s="169"/>
      <c r="H888" s="169"/>
      <c r="I888" s="169"/>
      <c r="J888" s="169"/>
      <c r="K888" s="169"/>
      <c r="L888" s="169"/>
      <c r="M888" s="169"/>
      <c r="N888" s="169"/>
      <c r="O888" s="181"/>
      <c r="P888" s="174"/>
    </row>
    <row r="889" spans="1:16" customFormat="1" ht="15" x14ac:dyDescent="0.25">
      <c r="A889" s="180" t="s">
        <v>174</v>
      </c>
      <c r="B889" s="169"/>
      <c r="C889" s="169"/>
      <c r="D889" s="169"/>
      <c r="E889" s="169"/>
      <c r="F889" s="169"/>
      <c r="G889" s="169"/>
      <c r="H889" s="169"/>
      <c r="I889" s="169"/>
      <c r="J889" s="169"/>
      <c r="K889" s="169"/>
      <c r="L889" s="169"/>
      <c r="M889" s="169"/>
      <c r="N889" s="169"/>
      <c r="O889" s="181"/>
      <c r="P889" s="174"/>
    </row>
    <row r="890" spans="1:16" customFormat="1" ht="15" x14ac:dyDescent="0.25">
      <c r="A890" s="20" t="s">
        <v>220</v>
      </c>
      <c r="B890" s="169"/>
      <c r="C890" s="169"/>
      <c r="D890" s="169"/>
      <c r="E890" s="169"/>
      <c r="F890" s="169"/>
      <c r="G890" s="169"/>
      <c r="H890" s="169"/>
      <c r="I890" s="169"/>
      <c r="J890" s="169"/>
      <c r="K890" s="169"/>
      <c r="L890" s="169"/>
      <c r="M890" s="169"/>
      <c r="N890" s="169"/>
      <c r="O890" s="181"/>
      <c r="P890" s="174"/>
    </row>
    <row r="891" spans="1:16" customFormat="1" ht="15" x14ac:dyDescent="0.25">
      <c r="A891" s="180" t="s">
        <v>271</v>
      </c>
      <c r="B891" s="169"/>
      <c r="C891" s="169"/>
      <c r="D891" s="169"/>
      <c r="E891" s="169"/>
      <c r="F891" s="169"/>
      <c r="G891" s="169"/>
      <c r="H891" s="169"/>
      <c r="I891" s="169"/>
      <c r="J891" s="169"/>
      <c r="K891" s="169"/>
      <c r="L891" s="169"/>
      <c r="M891" s="169"/>
      <c r="N891" s="169"/>
      <c r="O891" s="181"/>
      <c r="P891" s="174"/>
    </row>
    <row r="892" spans="1:16" customFormat="1" ht="15" x14ac:dyDescent="0.25">
      <c r="A892" s="180" t="s">
        <v>467</v>
      </c>
      <c r="B892" s="169"/>
      <c r="C892" s="169"/>
      <c r="D892" s="169"/>
      <c r="E892" s="169"/>
      <c r="F892" s="169"/>
      <c r="G892" s="169"/>
      <c r="H892" s="169"/>
      <c r="I892" s="169"/>
      <c r="J892" s="169"/>
      <c r="K892" s="169"/>
      <c r="L892" s="169"/>
      <c r="M892" s="169"/>
      <c r="N892" s="169"/>
      <c r="O892" s="181"/>
      <c r="P892" s="174"/>
    </row>
    <row r="893" spans="1:16" customFormat="1" ht="15" x14ac:dyDescent="0.25">
      <c r="A893" s="180" t="s">
        <v>734</v>
      </c>
      <c r="B893" s="169"/>
      <c r="C893" s="169"/>
      <c r="D893" s="169"/>
      <c r="E893" s="169"/>
      <c r="F893" s="169"/>
      <c r="G893" s="169"/>
      <c r="H893" s="169"/>
      <c r="I893" s="169"/>
      <c r="J893" s="169"/>
      <c r="K893" s="169"/>
      <c r="L893" s="169"/>
      <c r="M893" s="169"/>
      <c r="N893" s="169"/>
      <c r="O893" s="181"/>
      <c r="P893" s="174"/>
    </row>
    <row r="894" spans="1:16" customFormat="1" ht="15" x14ac:dyDescent="0.25">
      <c r="A894" s="180" t="s">
        <v>870</v>
      </c>
      <c r="B894" s="169"/>
      <c r="C894" s="169"/>
      <c r="D894" s="169"/>
      <c r="E894" s="169"/>
      <c r="F894" s="169"/>
      <c r="G894" s="169"/>
      <c r="H894" s="169"/>
      <c r="I894" s="169"/>
      <c r="J894" s="169"/>
      <c r="K894" s="169"/>
      <c r="L894" s="169"/>
      <c r="M894" s="169"/>
      <c r="N894" s="169"/>
      <c r="O894" s="181"/>
      <c r="P894" s="174"/>
    </row>
    <row r="895" spans="1:16" customFormat="1" ht="15" x14ac:dyDescent="0.25">
      <c r="A895" s="180"/>
      <c r="B895" s="169"/>
      <c r="C895" s="169"/>
      <c r="D895" s="169"/>
      <c r="E895" s="169"/>
      <c r="F895" s="169" t="s">
        <v>175</v>
      </c>
      <c r="G895" s="169"/>
      <c r="H895" s="169"/>
      <c r="I895" s="169"/>
      <c r="J895" s="169"/>
      <c r="K895" s="169"/>
      <c r="L895" s="169"/>
      <c r="M895" s="169"/>
      <c r="N895" s="169"/>
      <c r="O895" s="181"/>
      <c r="P895" s="174"/>
    </row>
    <row r="896" spans="1:16" customFormat="1" ht="15" x14ac:dyDescent="0.25">
      <c r="A896" s="180"/>
      <c r="B896" s="182" t="s">
        <v>176</v>
      </c>
      <c r="C896" s="183">
        <v>2.5130536495954273E-2</v>
      </c>
      <c r="D896" s="19"/>
      <c r="E896" s="169"/>
      <c r="F896" s="184" t="s">
        <v>177</v>
      </c>
      <c r="G896" s="279">
        <v>2019</v>
      </c>
      <c r="H896" s="279">
        <v>2020</v>
      </c>
      <c r="I896" s="279">
        <v>2021</v>
      </c>
      <c r="J896" s="279">
        <v>2022</v>
      </c>
      <c r="K896" s="169"/>
      <c r="L896" s="169"/>
      <c r="M896" s="169"/>
      <c r="N896" s="169"/>
      <c r="O896" s="181"/>
      <c r="P896" s="174"/>
    </row>
    <row r="897" spans="1:18" customFormat="1" ht="15" x14ac:dyDescent="0.25">
      <c r="A897" s="180"/>
      <c r="B897" s="169"/>
      <c r="C897" s="169"/>
      <c r="D897" s="169"/>
      <c r="E897" s="169"/>
      <c r="F897" s="184" t="s">
        <v>14</v>
      </c>
      <c r="G897" s="279" t="s">
        <v>66</v>
      </c>
      <c r="H897" s="279" t="s">
        <v>66</v>
      </c>
      <c r="I897" s="279" t="s">
        <v>66</v>
      </c>
      <c r="J897" s="279" t="s">
        <v>66</v>
      </c>
      <c r="K897" s="169"/>
      <c r="L897" s="169"/>
      <c r="M897" s="169"/>
      <c r="N897" s="169"/>
      <c r="O897" s="181"/>
      <c r="P897" s="174"/>
    </row>
    <row r="898" spans="1:18" customFormat="1" ht="15" x14ac:dyDescent="0.25">
      <c r="A898" s="180"/>
      <c r="B898" s="169"/>
      <c r="C898" s="169"/>
      <c r="D898" s="169"/>
      <c r="E898" s="169"/>
      <c r="F898" s="184" t="s">
        <v>178</v>
      </c>
      <c r="G898" s="280">
        <v>9933.1844890000011</v>
      </c>
      <c r="H898" s="280">
        <v>9294.2999999999993</v>
      </c>
      <c r="I898" s="279">
        <v>11226.4</v>
      </c>
      <c r="J898" s="279">
        <v>8292.7000000000007</v>
      </c>
      <c r="K898" s="169"/>
      <c r="L898" s="169"/>
      <c r="M898" s="169"/>
      <c r="N898" s="169"/>
      <c r="O898" s="181"/>
      <c r="P898" s="174"/>
    </row>
    <row r="899" spans="1:18" customFormat="1" ht="15" x14ac:dyDescent="0.25">
      <c r="A899" s="173"/>
      <c r="B899" s="185"/>
      <c r="C899" s="185"/>
      <c r="D899" s="185"/>
      <c r="E899" s="185"/>
      <c r="F899" s="185"/>
      <c r="G899" s="185"/>
      <c r="H899" s="185"/>
      <c r="I899" s="185"/>
      <c r="J899" s="185"/>
      <c r="K899" s="185"/>
      <c r="L899" s="185"/>
      <c r="M899" s="185"/>
      <c r="N899" s="185"/>
      <c r="O899" s="186"/>
      <c r="P899" s="174"/>
    </row>
    <row r="900" spans="1:18" x14ac:dyDescent="0.2">
      <c r="A900" s="168"/>
      <c r="C900" s="170"/>
    </row>
    <row r="901" spans="1:18" x14ac:dyDescent="0.2">
      <c r="A901" s="171" t="s">
        <v>14</v>
      </c>
      <c r="B901" s="172" t="s">
        <v>657</v>
      </c>
      <c r="C901" s="172" t="s">
        <v>15</v>
      </c>
      <c r="D901" s="169"/>
      <c r="E901" s="169"/>
      <c r="F901" s="169"/>
      <c r="G901" s="169"/>
      <c r="H901" s="169"/>
      <c r="I901" s="169"/>
      <c r="J901" s="169"/>
      <c r="K901" s="169"/>
      <c r="L901" s="169"/>
      <c r="M901" s="169"/>
      <c r="N901" s="169"/>
      <c r="O901" s="169"/>
      <c r="P901" s="169"/>
      <c r="Q901" s="169"/>
      <c r="R901" s="169"/>
    </row>
    <row r="902" spans="1:18" s="26" customFormat="1" ht="14.25" x14ac:dyDescent="0.2">
      <c r="A902" s="173" t="s">
        <v>16</v>
      </c>
      <c r="B902" s="187">
        <v>2009</v>
      </c>
      <c r="C902" s="188">
        <v>2010</v>
      </c>
      <c r="D902" s="188">
        <v>2011</v>
      </c>
      <c r="E902" s="188">
        <v>2012</v>
      </c>
      <c r="F902" s="188">
        <v>2013</v>
      </c>
      <c r="G902" s="188">
        <v>2014</v>
      </c>
      <c r="H902" s="188">
        <v>2015</v>
      </c>
      <c r="I902" s="188">
        <v>2016</v>
      </c>
      <c r="J902" s="188">
        <v>2017</v>
      </c>
      <c r="K902" s="188">
        <v>2018</v>
      </c>
      <c r="L902" s="188">
        <v>2019</v>
      </c>
      <c r="M902" s="188">
        <v>2020</v>
      </c>
      <c r="N902" s="188">
        <v>2021</v>
      </c>
      <c r="O902" s="188">
        <v>2022</v>
      </c>
      <c r="P902" s="188">
        <v>2023</v>
      </c>
      <c r="Q902" s="169"/>
    </row>
    <row r="903" spans="1:18" s="26" customFormat="1" ht="14.25" x14ac:dyDescent="0.2">
      <c r="A903" s="175" t="s">
        <v>17</v>
      </c>
      <c r="B903" s="189"/>
      <c r="C903" s="189"/>
      <c r="D903" s="189"/>
      <c r="E903" s="189"/>
      <c r="F903" s="189"/>
      <c r="G903" s="189">
        <v>1355</v>
      </c>
      <c r="H903" s="189">
        <v>1355</v>
      </c>
      <c r="I903" s="189">
        <v>1355</v>
      </c>
      <c r="J903" s="189">
        <v>1355</v>
      </c>
      <c r="K903" s="189">
        <v>1355</v>
      </c>
      <c r="L903" s="189">
        <v>1355</v>
      </c>
      <c r="M903" s="189">
        <v>1355</v>
      </c>
      <c r="N903" s="189">
        <v>1355</v>
      </c>
      <c r="O903" s="189">
        <v>1355</v>
      </c>
      <c r="P903" s="243">
        <v>1630</v>
      </c>
      <c r="Q903" s="169"/>
    </row>
    <row r="904" spans="1:18" s="26" customFormat="1" ht="14.25" x14ac:dyDescent="0.2">
      <c r="A904" s="175" t="s">
        <v>18</v>
      </c>
      <c r="B904" s="189">
        <v>237.31834029985683</v>
      </c>
      <c r="C904" s="189">
        <v>315.5295404143024</v>
      </c>
      <c r="D904" s="189">
        <v>275.05599999999998</v>
      </c>
      <c r="E904" s="189">
        <v>415.68</v>
      </c>
      <c r="F904" s="189">
        <v>341.67599999999999</v>
      </c>
      <c r="G904" s="189">
        <v>1725</v>
      </c>
      <c r="H904" s="189">
        <v>1555</v>
      </c>
      <c r="I904" s="189">
        <v>1693.75</v>
      </c>
      <c r="J904" s="189">
        <v>1717.1</v>
      </c>
      <c r="K904" s="189">
        <v>1893.75</v>
      </c>
      <c r="L904" s="189">
        <v>1936.3</v>
      </c>
      <c r="M904" s="189">
        <v>2693.75</v>
      </c>
      <c r="N904" s="189">
        <v>1693.75</v>
      </c>
      <c r="O904" s="189">
        <v>1693.75</v>
      </c>
      <c r="P904" s="243">
        <f>P903+N907+300</f>
        <v>2136.15</v>
      </c>
      <c r="Q904" s="169"/>
    </row>
    <row r="905" spans="1:18" s="26" customFormat="1" ht="14.25" x14ac:dyDescent="0.2">
      <c r="A905" s="175" t="s">
        <v>19</v>
      </c>
      <c r="B905" s="189"/>
      <c r="C905" s="189"/>
      <c r="D905" s="189"/>
      <c r="E905" s="189"/>
      <c r="F905" s="189"/>
      <c r="G905" s="189"/>
      <c r="H905" s="189"/>
      <c r="I905" s="189"/>
      <c r="J905" s="189"/>
      <c r="K905" s="189"/>
      <c r="L905" s="189"/>
      <c r="M905" s="189"/>
      <c r="N905" s="189"/>
      <c r="O905" s="189"/>
      <c r="P905" s="189"/>
      <c r="Q905" s="169"/>
    </row>
    <row r="906" spans="1:18" s="26" customFormat="1" ht="14.25" x14ac:dyDescent="0.2">
      <c r="A906" s="175" t="s">
        <v>20</v>
      </c>
      <c r="B906" s="189">
        <v>958.10900000000004</v>
      </c>
      <c r="C906" s="189">
        <v>1217.827</v>
      </c>
      <c r="D906" s="189">
        <v>1776.4</v>
      </c>
      <c r="E906" s="189">
        <v>3550.6</v>
      </c>
      <c r="F906" s="189">
        <v>1713.8</v>
      </c>
      <c r="G906" s="189">
        <v>1198.9000000000001</v>
      </c>
      <c r="H906" s="189">
        <v>1392.9</v>
      </c>
      <c r="I906" s="189">
        <v>1212.8</v>
      </c>
      <c r="J906" s="189">
        <v>2135.8000000000002</v>
      </c>
      <c r="K906" s="189">
        <v>1654.5</v>
      </c>
      <c r="L906" s="189">
        <v>1465.57</v>
      </c>
      <c r="M906" s="189">
        <v>1621.8</v>
      </c>
      <c r="N906" s="189">
        <v>1487.6</v>
      </c>
      <c r="O906" s="189">
        <v>1151.8</v>
      </c>
      <c r="P906" s="189"/>
      <c r="Q906" s="169"/>
    </row>
    <row r="907" spans="1:18" s="26" customFormat="1" ht="14.25" x14ac:dyDescent="0.2">
      <c r="A907" s="175" t="s">
        <v>21</v>
      </c>
      <c r="B907" s="189">
        <v>-720.79065970014324</v>
      </c>
      <c r="C907" s="189">
        <v>-902.29745958569765</v>
      </c>
      <c r="D907" s="189">
        <v>-1501.3440000000001</v>
      </c>
      <c r="E907" s="189">
        <v>-3134.92</v>
      </c>
      <c r="F907" s="189">
        <v>-1372.124</v>
      </c>
      <c r="G907" s="189">
        <v>526.09999999999991</v>
      </c>
      <c r="H907" s="189">
        <v>162.09999999999991</v>
      </c>
      <c r="I907" s="189">
        <v>480.95000000000005</v>
      </c>
      <c r="J907" s="189">
        <v>-418.70000000000027</v>
      </c>
      <c r="K907" s="189">
        <v>239.25</v>
      </c>
      <c r="L907" s="189">
        <v>470.73</v>
      </c>
      <c r="M907" s="189">
        <v>1071.95</v>
      </c>
      <c r="N907" s="189">
        <f>N904-N906</f>
        <v>206.15000000000009</v>
      </c>
      <c r="O907" s="189">
        <f>O904-O906</f>
        <v>541.95000000000005</v>
      </c>
      <c r="P907" s="189"/>
      <c r="Q907" s="169"/>
    </row>
    <row r="908" spans="1:18" s="26" customFormat="1" ht="14.25" x14ac:dyDescent="0.2">
      <c r="A908" s="177" t="s">
        <v>22</v>
      </c>
      <c r="B908" s="190"/>
      <c r="C908" s="190"/>
      <c r="D908" s="190"/>
      <c r="E908" s="190"/>
      <c r="F908" s="190"/>
      <c r="G908" s="191">
        <v>2016</v>
      </c>
      <c r="H908" s="191">
        <v>2017</v>
      </c>
      <c r="I908" s="191">
        <v>2018</v>
      </c>
      <c r="J908" s="191">
        <v>2019</v>
      </c>
      <c r="K908" s="191">
        <v>2020</v>
      </c>
      <c r="L908" s="191">
        <v>2021</v>
      </c>
      <c r="M908" s="191">
        <v>2022</v>
      </c>
      <c r="N908" s="191">
        <v>2023</v>
      </c>
      <c r="O908" s="191">
        <v>2024</v>
      </c>
      <c r="P908" s="191">
        <v>2025</v>
      </c>
      <c r="Q908" s="169"/>
    </row>
    <row r="909" spans="1:18" s="26" customFormat="1" ht="14.25" x14ac:dyDescent="0.2">
      <c r="A909" s="177" t="s">
        <v>179</v>
      </c>
      <c r="B909" s="178"/>
      <c r="C909" s="178"/>
      <c r="D909" s="178"/>
      <c r="E909" s="178"/>
      <c r="F909" s="178"/>
      <c r="G909" s="178"/>
      <c r="H909" s="178"/>
      <c r="I909" s="178"/>
      <c r="J909" s="178"/>
      <c r="K909" s="178"/>
      <c r="L909" s="178"/>
      <c r="M909" s="178"/>
      <c r="N909" s="178"/>
      <c r="O909" s="178"/>
      <c r="P909" s="179"/>
      <c r="Q909" s="169"/>
    </row>
    <row r="910" spans="1:18" s="26" customFormat="1" ht="14.25" x14ac:dyDescent="0.2">
      <c r="A910" s="177" t="s">
        <v>180</v>
      </c>
      <c r="B910" s="178"/>
      <c r="C910" s="178"/>
      <c r="D910" s="178"/>
      <c r="E910" s="178"/>
      <c r="F910" s="178"/>
      <c r="G910" s="178"/>
      <c r="H910" s="178"/>
      <c r="I910" s="178"/>
      <c r="J910" s="178"/>
      <c r="K910" s="178"/>
      <c r="L910" s="178"/>
      <c r="M910" s="178"/>
      <c r="N910" s="178"/>
      <c r="O910" s="178"/>
      <c r="P910" s="179"/>
      <c r="Q910" s="169"/>
    </row>
    <row r="911" spans="1:18" s="26" customFormat="1" ht="14.25" x14ac:dyDescent="0.2">
      <c r="A911" s="180" t="s">
        <v>181</v>
      </c>
      <c r="B911" s="169"/>
      <c r="C911" s="169"/>
      <c r="D911" s="169"/>
      <c r="E911" s="169"/>
      <c r="F911" s="169"/>
      <c r="G911" s="169"/>
      <c r="H911" s="169"/>
      <c r="I911" s="169"/>
      <c r="J911" s="169"/>
      <c r="K911" s="169"/>
      <c r="L911" s="169"/>
      <c r="M911" s="169"/>
      <c r="N911" s="169"/>
      <c r="O911" s="169"/>
      <c r="P911" s="181"/>
      <c r="Q911" s="169"/>
    </row>
    <row r="912" spans="1:18" s="26" customFormat="1" ht="14.25" x14ac:dyDescent="0.2">
      <c r="A912" s="180" t="s">
        <v>182</v>
      </c>
      <c r="B912" s="169"/>
      <c r="C912" s="169"/>
      <c r="D912" s="169"/>
      <c r="E912" s="169"/>
      <c r="F912" s="169"/>
      <c r="G912" s="169"/>
      <c r="H912" s="169"/>
      <c r="I912" s="169"/>
      <c r="J912" s="169"/>
      <c r="K912" s="169"/>
      <c r="L912" s="169"/>
      <c r="M912" s="169"/>
      <c r="N912" s="169"/>
      <c r="O912" s="169"/>
      <c r="P912" s="181"/>
      <c r="Q912" s="169"/>
    </row>
    <row r="913" spans="1:18" s="26" customFormat="1" ht="14.25" x14ac:dyDescent="0.2">
      <c r="A913" s="180" t="s">
        <v>183</v>
      </c>
      <c r="B913" s="193"/>
      <c r="C913" s="194"/>
      <c r="D913" s="195"/>
      <c r="E913" s="169"/>
      <c r="F913" s="169"/>
      <c r="G913" s="194"/>
      <c r="H913" s="169"/>
      <c r="I913" s="169"/>
      <c r="J913" s="169"/>
      <c r="K913" s="169"/>
      <c r="L913" s="169"/>
      <c r="M913" s="169"/>
      <c r="N913" s="169"/>
      <c r="O913" s="169"/>
      <c r="P913" s="181"/>
      <c r="Q913" s="169"/>
    </row>
    <row r="914" spans="1:18" s="26" customFormat="1" ht="14.25" x14ac:dyDescent="0.2">
      <c r="A914" s="180" t="s">
        <v>184</v>
      </c>
      <c r="B914" s="169"/>
      <c r="C914" s="169"/>
      <c r="D914" s="169"/>
      <c r="E914" s="169"/>
      <c r="F914" s="169"/>
      <c r="G914" s="169"/>
      <c r="H914" s="169"/>
      <c r="I914" s="169"/>
      <c r="J914" s="169"/>
      <c r="K914" s="169"/>
      <c r="L914" s="169"/>
      <c r="M914" s="169"/>
      <c r="N914" s="169"/>
      <c r="O914" s="169"/>
      <c r="P914" s="181"/>
      <c r="Q914" s="169"/>
    </row>
    <row r="915" spans="1:18" s="26" customFormat="1" ht="14.25" x14ac:dyDescent="0.2">
      <c r="A915" s="180" t="s">
        <v>185</v>
      </c>
      <c r="B915" s="169"/>
      <c r="C915" s="169"/>
      <c r="D915" s="169"/>
      <c r="E915" s="169"/>
      <c r="F915" s="169"/>
      <c r="G915" s="169"/>
      <c r="H915" s="169"/>
      <c r="I915" s="169"/>
      <c r="J915" s="169"/>
      <c r="K915" s="169"/>
      <c r="L915" s="169"/>
      <c r="M915" s="169"/>
      <c r="N915" s="169"/>
      <c r="O915" s="169"/>
      <c r="P915" s="181"/>
      <c r="Q915" s="169"/>
    </row>
    <row r="916" spans="1:18" s="26" customFormat="1" ht="14.25" x14ac:dyDescent="0.2">
      <c r="A916" s="196" t="s">
        <v>221</v>
      </c>
      <c r="B916" s="169"/>
      <c r="C916" s="169"/>
      <c r="D916" s="169"/>
      <c r="E916" s="169"/>
      <c r="F916" s="169"/>
      <c r="G916" s="169"/>
      <c r="H916" s="169"/>
      <c r="I916" s="169"/>
      <c r="J916" s="169"/>
      <c r="K916" s="169"/>
      <c r="L916" s="169"/>
      <c r="M916" s="169"/>
      <c r="N916" s="169"/>
      <c r="O916" s="169"/>
      <c r="P916" s="181"/>
      <c r="Q916" s="169"/>
    </row>
    <row r="917" spans="1:18" s="26" customFormat="1" ht="14.25" x14ac:dyDescent="0.2">
      <c r="A917" s="180" t="s">
        <v>222</v>
      </c>
      <c r="B917" s="169"/>
      <c r="C917" s="169"/>
      <c r="D917" s="169"/>
      <c r="E917" s="169"/>
      <c r="F917" s="169"/>
      <c r="G917" s="194"/>
      <c r="H917" s="169"/>
      <c r="I917" s="169"/>
      <c r="J917" s="169"/>
      <c r="K917" s="169"/>
      <c r="L917" s="169"/>
      <c r="M917" s="169"/>
      <c r="N917" s="169"/>
      <c r="O917" s="169"/>
      <c r="P917" s="181"/>
      <c r="Q917" s="169"/>
    </row>
    <row r="918" spans="1:18" s="199" customFormat="1" x14ac:dyDescent="0.2">
      <c r="A918" s="180" t="s">
        <v>223</v>
      </c>
      <c r="B918" s="197"/>
      <c r="C918" s="197"/>
      <c r="D918" s="197"/>
      <c r="E918" s="197"/>
      <c r="F918" s="197"/>
      <c r="G918" s="300"/>
      <c r="H918" s="197"/>
      <c r="I918" s="197"/>
      <c r="J918" s="197"/>
      <c r="K918" s="197"/>
      <c r="L918" s="197"/>
      <c r="M918" s="197"/>
      <c r="N918" s="197"/>
      <c r="O918" s="197"/>
      <c r="P918" s="198"/>
      <c r="Q918" s="197"/>
    </row>
    <row r="919" spans="1:18" s="199" customFormat="1" x14ac:dyDescent="0.2">
      <c r="A919" s="180" t="s">
        <v>224</v>
      </c>
      <c r="B919" s="197"/>
      <c r="C919" s="197"/>
      <c r="D919" s="197"/>
      <c r="E919" s="197"/>
      <c r="F919" s="197"/>
      <c r="G919" s="301"/>
      <c r="H919" s="197"/>
      <c r="I919" s="197"/>
      <c r="J919" s="197"/>
      <c r="K919" s="197"/>
      <c r="L919" s="197"/>
      <c r="M919" s="197"/>
      <c r="N919" s="197"/>
      <c r="O919" s="197"/>
      <c r="P919" s="198"/>
      <c r="Q919" s="197"/>
    </row>
    <row r="920" spans="1:18" s="199" customFormat="1" x14ac:dyDescent="0.2">
      <c r="A920" s="180" t="s">
        <v>272</v>
      </c>
      <c r="B920" s="197"/>
      <c r="C920" s="197"/>
      <c r="D920" s="197"/>
      <c r="E920" s="197"/>
      <c r="F920" s="197"/>
      <c r="G920" s="301"/>
      <c r="H920" s="197"/>
      <c r="I920" s="197"/>
      <c r="J920" s="197"/>
      <c r="K920" s="197"/>
      <c r="L920" s="197"/>
      <c r="M920" s="197"/>
      <c r="N920" s="197"/>
      <c r="O920" s="197"/>
      <c r="P920" s="198"/>
      <c r="Q920" s="197"/>
    </row>
    <row r="921" spans="1:18" s="26" customFormat="1" ht="14.25" x14ac:dyDescent="0.2">
      <c r="A921" s="200" t="s">
        <v>225</v>
      </c>
      <c r="B921" s="299"/>
      <c r="C921" s="299"/>
      <c r="D921" s="299"/>
      <c r="E921" s="299"/>
      <c r="F921" s="299"/>
      <c r="G921" s="299"/>
      <c r="H921" s="299"/>
      <c r="I921" s="299"/>
      <c r="J921" s="299"/>
      <c r="K921" s="299"/>
      <c r="L921" s="299"/>
      <c r="M921" s="299"/>
      <c r="N921" s="299"/>
      <c r="O921" s="299"/>
      <c r="P921" s="181"/>
      <c r="Q921" s="169"/>
      <c r="R921" s="169"/>
    </row>
    <row r="922" spans="1:18" s="26" customFormat="1" ht="27" customHeight="1" x14ac:dyDescent="0.2">
      <c r="A922" s="711" t="s">
        <v>348</v>
      </c>
      <c r="B922" s="712"/>
      <c r="C922" s="712"/>
      <c r="D922" s="712"/>
      <c r="E922" s="712"/>
      <c r="F922" s="712"/>
      <c r="G922" s="712"/>
      <c r="H922" s="712"/>
      <c r="I922" s="712"/>
      <c r="J922" s="712"/>
      <c r="K922" s="712"/>
      <c r="L922" s="712"/>
      <c r="M922" s="712"/>
      <c r="N922" s="712"/>
      <c r="O922" s="299"/>
      <c r="P922" s="181"/>
      <c r="Q922" s="169"/>
      <c r="R922" s="169"/>
    </row>
    <row r="923" spans="1:18" s="26" customFormat="1" ht="13.9" customHeight="1" x14ac:dyDescent="0.2">
      <c r="A923" s="200" t="s">
        <v>410</v>
      </c>
      <c r="B923" s="299"/>
      <c r="C923" s="299"/>
      <c r="D923" s="299"/>
      <c r="E923" s="299"/>
      <c r="F923" s="299"/>
      <c r="G923" s="299"/>
      <c r="H923" s="299"/>
      <c r="I923" s="299"/>
      <c r="J923" s="299"/>
      <c r="K923" s="299"/>
      <c r="L923" s="299"/>
      <c r="M923" s="299"/>
      <c r="N923" s="299"/>
      <c r="O923" s="299"/>
      <c r="P923" s="181"/>
      <c r="Q923" s="169"/>
      <c r="R923" s="169"/>
    </row>
    <row r="924" spans="1:18" s="26" customFormat="1" ht="13.9" customHeight="1" x14ac:dyDescent="0.2">
      <c r="A924" s="200" t="s">
        <v>658</v>
      </c>
      <c r="B924" s="299"/>
      <c r="C924" s="299"/>
      <c r="D924" s="299"/>
      <c r="E924" s="299"/>
      <c r="F924" s="299"/>
      <c r="G924" s="299"/>
      <c r="H924" s="299"/>
      <c r="I924" s="299"/>
      <c r="J924" s="299"/>
      <c r="K924" s="299"/>
      <c r="L924" s="299"/>
      <c r="M924" s="299"/>
      <c r="N924" s="299"/>
      <c r="O924" s="299"/>
      <c r="P924" s="181"/>
      <c r="Q924" s="169"/>
      <c r="R924" s="169"/>
    </row>
    <row r="925" spans="1:18" s="26" customFormat="1" ht="13.9" customHeight="1" x14ac:dyDescent="0.2">
      <c r="A925" s="463" t="s">
        <v>871</v>
      </c>
      <c r="B925" s="202"/>
      <c r="C925" s="202"/>
      <c r="D925" s="202"/>
      <c r="E925" s="202"/>
      <c r="F925" s="202"/>
      <c r="G925" s="202"/>
      <c r="H925" s="202"/>
      <c r="I925" s="202"/>
      <c r="J925" s="202"/>
      <c r="K925" s="202"/>
      <c r="L925" s="202"/>
      <c r="M925" s="202"/>
      <c r="N925" s="202"/>
      <c r="O925" s="202"/>
      <c r="P925" s="186"/>
      <c r="Q925" s="169"/>
      <c r="R925" s="169"/>
    </row>
    <row r="926" spans="1:18" x14ac:dyDescent="0.2">
      <c r="A926" s="168"/>
      <c r="C926" s="170"/>
    </row>
    <row r="927" spans="1:18" x14ac:dyDescent="0.2">
      <c r="A927" s="171" t="s">
        <v>14</v>
      </c>
      <c r="B927" s="172" t="s">
        <v>637</v>
      </c>
      <c r="C927" s="172" t="s">
        <v>15</v>
      </c>
      <c r="D927" s="169"/>
      <c r="E927" s="169"/>
      <c r="F927" s="169"/>
      <c r="G927" s="169"/>
      <c r="H927" s="169"/>
      <c r="I927" s="169"/>
      <c r="J927" s="169"/>
      <c r="K927" s="169"/>
      <c r="L927" s="169"/>
      <c r="M927" s="169"/>
      <c r="N927" s="169"/>
      <c r="O927" s="169"/>
      <c r="P927" s="169"/>
      <c r="Q927" s="169"/>
      <c r="R927" s="169"/>
    </row>
    <row r="928" spans="1:18" x14ac:dyDescent="0.2">
      <c r="A928" s="173" t="s">
        <v>16</v>
      </c>
      <c r="B928" s="281">
        <v>2009</v>
      </c>
      <c r="C928" s="282">
        <v>2010</v>
      </c>
      <c r="D928" s="282">
        <v>2011</v>
      </c>
      <c r="E928" s="282">
        <v>2012</v>
      </c>
      <c r="F928" s="282">
        <v>2013</v>
      </c>
      <c r="G928" s="282">
        <v>2014</v>
      </c>
      <c r="H928" s="282">
        <v>2015</v>
      </c>
      <c r="I928" s="282">
        <v>2016</v>
      </c>
      <c r="J928" s="282">
        <v>2017</v>
      </c>
      <c r="K928" s="282">
        <v>2018</v>
      </c>
      <c r="L928" s="282">
        <v>2019</v>
      </c>
      <c r="M928" s="282">
        <v>2020</v>
      </c>
      <c r="N928" s="188">
        <v>2021</v>
      </c>
      <c r="O928" s="188">
        <v>2022</v>
      </c>
      <c r="P928" s="188">
        <v>2023</v>
      </c>
      <c r="Q928" s="169"/>
      <c r="R928" s="169"/>
    </row>
    <row r="929" spans="1:18" x14ac:dyDescent="0.2">
      <c r="A929" s="175" t="s">
        <v>17</v>
      </c>
      <c r="B929" s="189">
        <v>842</v>
      </c>
      <c r="C929" s="189">
        <v>842</v>
      </c>
      <c r="D929" s="189">
        <v>842</v>
      </c>
      <c r="E929" s="189">
        <v>842</v>
      </c>
      <c r="F929" s="189">
        <v>842</v>
      </c>
      <c r="G929" s="189">
        <v>842</v>
      </c>
      <c r="H929" s="189">
        <v>842</v>
      </c>
      <c r="I929" s="189">
        <v>842</v>
      </c>
      <c r="J929" s="189">
        <v>842</v>
      </c>
      <c r="K929" s="189">
        <v>842</v>
      </c>
      <c r="L929" s="189">
        <v>842</v>
      </c>
      <c r="M929" s="189">
        <v>842</v>
      </c>
      <c r="N929" s="189">
        <v>842</v>
      </c>
      <c r="O929" s="189">
        <v>842</v>
      </c>
      <c r="P929" s="189">
        <v>842</v>
      </c>
      <c r="Q929" s="169"/>
      <c r="R929" s="169"/>
    </row>
    <row r="930" spans="1:18" x14ac:dyDescent="0.2">
      <c r="A930" s="175" t="s">
        <v>18</v>
      </c>
      <c r="B930" s="189">
        <v>2717.74</v>
      </c>
      <c r="C930" s="189">
        <v>2596.7442299999998</v>
      </c>
      <c r="D930" s="189">
        <v>2707.4306399999996</v>
      </c>
      <c r="E930" s="189">
        <v>2795.2306399999998</v>
      </c>
      <c r="F930" s="189">
        <v>3114.7264100000002</v>
      </c>
      <c r="G930" s="189">
        <v>3408.0264100000004</v>
      </c>
      <c r="H930" s="189">
        <f>1.15*H929-(50+35+25)</f>
        <v>858.3</v>
      </c>
      <c r="I930" s="189">
        <f>I929+H933-50-35-25</f>
        <v>1138.1999999999998</v>
      </c>
      <c r="J930" s="189">
        <f>J929+I933-100-35-25</f>
        <v>1422.4999999999998</v>
      </c>
      <c r="K930" s="189">
        <f>K929*1.15-100-35</f>
        <v>833.3</v>
      </c>
      <c r="L930" s="189">
        <f>L929+K933-100-35-25</f>
        <v>1226</v>
      </c>
      <c r="M930" s="189">
        <f>M929+L933-150-35-25</f>
        <v>1463.0075420000001</v>
      </c>
      <c r="N930" s="189">
        <f>N929+M933-150-35-25</f>
        <v>1688.2075420000001</v>
      </c>
      <c r="O930" s="189">
        <f>O929+N933-150-35-25</f>
        <v>2032.807542</v>
      </c>
      <c r="P930" s="189">
        <v>632</v>
      </c>
      <c r="Q930" s="169"/>
      <c r="R930" s="169"/>
    </row>
    <row r="931" spans="1:18" x14ac:dyDescent="0.2">
      <c r="A931" s="175" t="s">
        <v>19</v>
      </c>
      <c r="B931" s="189"/>
      <c r="C931" s="189"/>
      <c r="D931" s="189"/>
      <c r="E931" s="189"/>
      <c r="F931" s="189"/>
      <c r="G931" s="189"/>
      <c r="H931" s="203"/>
      <c r="I931" s="203"/>
      <c r="J931" s="203"/>
      <c r="K931" s="203"/>
      <c r="L931" s="203"/>
      <c r="M931" s="203"/>
      <c r="N931" s="203"/>
      <c r="O931" s="203"/>
      <c r="P931" s="203"/>
      <c r="Q931" s="169"/>
      <c r="R931" s="169"/>
    </row>
    <row r="932" spans="1:18" x14ac:dyDescent="0.2">
      <c r="A932" s="175" t="s">
        <v>20</v>
      </c>
      <c r="B932" s="189">
        <v>962.99576999999999</v>
      </c>
      <c r="C932" s="189">
        <v>681.31358999999998</v>
      </c>
      <c r="D932" s="189">
        <v>669.2</v>
      </c>
      <c r="E932" s="189">
        <v>437.5</v>
      </c>
      <c r="F932" s="189">
        <v>438.7</v>
      </c>
      <c r="G932" s="189">
        <v>392.9</v>
      </c>
      <c r="H932" s="189">
        <v>452.1</v>
      </c>
      <c r="I932" s="189">
        <v>397.7</v>
      </c>
      <c r="J932" s="189">
        <v>406</v>
      </c>
      <c r="K932" s="189">
        <v>289.3</v>
      </c>
      <c r="L932" s="189">
        <v>394.992458</v>
      </c>
      <c r="M932" s="189">
        <v>406.79999999999995</v>
      </c>
      <c r="N932" s="189">
        <v>287.39999999999998</v>
      </c>
      <c r="O932" s="189">
        <v>381.9</v>
      </c>
      <c r="P932" s="189"/>
      <c r="Q932" s="169"/>
      <c r="R932" s="169"/>
    </row>
    <row r="933" spans="1:18" x14ac:dyDescent="0.2">
      <c r="A933" s="175" t="s">
        <v>21</v>
      </c>
      <c r="B933" s="189">
        <v>1754.7442299999998</v>
      </c>
      <c r="C933" s="189">
        <v>1915.4306399999998</v>
      </c>
      <c r="D933" s="189">
        <v>2038.2306399999995</v>
      </c>
      <c r="E933" s="189">
        <v>2357.7264100000002</v>
      </c>
      <c r="F933" s="189">
        <v>2676.0264100000004</v>
      </c>
      <c r="G933" s="189">
        <v>3015.1264100000003</v>
      </c>
      <c r="H933" s="189">
        <f>H930-H932</f>
        <v>406.19999999999993</v>
      </c>
      <c r="I933" s="189">
        <f t="shared" ref="I933:K933" si="45">I930-I932</f>
        <v>740.49999999999977</v>
      </c>
      <c r="J933" s="189">
        <f t="shared" si="45"/>
        <v>1016.4999999999998</v>
      </c>
      <c r="K933" s="189">
        <f t="shared" si="45"/>
        <v>544</v>
      </c>
      <c r="L933" s="189">
        <f>L930-L932</f>
        <v>831.00754200000006</v>
      </c>
      <c r="M933" s="189">
        <f>M930-M932</f>
        <v>1056.2075420000001</v>
      </c>
      <c r="N933" s="189">
        <f>N930-N932</f>
        <v>1400.807542</v>
      </c>
      <c r="O933" s="189">
        <f>O930-O932</f>
        <v>1650.9075419999999</v>
      </c>
      <c r="P933" s="189"/>
      <c r="Q933" s="169"/>
      <c r="R933" s="169"/>
    </row>
    <row r="934" spans="1:18" x14ac:dyDescent="0.2">
      <c r="A934" s="177" t="s">
        <v>22</v>
      </c>
      <c r="B934" s="204"/>
      <c r="C934" s="204"/>
      <c r="D934" s="204"/>
      <c r="E934" s="204"/>
      <c r="F934" s="204"/>
      <c r="G934" s="204"/>
      <c r="H934" s="204"/>
      <c r="I934" s="204"/>
      <c r="J934" s="204"/>
      <c r="K934" s="204"/>
      <c r="L934" s="204"/>
      <c r="M934" s="204"/>
      <c r="N934" s="205"/>
      <c r="O934" s="205"/>
      <c r="P934" s="205"/>
      <c r="Q934" s="169"/>
      <c r="R934" s="169"/>
    </row>
    <row r="935" spans="1:18" x14ac:dyDescent="0.2">
      <c r="A935" s="177" t="s">
        <v>179</v>
      </c>
      <c r="B935" s="178"/>
      <c r="C935" s="178"/>
      <c r="D935" s="178"/>
      <c r="E935" s="178"/>
      <c r="F935" s="178"/>
      <c r="G935" s="178"/>
      <c r="H935" s="178"/>
      <c r="I935" s="178"/>
      <c r="J935" s="178"/>
      <c r="K935" s="178"/>
      <c r="L935" s="178"/>
      <c r="M935" s="178"/>
      <c r="N935" s="178"/>
      <c r="O935" s="179"/>
      <c r="P935" s="179"/>
      <c r="Q935" s="169"/>
      <c r="R935" s="169"/>
    </row>
    <row r="936" spans="1:18" x14ac:dyDescent="0.2">
      <c r="A936" s="177" t="s">
        <v>186</v>
      </c>
      <c r="B936" s="178"/>
      <c r="C936" s="178"/>
      <c r="D936" s="178"/>
      <c r="E936" s="178"/>
      <c r="F936" s="178"/>
      <c r="G936" s="178"/>
      <c r="H936" s="178"/>
      <c r="I936" s="178"/>
      <c r="J936" s="178"/>
      <c r="K936" s="178"/>
      <c r="L936" s="178"/>
      <c r="M936" s="178"/>
      <c r="N936" s="178"/>
      <c r="O936" s="178"/>
      <c r="P936" s="179"/>
      <c r="Q936" s="169"/>
      <c r="R936" s="169"/>
    </row>
    <row r="937" spans="1:18" x14ac:dyDescent="0.2">
      <c r="A937" s="180" t="s">
        <v>187</v>
      </c>
      <c r="B937" s="169"/>
      <c r="C937" s="169"/>
      <c r="D937" s="169"/>
      <c r="E937" s="169"/>
      <c r="F937" s="169"/>
      <c r="G937" s="169"/>
      <c r="H937" s="169"/>
      <c r="I937" s="169"/>
      <c r="J937" s="169"/>
      <c r="K937" s="169"/>
      <c r="L937" s="169"/>
      <c r="M937" s="169"/>
      <c r="N937" s="169"/>
      <c r="O937" s="169"/>
      <c r="P937" s="181"/>
      <c r="Q937" s="169"/>
      <c r="R937" s="169"/>
    </row>
    <row r="938" spans="1:18" x14ac:dyDescent="0.2">
      <c r="A938" s="206" t="s">
        <v>188</v>
      </c>
      <c r="B938" s="169"/>
      <c r="C938" s="169"/>
      <c r="D938" s="169"/>
      <c r="E938" s="169"/>
      <c r="F938" s="169"/>
      <c r="G938" s="169"/>
      <c r="H938" s="169"/>
      <c r="I938" s="169"/>
      <c r="J938" s="169"/>
      <c r="K938" s="169"/>
      <c r="L938" s="169"/>
      <c r="M938" s="169"/>
      <c r="N938" s="169"/>
      <c r="O938" s="169"/>
      <c r="P938" s="181"/>
      <c r="Q938" s="169"/>
      <c r="R938" s="169"/>
    </row>
    <row r="939" spans="1:18" x14ac:dyDescent="0.2">
      <c r="A939" s="206" t="s">
        <v>189</v>
      </c>
      <c r="B939" s="169"/>
      <c r="C939" s="169"/>
      <c r="D939" s="169"/>
      <c r="E939" s="169"/>
      <c r="F939" s="169"/>
      <c r="G939" s="169"/>
      <c r="H939" s="169"/>
      <c r="I939" s="169"/>
      <c r="J939" s="169"/>
      <c r="K939" s="169"/>
      <c r="L939" s="169"/>
      <c r="M939" s="169"/>
      <c r="N939" s="169"/>
      <c r="O939" s="169"/>
      <c r="P939" s="181"/>
      <c r="Q939" s="169"/>
      <c r="R939" s="169"/>
    </row>
    <row r="940" spans="1:18" x14ac:dyDescent="0.2">
      <c r="A940" s="206" t="s">
        <v>591</v>
      </c>
      <c r="B940" s="169"/>
      <c r="C940" s="169"/>
      <c r="D940" s="169"/>
      <c r="E940" s="169"/>
      <c r="F940" s="169"/>
      <c r="G940" s="169"/>
      <c r="H940" s="169"/>
      <c r="I940" s="169"/>
      <c r="J940" s="169"/>
      <c r="K940" s="169"/>
      <c r="L940" s="169"/>
      <c r="M940" s="169"/>
      <c r="N940" s="169"/>
      <c r="O940" s="169"/>
      <c r="P940" s="181"/>
      <c r="Q940" s="169"/>
      <c r="R940" s="169"/>
    </row>
    <row r="941" spans="1:18" x14ac:dyDescent="0.2">
      <c r="A941" s="196" t="s">
        <v>226</v>
      </c>
      <c r="B941" s="169"/>
      <c r="C941" s="169"/>
      <c r="D941" s="169"/>
      <c r="E941" s="169"/>
      <c r="F941" s="169"/>
      <c r="G941" s="194"/>
      <c r="H941" s="169"/>
      <c r="I941" s="169"/>
      <c r="J941" s="169"/>
      <c r="K941" s="169"/>
      <c r="L941" s="169"/>
      <c r="M941" s="169"/>
      <c r="N941" s="169"/>
      <c r="O941" s="169"/>
      <c r="P941" s="181"/>
      <c r="Q941" s="169"/>
      <c r="R941" s="169"/>
    </row>
    <row r="942" spans="1:18" x14ac:dyDescent="0.2">
      <c r="A942" s="196" t="s">
        <v>227</v>
      </c>
      <c r="B942" s="169"/>
      <c r="C942" s="169"/>
      <c r="D942" s="169"/>
      <c r="E942" s="169"/>
      <c r="F942" s="169"/>
      <c r="G942" s="194"/>
      <c r="H942" s="169"/>
      <c r="I942" s="169"/>
      <c r="J942" s="169"/>
      <c r="K942" s="169"/>
      <c r="L942" s="169"/>
      <c r="M942" s="169"/>
      <c r="N942" s="169"/>
      <c r="O942" s="169"/>
      <c r="P942" s="181"/>
      <c r="Q942" s="169"/>
      <c r="R942" s="169"/>
    </row>
    <row r="943" spans="1:18" x14ac:dyDescent="0.2">
      <c r="A943" s="180" t="s">
        <v>190</v>
      </c>
      <c r="B943" s="193"/>
      <c r="C943" s="194"/>
      <c r="D943" s="195"/>
      <c r="E943" s="169"/>
      <c r="F943" s="169"/>
      <c r="G943" s="194"/>
      <c r="H943" s="169"/>
      <c r="I943" s="169"/>
      <c r="J943" s="169"/>
      <c r="K943" s="169"/>
      <c r="L943" s="169"/>
      <c r="M943" s="169"/>
      <c r="N943" s="169"/>
      <c r="O943" s="169"/>
      <c r="P943" s="181"/>
      <c r="Q943" s="169"/>
      <c r="R943" s="169"/>
    </row>
    <row r="944" spans="1:18" x14ac:dyDescent="0.2">
      <c r="A944" s="180" t="s">
        <v>191</v>
      </c>
      <c r="B944" s="169"/>
      <c r="C944" s="169"/>
      <c r="D944" s="169"/>
      <c r="E944" s="169"/>
      <c r="F944" s="169"/>
      <c r="G944" s="194"/>
      <c r="H944" s="169"/>
      <c r="I944" s="169"/>
      <c r="J944" s="169"/>
      <c r="K944" s="169"/>
      <c r="L944" s="169"/>
      <c r="M944" s="169"/>
      <c r="N944" s="169"/>
      <c r="O944" s="169"/>
      <c r="P944" s="181"/>
      <c r="Q944" s="169"/>
      <c r="R944" s="169"/>
    </row>
    <row r="945" spans="1:18" x14ac:dyDescent="0.2">
      <c r="A945" s="196" t="s">
        <v>388</v>
      </c>
      <c r="B945" s="169"/>
      <c r="C945" s="169"/>
      <c r="D945" s="169"/>
      <c r="E945" s="169"/>
      <c r="F945" s="169"/>
      <c r="G945" s="194"/>
      <c r="H945" s="169"/>
      <c r="I945" s="169"/>
      <c r="J945" s="169"/>
      <c r="K945" s="169"/>
      <c r="L945" s="169"/>
      <c r="M945" s="169"/>
      <c r="N945" s="169"/>
      <c r="O945" s="169"/>
      <c r="P945" s="181"/>
      <c r="Q945" s="169"/>
      <c r="R945" s="169"/>
    </row>
    <row r="946" spans="1:18" x14ac:dyDescent="0.2">
      <c r="A946" s="196" t="s">
        <v>389</v>
      </c>
      <c r="B946" s="169"/>
      <c r="C946" s="169"/>
      <c r="D946" s="169"/>
      <c r="E946" s="169"/>
      <c r="F946" s="169"/>
      <c r="G946" s="194"/>
      <c r="H946" s="169"/>
      <c r="I946" s="169"/>
      <c r="J946" s="169"/>
      <c r="K946" s="169"/>
      <c r="L946" s="169"/>
      <c r="M946" s="169"/>
      <c r="N946" s="169"/>
      <c r="O946" s="169"/>
      <c r="P946" s="181"/>
      <c r="Q946" s="169"/>
      <c r="R946" s="169"/>
    </row>
    <row r="947" spans="1:18" x14ac:dyDescent="0.2">
      <c r="A947" s="196" t="s">
        <v>390</v>
      </c>
      <c r="B947" s="169"/>
      <c r="C947" s="169"/>
      <c r="D947" s="169"/>
      <c r="E947" s="169"/>
      <c r="F947" s="169"/>
      <c r="G947" s="194"/>
      <c r="H947" s="169"/>
      <c r="I947" s="169"/>
      <c r="J947" s="169"/>
      <c r="K947" s="169"/>
      <c r="L947" s="169"/>
      <c r="M947" s="169"/>
      <c r="N947" s="169"/>
      <c r="O947" s="169"/>
      <c r="P947" s="181"/>
      <c r="Q947" s="169"/>
      <c r="R947" s="169"/>
    </row>
    <row r="948" spans="1:18" x14ac:dyDescent="0.2">
      <c r="A948" s="196" t="s">
        <v>391</v>
      </c>
      <c r="B948" s="169"/>
      <c r="C948" s="169"/>
      <c r="D948" s="169"/>
      <c r="E948" s="169"/>
      <c r="F948" s="169"/>
      <c r="G948" s="602"/>
      <c r="H948" s="169"/>
      <c r="I948" s="169"/>
      <c r="J948" s="169"/>
      <c r="K948" s="169"/>
      <c r="L948" s="169"/>
      <c r="M948" s="169"/>
      <c r="N948" s="169"/>
      <c r="O948" s="169"/>
      <c r="P948" s="181"/>
      <c r="Q948" s="169"/>
      <c r="R948" s="169"/>
    </row>
    <row r="949" spans="1:18" ht="13.15" customHeight="1" x14ac:dyDescent="0.2">
      <c r="A949" s="200" t="s">
        <v>392</v>
      </c>
      <c r="B949" s="603"/>
      <c r="C949" s="603"/>
      <c r="D949" s="603"/>
      <c r="E949" s="603"/>
      <c r="F949" s="603"/>
      <c r="G949" s="603"/>
      <c r="H949" s="603"/>
      <c r="I949" s="603"/>
      <c r="J949" s="603"/>
      <c r="K949" s="603"/>
      <c r="L949" s="603"/>
      <c r="M949" s="603"/>
      <c r="N949" s="603"/>
      <c r="O949" s="603"/>
      <c r="P949" s="181"/>
      <c r="Q949" s="169"/>
      <c r="R949" s="169"/>
    </row>
    <row r="950" spans="1:18" ht="13.15" customHeight="1" x14ac:dyDescent="0.2">
      <c r="A950" s="200" t="s">
        <v>393</v>
      </c>
      <c r="B950" s="603"/>
      <c r="C950" s="603"/>
      <c r="D950" s="603"/>
      <c r="E950" s="603"/>
      <c r="F950" s="603"/>
      <c r="G950" s="603"/>
      <c r="H950" s="603"/>
      <c r="I950" s="603"/>
      <c r="J950" s="603"/>
      <c r="K950" s="603"/>
      <c r="L950" s="603"/>
      <c r="M950" s="603"/>
      <c r="N950" s="603"/>
      <c r="O950" s="603"/>
      <c r="P950" s="181"/>
      <c r="Q950" s="169"/>
      <c r="R950" s="169"/>
    </row>
    <row r="951" spans="1:18" ht="13.15" customHeight="1" x14ac:dyDescent="0.2">
      <c r="A951" s="200" t="s">
        <v>578</v>
      </c>
      <c r="B951" s="603"/>
      <c r="C951" s="603"/>
      <c r="D951" s="603"/>
      <c r="E951" s="603"/>
      <c r="F951" s="603"/>
      <c r="G951" s="603"/>
      <c r="H951" s="603"/>
      <c r="I951" s="603"/>
      <c r="J951" s="603"/>
      <c r="K951" s="603"/>
      <c r="L951" s="603"/>
      <c r="M951" s="603"/>
      <c r="N951" s="603"/>
      <c r="O951" s="603"/>
      <c r="P951" s="181"/>
      <c r="Q951" s="169"/>
      <c r="R951" s="169"/>
    </row>
    <row r="952" spans="1:18" ht="13.15" customHeight="1" x14ac:dyDescent="0.2">
      <c r="A952" s="200" t="s">
        <v>735</v>
      </c>
      <c r="B952" s="603"/>
      <c r="C952" s="603"/>
      <c r="D952" s="603"/>
      <c r="E952" s="603"/>
      <c r="F952" s="603"/>
      <c r="G952" s="603"/>
      <c r="H952" s="603"/>
      <c r="I952" s="603"/>
      <c r="J952" s="603"/>
      <c r="K952" s="603"/>
      <c r="L952" s="603"/>
      <c r="M952" s="603"/>
      <c r="N952" s="603"/>
      <c r="O952" s="603"/>
      <c r="P952" s="181"/>
      <c r="Q952" s="169"/>
      <c r="R952" s="169"/>
    </row>
    <row r="953" spans="1:18" ht="13.15" customHeight="1" x14ac:dyDescent="0.2">
      <c r="A953" s="201" t="s">
        <v>872</v>
      </c>
      <c r="B953" s="207"/>
      <c r="C953" s="207"/>
      <c r="D953" s="207"/>
      <c r="E953" s="207"/>
      <c r="F953" s="207"/>
      <c r="G953" s="207"/>
      <c r="H953" s="207"/>
      <c r="I953" s="207"/>
      <c r="J953" s="207"/>
      <c r="K953" s="207"/>
      <c r="L953" s="207"/>
      <c r="M953" s="207"/>
      <c r="N953" s="207"/>
      <c r="O953" s="207"/>
      <c r="P953" s="186"/>
      <c r="Q953" s="169"/>
      <c r="R953" s="169"/>
    </row>
    <row r="954" spans="1:18" x14ac:dyDescent="0.2">
      <c r="A954" s="168"/>
      <c r="C954" s="170"/>
    </row>
    <row r="955" spans="1:18" x14ac:dyDescent="0.2">
      <c r="A955" s="171" t="s">
        <v>14</v>
      </c>
      <c r="B955" s="172" t="s">
        <v>660</v>
      </c>
      <c r="C955" s="172" t="s">
        <v>15</v>
      </c>
      <c r="D955" s="169"/>
      <c r="E955" s="169"/>
      <c r="F955" s="169"/>
      <c r="G955" s="169"/>
      <c r="H955" s="169"/>
      <c r="I955" s="169"/>
      <c r="J955" s="169"/>
      <c r="K955" s="169"/>
      <c r="L955" s="169"/>
      <c r="M955" s="169"/>
      <c r="N955" s="169"/>
      <c r="O955" s="169"/>
      <c r="P955" s="169"/>
    </row>
    <row r="956" spans="1:18" x14ac:dyDescent="0.2">
      <c r="A956" s="173" t="s">
        <v>16</v>
      </c>
      <c r="B956" s="187">
        <v>2009</v>
      </c>
      <c r="C956" s="188">
        <v>2010</v>
      </c>
      <c r="D956" s="188">
        <v>2011</v>
      </c>
      <c r="E956" s="188">
        <v>2012</v>
      </c>
      <c r="F956" s="188">
        <v>2013</v>
      </c>
      <c r="G956" s="188">
        <v>2014</v>
      </c>
      <c r="H956" s="188">
        <v>2015</v>
      </c>
      <c r="I956" s="188">
        <v>2016</v>
      </c>
      <c r="J956" s="282">
        <v>2017</v>
      </c>
      <c r="K956" s="282">
        <v>2018</v>
      </c>
      <c r="L956" s="282">
        <v>2019</v>
      </c>
      <c r="M956" s="282">
        <v>2020</v>
      </c>
      <c r="N956" s="188">
        <v>2021</v>
      </c>
      <c r="O956" s="188">
        <v>2022</v>
      </c>
      <c r="P956" s="188">
        <v>2023</v>
      </c>
      <c r="Q956" s="169"/>
    </row>
    <row r="957" spans="1:18" x14ac:dyDescent="0.2">
      <c r="A957" s="175" t="s">
        <v>17</v>
      </c>
      <c r="B957" s="189">
        <v>1080</v>
      </c>
      <c r="C957" s="189">
        <v>901</v>
      </c>
      <c r="D957" s="189">
        <v>901</v>
      </c>
      <c r="E957" s="189">
        <v>901</v>
      </c>
      <c r="F957" s="189">
        <v>901</v>
      </c>
      <c r="G957" s="189">
        <v>901</v>
      </c>
      <c r="H957" s="189">
        <v>901</v>
      </c>
      <c r="I957" s="189">
        <v>901</v>
      </c>
      <c r="J957" s="189">
        <v>901</v>
      </c>
      <c r="K957" s="189">
        <v>901</v>
      </c>
      <c r="L957" s="189">
        <v>901</v>
      </c>
      <c r="M957" s="189">
        <v>901</v>
      </c>
      <c r="N957" s="176">
        <v>901</v>
      </c>
      <c r="O957" s="176">
        <v>901</v>
      </c>
      <c r="P957" s="176">
        <v>901</v>
      </c>
      <c r="Q957" s="169"/>
    </row>
    <row r="958" spans="1:18" x14ac:dyDescent="0.2">
      <c r="A958" s="175" t="s">
        <v>18</v>
      </c>
      <c r="B958" s="189">
        <v>1775.91</v>
      </c>
      <c r="C958" s="189">
        <v>1651</v>
      </c>
      <c r="D958" s="189">
        <v>851</v>
      </c>
      <c r="E958" s="189">
        <v>1288.26477</v>
      </c>
      <c r="F958" s="189">
        <v>425.70000000000005</v>
      </c>
      <c r="G958" s="189">
        <v>1298.56477</v>
      </c>
      <c r="H958" s="189">
        <v>318.5</v>
      </c>
      <c r="I958" s="189">
        <v>1359.46477</v>
      </c>
      <c r="J958" s="189">
        <v>999.7</v>
      </c>
      <c r="K958" s="189">
        <v>1339.56477</v>
      </c>
      <c r="L958" s="189">
        <v>1191.2</v>
      </c>
      <c r="M958" s="189">
        <v>1451</v>
      </c>
      <c r="N958" s="189">
        <v>1380.1631280000001</v>
      </c>
      <c r="O958" s="189">
        <f>O957+600-50</f>
        <v>1451</v>
      </c>
      <c r="P958" s="189">
        <f>P957+600-50</f>
        <v>1451</v>
      </c>
      <c r="Q958" s="169"/>
    </row>
    <row r="959" spans="1:18" x14ac:dyDescent="0.2">
      <c r="A959" s="175" t="s">
        <v>19</v>
      </c>
      <c r="B959" s="189"/>
      <c r="C959" s="189"/>
      <c r="D959" s="189"/>
      <c r="E959" s="189"/>
      <c r="F959" s="189"/>
      <c r="G959" s="189"/>
      <c r="H959" s="189"/>
      <c r="I959" s="189"/>
      <c r="J959" s="189"/>
      <c r="K959" s="189"/>
      <c r="L959" s="189"/>
      <c r="M959" s="189"/>
      <c r="N959" s="176"/>
      <c r="O959" s="176"/>
      <c r="P959" s="176"/>
      <c r="Q959" s="169"/>
    </row>
    <row r="960" spans="1:18" x14ac:dyDescent="0.2">
      <c r="A960" s="175" t="s">
        <v>20</v>
      </c>
      <c r="B960" s="189">
        <v>900.11276999999995</v>
      </c>
      <c r="C960" s="189">
        <v>1213.73523</v>
      </c>
      <c r="D960" s="189">
        <v>1276.3</v>
      </c>
      <c r="E960" s="189">
        <v>840.7</v>
      </c>
      <c r="F960" s="189">
        <v>958.2</v>
      </c>
      <c r="G960" s="189">
        <v>790.1</v>
      </c>
      <c r="H960" s="189">
        <v>569.79999999999995</v>
      </c>
      <c r="I960" s="189">
        <v>870.9</v>
      </c>
      <c r="J960" s="189">
        <v>659.5</v>
      </c>
      <c r="K960" s="189">
        <v>698</v>
      </c>
      <c r="L960" s="189">
        <v>662.0368719999999</v>
      </c>
      <c r="M960" s="189">
        <v>444</v>
      </c>
      <c r="N960" s="176">
        <v>659</v>
      </c>
      <c r="O960" s="176">
        <v>305.39999999999998</v>
      </c>
      <c r="P960" s="176"/>
      <c r="Q960" s="169"/>
    </row>
    <row r="961" spans="1:17" x14ac:dyDescent="0.2">
      <c r="A961" s="175" t="s">
        <v>21</v>
      </c>
      <c r="B961" s="189">
        <v>875.79723000000013</v>
      </c>
      <c r="C961" s="189">
        <v>437.26477</v>
      </c>
      <c r="D961" s="189">
        <v>425.3</v>
      </c>
      <c r="E961" s="189">
        <v>447.56476999999995</v>
      </c>
      <c r="F961" s="189">
        <v>532.5</v>
      </c>
      <c r="G961" s="189">
        <v>508.46476999999993</v>
      </c>
      <c r="H961" s="189">
        <v>148.70000000000005</v>
      </c>
      <c r="I961" s="189">
        <v>488.56477000000007</v>
      </c>
      <c r="J961" s="189">
        <v>340.20000000000005</v>
      </c>
      <c r="K961" s="189">
        <v>641.56476999999995</v>
      </c>
      <c r="L961" s="189">
        <v>529.16312800000014</v>
      </c>
      <c r="M961" s="189">
        <f>M958-M960</f>
        <v>1007</v>
      </c>
      <c r="N961" s="176">
        <f>N958-N960</f>
        <v>721.16312800000014</v>
      </c>
      <c r="O961" s="176">
        <f>O958-O960</f>
        <v>1145.5999999999999</v>
      </c>
      <c r="P961" s="176"/>
      <c r="Q961" s="169"/>
    </row>
    <row r="962" spans="1:17" x14ac:dyDescent="0.2">
      <c r="A962" s="177" t="s">
        <v>22</v>
      </c>
      <c r="B962" s="190"/>
      <c r="C962" s="190"/>
      <c r="D962" s="190"/>
      <c r="E962" s="190"/>
      <c r="F962" s="190"/>
      <c r="G962" s="190"/>
      <c r="H962" s="190"/>
      <c r="I962" s="190"/>
      <c r="J962" s="204"/>
      <c r="K962" s="204"/>
      <c r="L962" s="204"/>
      <c r="M962" s="204"/>
      <c r="N962" s="205"/>
      <c r="O962" s="205"/>
      <c r="P962" s="205"/>
      <c r="Q962" s="169"/>
    </row>
    <row r="963" spans="1:17" x14ac:dyDescent="0.2">
      <c r="A963" s="177" t="s">
        <v>179</v>
      </c>
      <c r="B963" s="178"/>
      <c r="C963" s="178"/>
      <c r="D963" s="178"/>
      <c r="E963" s="178"/>
      <c r="F963" s="178"/>
      <c r="G963" s="178"/>
      <c r="H963" s="178"/>
      <c r="I963" s="178"/>
      <c r="J963" s="178"/>
      <c r="K963" s="178"/>
      <c r="L963" s="178"/>
      <c r="M963" s="178"/>
      <c r="N963" s="178"/>
      <c r="O963" s="179"/>
      <c r="P963" s="179"/>
      <c r="Q963" s="169"/>
    </row>
    <row r="964" spans="1:17" x14ac:dyDescent="0.2">
      <c r="A964" s="177" t="s">
        <v>421</v>
      </c>
      <c r="B964" s="178"/>
      <c r="C964" s="178"/>
      <c r="D964" s="178"/>
      <c r="E964" s="178"/>
      <c r="F964" s="178"/>
      <c r="G964" s="178"/>
      <c r="H964" s="178"/>
      <c r="I964" s="178"/>
      <c r="J964" s="178"/>
      <c r="K964" s="178"/>
      <c r="L964" s="178"/>
      <c r="M964" s="178"/>
      <c r="N964" s="178"/>
      <c r="O964" s="178"/>
      <c r="P964" s="179"/>
      <c r="Q964" s="169"/>
    </row>
    <row r="965" spans="1:17" x14ac:dyDescent="0.2">
      <c r="A965" s="180" t="s">
        <v>422</v>
      </c>
      <c r="B965" s="169"/>
      <c r="C965" s="169"/>
      <c r="D965" s="169"/>
      <c r="E965" s="169"/>
      <c r="F965" s="169"/>
      <c r="G965" s="169"/>
      <c r="H965" s="169"/>
      <c r="I965" s="169"/>
      <c r="J965" s="169"/>
      <c r="K965" s="169"/>
      <c r="L965" s="169"/>
      <c r="M965" s="169"/>
      <c r="N965" s="169"/>
      <c r="O965" s="169"/>
      <c r="P965" s="181"/>
      <c r="Q965" s="169"/>
    </row>
    <row r="966" spans="1:17" x14ac:dyDescent="0.2">
      <c r="A966" s="180" t="s">
        <v>423</v>
      </c>
      <c r="B966" s="169"/>
      <c r="C966" s="169"/>
      <c r="D966" s="169"/>
      <c r="E966" s="169"/>
      <c r="F966" s="169"/>
      <c r="G966" s="169"/>
      <c r="H966" s="169"/>
      <c r="I966" s="169"/>
      <c r="J966" s="169"/>
      <c r="K966" s="169"/>
      <c r="L966" s="169"/>
      <c r="M966" s="169"/>
      <c r="N966" s="169"/>
      <c r="O966" s="169"/>
      <c r="P966" s="181"/>
      <c r="Q966" s="169"/>
    </row>
    <row r="967" spans="1:17" x14ac:dyDescent="0.2">
      <c r="A967" s="180" t="s">
        <v>424</v>
      </c>
      <c r="B967" s="169"/>
      <c r="C967" s="169"/>
      <c r="D967" s="169"/>
      <c r="E967" s="169"/>
      <c r="F967" s="169"/>
      <c r="G967" s="169"/>
      <c r="H967" s="169"/>
      <c r="I967" s="169"/>
      <c r="J967" s="169"/>
      <c r="K967" s="169"/>
      <c r="L967" s="169"/>
      <c r="M967" s="169"/>
      <c r="N967" s="169"/>
      <c r="O967" s="169"/>
      <c r="P967" s="181"/>
      <c r="Q967" s="169"/>
    </row>
    <row r="968" spans="1:17" x14ac:dyDescent="0.2">
      <c r="A968" s="180" t="s">
        <v>425</v>
      </c>
      <c r="B968" s="193"/>
      <c r="C968" s="194"/>
      <c r="D968" s="195"/>
      <c r="E968" s="169"/>
      <c r="F968" s="169"/>
      <c r="G968" s="194"/>
      <c r="H968" s="169"/>
      <c r="I968" s="169"/>
      <c r="J968" s="169"/>
      <c r="K968" s="169"/>
      <c r="L968" s="169"/>
      <c r="M968" s="169"/>
      <c r="N968" s="169"/>
      <c r="O968" s="169"/>
      <c r="P968" s="181"/>
      <c r="Q968" s="169"/>
    </row>
    <row r="969" spans="1:17" x14ac:dyDescent="0.2">
      <c r="A969" s="180" t="s">
        <v>426</v>
      </c>
      <c r="B969" s="169"/>
      <c r="C969" s="169"/>
      <c r="D969" s="169"/>
      <c r="E969" s="169"/>
      <c r="F969" s="169"/>
      <c r="G969" s="194"/>
      <c r="H969" s="169"/>
      <c r="I969" s="169"/>
      <c r="J969" s="169"/>
      <c r="K969" s="169"/>
      <c r="L969" s="169"/>
      <c r="M969" s="169"/>
      <c r="N969" s="169"/>
      <c r="O969" s="169"/>
      <c r="P969" s="181"/>
      <c r="Q969" s="169"/>
    </row>
    <row r="970" spans="1:17" x14ac:dyDescent="0.2">
      <c r="A970" s="180" t="s">
        <v>427</v>
      </c>
      <c r="B970" s="169"/>
      <c r="C970" s="169"/>
      <c r="D970" s="169"/>
      <c r="E970" s="169"/>
      <c r="F970" s="169"/>
      <c r="G970" s="194"/>
      <c r="H970" s="169"/>
      <c r="I970" s="169"/>
      <c r="J970" s="169"/>
      <c r="K970" s="169"/>
      <c r="L970" s="169"/>
      <c r="M970" s="169"/>
      <c r="N970" s="169"/>
      <c r="O970" s="169"/>
      <c r="P970" s="181"/>
      <c r="Q970" s="169"/>
    </row>
    <row r="971" spans="1:17" x14ac:dyDescent="0.2">
      <c r="A971" s="180" t="s">
        <v>428</v>
      </c>
      <c r="B971" s="169"/>
      <c r="C971" s="169"/>
      <c r="D971" s="169"/>
      <c r="E971" s="169"/>
      <c r="F971" s="169"/>
      <c r="G971" s="194"/>
      <c r="H971" s="169"/>
      <c r="I971" s="169"/>
      <c r="J971" s="169"/>
      <c r="K971" s="169"/>
      <c r="L971" s="169"/>
      <c r="M971" s="169"/>
      <c r="N971" s="169"/>
      <c r="O971" s="169"/>
      <c r="P971" s="181"/>
      <c r="Q971" s="169"/>
    </row>
    <row r="972" spans="1:17" x14ac:dyDescent="0.2">
      <c r="A972" s="206" t="s">
        <v>429</v>
      </c>
      <c r="B972" s="169"/>
      <c r="C972" s="169"/>
      <c r="D972" s="169"/>
      <c r="E972" s="169"/>
      <c r="F972" s="169"/>
      <c r="G972" s="602"/>
      <c r="H972" s="169"/>
      <c r="I972" s="169"/>
      <c r="J972" s="169"/>
      <c r="K972" s="169"/>
      <c r="L972" s="169"/>
      <c r="M972" s="169"/>
      <c r="N972" s="169"/>
      <c r="O972" s="169"/>
      <c r="P972" s="181"/>
      <c r="Q972" s="169"/>
    </row>
    <row r="973" spans="1:17" x14ac:dyDescent="0.2">
      <c r="A973" s="196" t="s">
        <v>228</v>
      </c>
      <c r="B973" s="169"/>
      <c r="C973" s="169"/>
      <c r="D973" s="169"/>
      <c r="E973" s="169"/>
      <c r="F973" s="169"/>
      <c r="G973" s="169"/>
      <c r="H973" s="169"/>
      <c r="I973" s="169"/>
      <c r="J973" s="169"/>
      <c r="K973" s="169"/>
      <c r="L973" s="169"/>
      <c r="M973" s="169"/>
      <c r="N973" s="169"/>
      <c r="O973" s="169"/>
      <c r="P973" s="181"/>
      <c r="Q973" s="169"/>
    </row>
    <row r="974" spans="1:17" x14ac:dyDescent="0.2">
      <c r="A974" s="196" t="s">
        <v>229</v>
      </c>
      <c r="B974" s="169"/>
      <c r="C974" s="169"/>
      <c r="D974" s="169"/>
      <c r="E974" s="169"/>
      <c r="F974" s="169"/>
      <c r="G974" s="169"/>
      <c r="H974" s="169"/>
      <c r="I974" s="169"/>
      <c r="J974" s="169"/>
      <c r="K974" s="169"/>
      <c r="L974" s="169"/>
      <c r="M974" s="169"/>
      <c r="N974" s="169"/>
      <c r="O974" s="169"/>
      <c r="P974" s="181"/>
      <c r="Q974" s="169"/>
    </row>
    <row r="975" spans="1:17" x14ac:dyDescent="0.2">
      <c r="A975" s="196" t="s">
        <v>430</v>
      </c>
      <c r="B975" s="169"/>
      <c r="C975" s="169"/>
      <c r="D975" s="169"/>
      <c r="E975" s="169"/>
      <c r="F975" s="169"/>
      <c r="G975" s="169"/>
      <c r="H975" s="169"/>
      <c r="I975" s="169"/>
      <c r="J975" s="169"/>
      <c r="K975" s="169"/>
      <c r="L975" s="169"/>
      <c r="M975" s="169"/>
      <c r="N975" s="169"/>
      <c r="O975" s="169"/>
      <c r="P975" s="181"/>
      <c r="Q975" s="169"/>
    </row>
    <row r="976" spans="1:17" x14ac:dyDescent="0.2">
      <c r="A976" s="196" t="s">
        <v>659</v>
      </c>
      <c r="B976" s="169"/>
      <c r="C976" s="169"/>
      <c r="D976" s="169"/>
      <c r="E976" s="169"/>
      <c r="F976" s="169"/>
      <c r="G976" s="169"/>
      <c r="H976" s="169"/>
      <c r="I976" s="169"/>
      <c r="J976" s="169"/>
      <c r="K976" s="169"/>
      <c r="L976" s="169"/>
      <c r="M976" s="169"/>
      <c r="N976" s="169"/>
      <c r="O976" s="169"/>
      <c r="P976" s="181"/>
      <c r="Q976" s="169"/>
    </row>
    <row r="977" spans="1:17" x14ac:dyDescent="0.2">
      <c r="A977" s="208" t="s">
        <v>873</v>
      </c>
      <c r="B977" s="185"/>
      <c r="C977" s="185"/>
      <c r="D977" s="185"/>
      <c r="E977" s="185"/>
      <c r="F977" s="185"/>
      <c r="G977" s="185"/>
      <c r="H977" s="185"/>
      <c r="I977" s="185"/>
      <c r="J977" s="185"/>
      <c r="K977" s="185"/>
      <c r="L977" s="185"/>
      <c r="M977" s="185"/>
      <c r="N977" s="185"/>
      <c r="O977" s="185"/>
      <c r="P977" s="186"/>
      <c r="Q977" s="169"/>
    </row>
    <row r="978" spans="1:17" x14ac:dyDescent="0.2">
      <c r="A978" s="168"/>
      <c r="C978" s="170"/>
    </row>
    <row r="979" spans="1:17" x14ac:dyDescent="0.2">
      <c r="A979" s="171" t="s">
        <v>14</v>
      </c>
      <c r="B979" s="172" t="s">
        <v>661</v>
      </c>
      <c r="C979" s="209" t="s">
        <v>15</v>
      </c>
      <c r="D979" s="169"/>
      <c r="E979" s="169"/>
      <c r="F979" s="169"/>
      <c r="G979" s="169"/>
      <c r="H979" s="169"/>
      <c r="I979" s="169"/>
      <c r="J979" s="169"/>
      <c r="K979" s="169"/>
      <c r="L979" s="169"/>
      <c r="M979" s="169"/>
    </row>
    <row r="980" spans="1:17" customFormat="1" ht="15" x14ac:dyDescent="0.25">
      <c r="A980" s="175" t="s">
        <v>16</v>
      </c>
      <c r="B980" s="188">
        <v>2009</v>
      </c>
      <c r="C980" s="188">
        <v>2010</v>
      </c>
      <c r="D980" s="188">
        <v>2011</v>
      </c>
      <c r="E980" s="188">
        <v>2012</v>
      </c>
      <c r="F980" s="188">
        <v>2013</v>
      </c>
      <c r="G980" s="188">
        <v>2014</v>
      </c>
      <c r="H980" s="188">
        <v>2015</v>
      </c>
      <c r="I980" s="188">
        <v>2016</v>
      </c>
      <c r="J980" s="188">
        <v>2017</v>
      </c>
      <c r="K980" s="188">
        <v>2018</v>
      </c>
      <c r="L980" s="188">
        <v>2019</v>
      </c>
      <c r="M980" s="188">
        <v>2020</v>
      </c>
      <c r="N980" s="188">
        <v>2021</v>
      </c>
      <c r="O980" s="188">
        <v>2022</v>
      </c>
      <c r="P980" s="188">
        <v>2023</v>
      </c>
      <c r="Q980" s="174"/>
    </row>
    <row r="981" spans="1:17" customFormat="1" ht="15" x14ac:dyDescent="0.25">
      <c r="A981" s="175" t="s">
        <v>17</v>
      </c>
      <c r="B981" s="210">
        <v>1871.44</v>
      </c>
      <c r="C981" s="210">
        <v>1148.05</v>
      </c>
      <c r="D981" s="210">
        <v>1097.03</v>
      </c>
      <c r="E981" s="210">
        <v>1097.03</v>
      </c>
      <c r="F981" s="210">
        <v>1139.55</v>
      </c>
      <c r="G981" s="210">
        <v>1139.55</v>
      </c>
      <c r="H981" s="210">
        <v>1345.44</v>
      </c>
      <c r="I981" s="210">
        <v>1608.21</v>
      </c>
      <c r="J981" s="210">
        <v>1930.88</v>
      </c>
      <c r="K981" s="210">
        <v>2279</v>
      </c>
      <c r="L981" s="210">
        <v>2544</v>
      </c>
      <c r="M981" s="210">
        <v>2819</v>
      </c>
      <c r="N981" s="189">
        <v>2819</v>
      </c>
      <c r="O981" s="189">
        <v>2819</v>
      </c>
      <c r="P981" s="189">
        <v>3114</v>
      </c>
      <c r="Q981" s="174"/>
    </row>
    <row r="982" spans="1:17" customFormat="1" ht="15" x14ac:dyDescent="0.25">
      <c r="A982" s="175" t="s">
        <v>18</v>
      </c>
      <c r="B982" s="210">
        <v>1871.44</v>
      </c>
      <c r="C982" s="210">
        <v>1148.05</v>
      </c>
      <c r="D982" s="210">
        <v>1097.03</v>
      </c>
      <c r="E982" s="210">
        <v>1097.03</v>
      </c>
      <c r="F982" s="210">
        <v>1139.55</v>
      </c>
      <c r="G982" s="210">
        <v>1139.55</v>
      </c>
      <c r="H982" s="210">
        <v>1390.44</v>
      </c>
      <c r="I982" s="210">
        <v>1583.21</v>
      </c>
      <c r="J982" s="210">
        <v>1910.88</v>
      </c>
      <c r="K982" s="210">
        <v>2279</v>
      </c>
      <c r="L982" s="210">
        <v>2544</v>
      </c>
      <c r="M982" s="210">
        <v>2839.27</v>
      </c>
      <c r="N982" s="189">
        <f>N981+M985</f>
        <v>2876.6439600000003</v>
      </c>
      <c r="O982" s="189">
        <f>O981+N985</f>
        <v>2915.6539600000006</v>
      </c>
      <c r="P982" s="189">
        <f>P981+O985</f>
        <v>3158.3939600000003</v>
      </c>
      <c r="Q982" s="174"/>
    </row>
    <row r="983" spans="1:17" customFormat="1" ht="15" x14ac:dyDescent="0.25">
      <c r="A983" s="175" t="s">
        <v>19</v>
      </c>
      <c r="B983" s="189"/>
      <c r="C983" s="189"/>
      <c r="D983" s="189"/>
      <c r="E983" s="189"/>
      <c r="F983" s="189"/>
      <c r="G983" s="189"/>
      <c r="H983" s="189"/>
      <c r="I983" s="189"/>
      <c r="J983" s="189"/>
      <c r="K983" s="189"/>
      <c r="L983" s="189"/>
      <c r="M983" s="189"/>
      <c r="N983" s="189"/>
      <c r="O983" s="189"/>
      <c r="P983" s="189"/>
      <c r="Q983" s="174"/>
    </row>
    <row r="984" spans="1:17" customFormat="1" ht="15" x14ac:dyDescent="0.25">
      <c r="A984" s="175" t="s">
        <v>20</v>
      </c>
      <c r="B984" s="210">
        <v>1858.2</v>
      </c>
      <c r="C984" s="189">
        <v>1139.2777599999999</v>
      </c>
      <c r="D984" s="189">
        <v>1088.8235599999998</v>
      </c>
      <c r="E984" s="189">
        <v>1092.5993599999999</v>
      </c>
      <c r="F984" s="189">
        <v>1128.97</v>
      </c>
      <c r="G984" s="189">
        <v>1134.47</v>
      </c>
      <c r="H984" s="189">
        <v>1385.92</v>
      </c>
      <c r="I984" s="189">
        <v>1578.37</v>
      </c>
      <c r="J984" s="189">
        <v>1910.65104</v>
      </c>
      <c r="K984" s="189">
        <v>2269.7609000000002</v>
      </c>
      <c r="L984" s="189">
        <v>2523.73</v>
      </c>
      <c r="M984" s="189">
        <v>2781.6260399999996</v>
      </c>
      <c r="N984" s="189">
        <v>2779.99</v>
      </c>
      <c r="O984" s="189">
        <v>2871.26</v>
      </c>
      <c r="P984" s="189"/>
      <c r="Q984" s="174"/>
    </row>
    <row r="985" spans="1:17" customFormat="1" ht="15" x14ac:dyDescent="0.25">
      <c r="A985" s="175" t="s">
        <v>21</v>
      </c>
      <c r="B985" s="189">
        <v>13.240000000000009</v>
      </c>
      <c r="C985" s="189">
        <v>8.7722400000000107</v>
      </c>
      <c r="D985" s="189">
        <v>8.2064400000001569</v>
      </c>
      <c r="E985" s="189">
        <v>4.4306400000000394</v>
      </c>
      <c r="F985" s="189">
        <v>10.579999999999927</v>
      </c>
      <c r="G985" s="189">
        <v>5.0799999999999272</v>
      </c>
      <c r="H985" s="189">
        <v>4.5199999999999818</v>
      </c>
      <c r="I985" s="189">
        <v>4.8400000000001455</v>
      </c>
      <c r="J985" s="189">
        <v>0.22896000000014283</v>
      </c>
      <c r="K985" s="189">
        <v>9.2390999999997803</v>
      </c>
      <c r="L985" s="189">
        <v>20.269999999999982</v>
      </c>
      <c r="M985" s="189">
        <v>57.643960000000334</v>
      </c>
      <c r="N985" s="189">
        <f>N982-N984</f>
        <v>96.653960000000552</v>
      </c>
      <c r="O985" s="189">
        <f>O982-O984</f>
        <v>44.393960000000334</v>
      </c>
      <c r="P985" s="189"/>
      <c r="Q985" s="174"/>
    </row>
    <row r="986" spans="1:17" customFormat="1" ht="15" x14ac:dyDescent="0.25">
      <c r="A986" s="177" t="s">
        <v>22</v>
      </c>
      <c r="B986" s="190"/>
      <c r="C986" s="190"/>
      <c r="D986" s="190"/>
      <c r="E986" s="190"/>
      <c r="F986" s="190"/>
      <c r="G986" s="190"/>
      <c r="H986" s="190"/>
      <c r="I986" s="190"/>
      <c r="J986" s="190"/>
      <c r="K986" s="190"/>
      <c r="L986" s="190"/>
      <c r="M986" s="190"/>
      <c r="N986" s="205"/>
      <c r="O986" s="205"/>
      <c r="P986" s="205"/>
      <c r="Q986" s="174"/>
    </row>
    <row r="987" spans="1:17" customFormat="1" ht="15" x14ac:dyDescent="0.25">
      <c r="A987" s="177" t="s">
        <v>179</v>
      </c>
      <c r="B987" s="178"/>
      <c r="C987" s="178"/>
      <c r="D987" s="178"/>
      <c r="E987" s="178"/>
      <c r="F987" s="178"/>
      <c r="G987" s="178"/>
      <c r="H987" s="178"/>
      <c r="I987" s="178"/>
      <c r="J987" s="178"/>
      <c r="K987" s="178"/>
      <c r="L987" s="178"/>
      <c r="M987" s="178"/>
      <c r="N987" s="178"/>
      <c r="O987" s="179"/>
      <c r="P987" s="179"/>
      <c r="Q987" s="174"/>
    </row>
    <row r="988" spans="1:17" customFormat="1" ht="15" x14ac:dyDescent="0.25">
      <c r="A988" s="177" t="s">
        <v>192</v>
      </c>
      <c r="B988" s="178"/>
      <c r="C988" s="178"/>
      <c r="D988" s="178"/>
      <c r="E988" s="178"/>
      <c r="F988" s="178"/>
      <c r="G988" s="178"/>
      <c r="H988" s="178"/>
      <c r="I988" s="178"/>
      <c r="J988" s="178"/>
      <c r="K988" s="178"/>
      <c r="L988" s="178"/>
      <c r="M988" s="178"/>
      <c r="N988" s="178"/>
      <c r="O988" s="178"/>
      <c r="P988" s="179"/>
      <c r="Q988" s="174"/>
    </row>
    <row r="989" spans="1:17" customFormat="1" ht="15" x14ac:dyDescent="0.25">
      <c r="A989" s="180" t="s">
        <v>193</v>
      </c>
      <c r="B989" s="169"/>
      <c r="C989" s="169"/>
      <c r="D989" s="169"/>
      <c r="E989" s="169"/>
      <c r="F989" s="169"/>
      <c r="G989" s="169"/>
      <c r="H989" s="169"/>
      <c r="I989" s="169"/>
      <c r="J989" s="169"/>
      <c r="K989" s="169"/>
      <c r="L989" s="169"/>
      <c r="M989" s="169"/>
      <c r="N989" s="169"/>
      <c r="O989" s="169"/>
      <c r="P989" s="181"/>
      <c r="Q989" s="174"/>
    </row>
    <row r="990" spans="1:17" customFormat="1" ht="15" x14ac:dyDescent="0.25">
      <c r="A990" s="180" t="s">
        <v>194</v>
      </c>
      <c r="B990" s="169"/>
      <c r="C990" s="169"/>
      <c r="D990" s="169"/>
      <c r="E990" s="169"/>
      <c r="F990" s="169"/>
      <c r="G990" s="169"/>
      <c r="H990" s="169"/>
      <c r="I990" s="169"/>
      <c r="J990" s="169"/>
      <c r="K990" s="169"/>
      <c r="L990" s="169"/>
      <c r="M990" s="169"/>
      <c r="N990" s="169"/>
      <c r="O990" s="169"/>
      <c r="P990" s="181"/>
      <c r="Q990" s="174"/>
    </row>
    <row r="991" spans="1:17" customFormat="1" ht="15" x14ac:dyDescent="0.25">
      <c r="A991" s="180" t="s">
        <v>195</v>
      </c>
      <c r="B991" s="169"/>
      <c r="C991" s="169"/>
      <c r="D991" s="169"/>
      <c r="E991" s="169"/>
      <c r="F991" s="169"/>
      <c r="G991" s="169"/>
      <c r="H991" s="169"/>
      <c r="I991" s="169"/>
      <c r="J991" s="169"/>
      <c r="K991" s="169"/>
      <c r="L991" s="169"/>
      <c r="M991" s="169"/>
      <c r="N991" s="169"/>
      <c r="O991" s="169"/>
      <c r="P991" s="181"/>
      <c r="Q991" s="174"/>
    </row>
    <row r="992" spans="1:17" customFormat="1" ht="15" x14ac:dyDescent="0.25">
      <c r="A992" s="196" t="s">
        <v>230</v>
      </c>
      <c r="B992" s="193"/>
      <c r="C992" s="194"/>
      <c r="D992" s="195"/>
      <c r="E992" s="169"/>
      <c r="F992" s="169"/>
      <c r="G992" s="194"/>
      <c r="H992" s="169"/>
      <c r="I992" s="169"/>
      <c r="J992" s="169"/>
      <c r="K992" s="169"/>
      <c r="L992" s="169"/>
      <c r="M992" s="169"/>
      <c r="N992" s="169"/>
      <c r="O992" s="169"/>
      <c r="P992" s="181"/>
      <c r="Q992" s="174"/>
    </row>
    <row r="993" spans="1:17" customFormat="1" ht="15" x14ac:dyDescent="0.25">
      <c r="A993" s="196" t="s">
        <v>273</v>
      </c>
      <c r="B993" s="193"/>
      <c r="C993" s="194"/>
      <c r="D993" s="195"/>
      <c r="E993" s="169"/>
      <c r="F993" s="169"/>
      <c r="G993" s="194"/>
      <c r="H993" s="169"/>
      <c r="I993" s="169"/>
      <c r="J993" s="169"/>
      <c r="K993" s="169"/>
      <c r="L993" s="169"/>
      <c r="M993" s="169"/>
      <c r="N993" s="169"/>
      <c r="O993" s="169"/>
      <c r="P993" s="181"/>
      <c r="Q993" s="174"/>
    </row>
    <row r="994" spans="1:17" customFormat="1" ht="15" x14ac:dyDescent="0.25">
      <c r="A994" s="196" t="s">
        <v>468</v>
      </c>
      <c r="B994" s="193"/>
      <c r="C994" s="194"/>
      <c r="D994" s="195"/>
      <c r="E994" s="169"/>
      <c r="F994" s="169"/>
      <c r="G994" s="194"/>
      <c r="H994" s="169"/>
      <c r="I994" s="169"/>
      <c r="J994" s="169"/>
      <c r="K994" s="169"/>
      <c r="L994" s="169"/>
      <c r="M994" s="169"/>
      <c r="N994" s="169"/>
      <c r="O994" s="169"/>
      <c r="P994" s="181"/>
      <c r="Q994" s="174"/>
    </row>
    <row r="995" spans="1:17" customFormat="1" ht="15" x14ac:dyDescent="0.25">
      <c r="A995" s="196" t="s">
        <v>662</v>
      </c>
      <c r="B995" s="193"/>
      <c r="C995" s="194"/>
      <c r="D995" s="195"/>
      <c r="E995" s="169"/>
      <c r="F995" s="169"/>
      <c r="G995" s="194"/>
      <c r="H995" s="169"/>
      <c r="I995" s="169"/>
      <c r="J995" s="169"/>
      <c r="K995" s="169"/>
      <c r="L995" s="169"/>
      <c r="M995" s="169"/>
      <c r="N995" s="169"/>
      <c r="O995" s="169"/>
      <c r="P995" s="181"/>
      <c r="Q995" s="174"/>
    </row>
    <row r="996" spans="1:17" customFormat="1" ht="15" x14ac:dyDescent="0.25">
      <c r="A996" s="196" t="s">
        <v>231</v>
      </c>
      <c r="B996" s="193"/>
      <c r="C996" s="194"/>
      <c r="D996" s="195"/>
      <c r="E996" s="169"/>
      <c r="F996" s="169"/>
      <c r="G996" s="194"/>
      <c r="H996" s="169"/>
      <c r="I996" s="169"/>
      <c r="J996" s="169"/>
      <c r="K996" s="169"/>
      <c r="L996" s="169"/>
      <c r="M996" s="169"/>
      <c r="N996" s="169"/>
      <c r="O996" s="169"/>
      <c r="P996" s="181"/>
      <c r="Q996" s="174"/>
    </row>
    <row r="997" spans="1:17" customFormat="1" ht="15" x14ac:dyDescent="0.25">
      <c r="A997" s="196" t="s">
        <v>274</v>
      </c>
      <c r="B997" s="193"/>
      <c r="C997" s="194"/>
      <c r="D997" s="195"/>
      <c r="E997" s="169"/>
      <c r="F997" s="169"/>
      <c r="G997" s="194"/>
      <c r="H997" s="169"/>
      <c r="I997" s="169"/>
      <c r="J997" s="169"/>
      <c r="K997" s="169"/>
      <c r="L997" s="169"/>
      <c r="M997" s="169"/>
      <c r="N997" s="169"/>
      <c r="O997" s="169"/>
      <c r="P997" s="181"/>
      <c r="Q997" s="174"/>
    </row>
    <row r="998" spans="1:17" customFormat="1" ht="15" x14ac:dyDescent="0.25">
      <c r="A998" s="196" t="s">
        <v>469</v>
      </c>
      <c r="B998" s="193"/>
      <c r="C998" s="194"/>
      <c r="D998" s="195"/>
      <c r="E998" s="169"/>
      <c r="F998" s="169"/>
      <c r="G998" s="194"/>
      <c r="H998" s="169"/>
      <c r="I998" s="169"/>
      <c r="J998" s="169"/>
      <c r="K998" s="169"/>
      <c r="L998" s="169"/>
      <c r="M998" s="169"/>
      <c r="N998" s="169"/>
      <c r="O998" s="169"/>
      <c r="P998" s="181"/>
      <c r="Q998" s="174"/>
    </row>
    <row r="999" spans="1:17" customFormat="1" ht="15" x14ac:dyDescent="0.25">
      <c r="A999" s="196" t="s">
        <v>663</v>
      </c>
      <c r="B999" s="193"/>
      <c r="C999" s="194"/>
      <c r="D999" s="195"/>
      <c r="E999" s="169"/>
      <c r="F999" s="169"/>
      <c r="G999" s="194"/>
      <c r="H999" s="169"/>
      <c r="I999" s="169"/>
      <c r="J999" s="169"/>
      <c r="K999" s="169"/>
      <c r="L999" s="169"/>
      <c r="M999" s="169"/>
      <c r="N999" s="169"/>
      <c r="O999" s="169"/>
      <c r="P999" s="181"/>
      <c r="Q999" s="174"/>
    </row>
    <row r="1000" spans="1:17" customFormat="1" ht="15" x14ac:dyDescent="0.25">
      <c r="A1000" s="208" t="s">
        <v>874</v>
      </c>
      <c r="B1000" s="185"/>
      <c r="C1000" s="185"/>
      <c r="D1000" s="185"/>
      <c r="E1000" s="185"/>
      <c r="F1000" s="185"/>
      <c r="G1000" s="211"/>
      <c r="H1000" s="185"/>
      <c r="I1000" s="185"/>
      <c r="J1000" s="185"/>
      <c r="K1000" s="185"/>
      <c r="L1000" s="185"/>
      <c r="M1000" s="185"/>
      <c r="N1000" s="185"/>
      <c r="O1000" s="185"/>
      <c r="P1000" s="186"/>
      <c r="Q1000" s="174"/>
    </row>
    <row r="1001" spans="1:17" x14ac:dyDescent="0.2">
      <c r="A1001" s="168"/>
      <c r="C1001" s="170"/>
    </row>
    <row r="1002" spans="1:17" x14ac:dyDescent="0.2">
      <c r="A1002" s="212" t="s">
        <v>14</v>
      </c>
      <c r="B1002" s="172" t="s">
        <v>664</v>
      </c>
      <c r="C1002" s="209" t="s">
        <v>15</v>
      </c>
      <c r="D1002" s="169"/>
      <c r="E1002" s="169"/>
      <c r="F1002" s="169"/>
      <c r="G1002" s="169"/>
      <c r="H1002" s="169"/>
      <c r="I1002" s="169"/>
      <c r="J1002" s="169"/>
      <c r="K1002" s="169"/>
      <c r="L1002" s="169"/>
      <c r="M1002" s="169"/>
    </row>
    <row r="1003" spans="1:17" x14ac:dyDescent="0.2">
      <c r="A1003" s="184" t="s">
        <v>16</v>
      </c>
      <c r="B1003" s="213">
        <v>2009</v>
      </c>
      <c r="C1003" s="214">
        <v>2010</v>
      </c>
      <c r="D1003" s="214">
        <v>2011</v>
      </c>
      <c r="E1003" s="214">
        <v>2012</v>
      </c>
      <c r="F1003" s="214">
        <v>2013</v>
      </c>
      <c r="G1003" s="214">
        <v>2014</v>
      </c>
      <c r="H1003" s="213">
        <v>2015</v>
      </c>
      <c r="I1003" s="213">
        <v>2016</v>
      </c>
      <c r="J1003" s="213">
        <v>2017</v>
      </c>
      <c r="K1003" s="213">
        <v>2018</v>
      </c>
      <c r="L1003" s="213">
        <v>2019</v>
      </c>
      <c r="M1003" s="213">
        <v>2020</v>
      </c>
      <c r="N1003" s="213">
        <v>2021</v>
      </c>
      <c r="O1003" s="213">
        <v>2022</v>
      </c>
      <c r="P1003" s="213">
        <v>2023</v>
      </c>
      <c r="Q1003" s="169"/>
    </row>
    <row r="1004" spans="1:17" x14ac:dyDescent="0.2">
      <c r="A1004" s="173" t="s">
        <v>17</v>
      </c>
      <c r="B1004" s="176">
        <v>329.79</v>
      </c>
      <c r="C1004" s="189">
        <v>311.02</v>
      </c>
      <c r="D1004" s="189">
        <v>301.64</v>
      </c>
      <c r="E1004" s="189">
        <v>301.64</v>
      </c>
      <c r="F1004" s="189">
        <v>301.64</v>
      </c>
      <c r="G1004" s="189">
        <v>301.64</v>
      </c>
      <c r="H1004" s="189">
        <v>345.74</v>
      </c>
      <c r="I1004" s="189">
        <v>345.74</v>
      </c>
      <c r="J1004" s="210">
        <v>345.74</v>
      </c>
      <c r="K1004" s="210">
        <v>407.48</v>
      </c>
      <c r="L1004" s="210">
        <v>407.48</v>
      </c>
      <c r="M1004" s="215">
        <v>407.48</v>
      </c>
      <c r="N1004" s="216">
        <v>407.48</v>
      </c>
      <c r="O1004" s="216">
        <v>664.52</v>
      </c>
      <c r="P1004" s="216">
        <v>664.52</v>
      </c>
      <c r="Q1004" s="169"/>
    </row>
    <row r="1005" spans="1:17" x14ac:dyDescent="0.2">
      <c r="A1005" s="175" t="s">
        <v>18</v>
      </c>
      <c r="B1005" s="176">
        <v>402.56000000000006</v>
      </c>
      <c r="C1005" s="189">
        <v>431.91</v>
      </c>
      <c r="D1005" s="189">
        <v>308.37</v>
      </c>
      <c r="E1005" s="189">
        <v>306.06</v>
      </c>
      <c r="F1005" s="189">
        <v>304.12</v>
      </c>
      <c r="G1005" s="189">
        <v>303.5</v>
      </c>
      <c r="H1005" s="189">
        <v>346.61</v>
      </c>
      <c r="I1005" s="189">
        <v>346.83000000000004</v>
      </c>
      <c r="J1005" s="210">
        <v>347.08035600000011</v>
      </c>
      <c r="K1005" s="210">
        <v>408.73035600000014</v>
      </c>
      <c r="L1005" s="210">
        <v>409.20815600000014</v>
      </c>
      <c r="M1005" s="215">
        <v>410.39696779704036</v>
      </c>
      <c r="N1005" s="216">
        <v>410.3</v>
      </c>
      <c r="O1005" s="216">
        <f>O1004+N1008</f>
        <v>665.25</v>
      </c>
      <c r="P1005" s="216">
        <f>P1004+O1008</f>
        <v>671.97</v>
      </c>
      <c r="Q1005" s="169"/>
    </row>
    <row r="1006" spans="1:17" x14ac:dyDescent="0.2">
      <c r="A1006" s="175" t="s">
        <v>19</v>
      </c>
      <c r="B1006" s="176"/>
      <c r="C1006" s="189"/>
      <c r="D1006" s="189"/>
      <c r="E1006" s="189"/>
      <c r="F1006" s="189"/>
      <c r="G1006" s="189"/>
      <c r="H1006" s="189"/>
      <c r="I1006" s="189"/>
      <c r="J1006" s="189"/>
      <c r="K1006" s="189"/>
      <c r="L1006" s="189"/>
      <c r="M1006" s="216"/>
      <c r="N1006" s="216"/>
      <c r="O1006" s="216"/>
      <c r="P1006" s="216"/>
      <c r="Q1006" s="169"/>
    </row>
    <row r="1007" spans="1:17" x14ac:dyDescent="0.2">
      <c r="A1007" s="175" t="s">
        <v>20</v>
      </c>
      <c r="B1007" s="176">
        <v>281.67</v>
      </c>
      <c r="C1007" s="189">
        <v>425.18</v>
      </c>
      <c r="D1007" s="189">
        <v>303.95</v>
      </c>
      <c r="E1007" s="189">
        <v>303.58</v>
      </c>
      <c r="F1007" s="189">
        <v>302.26</v>
      </c>
      <c r="G1007" s="189">
        <v>302.63</v>
      </c>
      <c r="H1007" s="189">
        <v>345.52</v>
      </c>
      <c r="I1007" s="189">
        <v>345.48964399999994</v>
      </c>
      <c r="J1007" s="189">
        <v>345.83</v>
      </c>
      <c r="K1007" s="189">
        <v>407.00220000000002</v>
      </c>
      <c r="L1007" s="189">
        <v>406.2911882029598</v>
      </c>
      <c r="M1007" s="216">
        <v>407.58140000000009</v>
      </c>
      <c r="N1007" s="216">
        <v>409.57</v>
      </c>
      <c r="O1007" s="216">
        <v>657.8</v>
      </c>
      <c r="P1007" s="216"/>
      <c r="Q1007" s="169"/>
    </row>
    <row r="1008" spans="1:17" x14ac:dyDescent="0.2">
      <c r="A1008" s="175" t="s">
        <v>21</v>
      </c>
      <c r="B1008" s="176">
        <v>120.89000000000004</v>
      </c>
      <c r="C1008" s="189">
        <v>6.7300000000000182</v>
      </c>
      <c r="D1008" s="189">
        <v>4.4200000000000159</v>
      </c>
      <c r="E1008" s="189">
        <v>2.4800000000000182</v>
      </c>
      <c r="F1008" s="189">
        <v>1.8600000000000136</v>
      </c>
      <c r="G1008" s="189">
        <v>0.87000000000000455</v>
      </c>
      <c r="H1008" s="189">
        <v>1.0900000000000318</v>
      </c>
      <c r="I1008" s="189">
        <v>1.3403560000000994</v>
      </c>
      <c r="J1008" s="189">
        <v>1.2503560000001244</v>
      </c>
      <c r="K1008" s="189">
        <v>1.7281560000001264</v>
      </c>
      <c r="L1008" s="189">
        <v>2.9169677970403427</v>
      </c>
      <c r="M1008" s="216">
        <v>2.8155677970402735</v>
      </c>
      <c r="N1008" s="216">
        <f>N1005-N1007</f>
        <v>0.73000000000001819</v>
      </c>
      <c r="O1008" s="216">
        <f>O1005-O1007</f>
        <v>7.4500000000000455</v>
      </c>
      <c r="P1008" s="216"/>
      <c r="Q1008" s="169"/>
    </row>
    <row r="1009" spans="1:17" x14ac:dyDescent="0.2">
      <c r="A1009" s="177" t="s">
        <v>22</v>
      </c>
      <c r="B1009" s="190"/>
      <c r="C1009" s="190"/>
      <c r="D1009" s="190"/>
      <c r="E1009" s="190"/>
      <c r="F1009" s="190"/>
      <c r="G1009" s="190"/>
      <c r="H1009" s="190"/>
      <c r="I1009" s="190"/>
      <c r="J1009" s="190"/>
      <c r="K1009" s="190"/>
      <c r="L1009" s="190"/>
      <c r="M1009" s="179"/>
      <c r="N1009" s="218"/>
      <c r="O1009" s="218"/>
      <c r="P1009" s="218"/>
      <c r="Q1009" s="169"/>
    </row>
    <row r="1010" spans="1:17" x14ac:dyDescent="0.2">
      <c r="A1010" s="177" t="s">
        <v>179</v>
      </c>
      <c r="B1010" s="178"/>
      <c r="C1010" s="178"/>
      <c r="D1010" s="178"/>
      <c r="E1010" s="178"/>
      <c r="F1010" s="178"/>
      <c r="G1010" s="178"/>
      <c r="H1010" s="178"/>
      <c r="I1010" s="178"/>
      <c r="J1010" s="178"/>
      <c r="K1010" s="178"/>
      <c r="L1010" s="178"/>
      <c r="M1010" s="178"/>
      <c r="N1010" s="178"/>
      <c r="O1010" s="179"/>
      <c r="P1010" s="179"/>
      <c r="Q1010" s="169"/>
    </row>
    <row r="1011" spans="1:17" x14ac:dyDescent="0.2">
      <c r="A1011" s="177" t="s">
        <v>210</v>
      </c>
      <c r="B1011" s="178"/>
      <c r="C1011" s="178"/>
      <c r="D1011" s="178"/>
      <c r="E1011" s="178"/>
      <c r="F1011" s="178"/>
      <c r="G1011" s="178"/>
      <c r="H1011" s="178"/>
      <c r="I1011" s="178"/>
      <c r="J1011" s="178"/>
      <c r="K1011" s="178"/>
      <c r="L1011" s="178"/>
      <c r="M1011" s="178"/>
      <c r="N1011" s="178"/>
      <c r="O1011" s="178"/>
      <c r="P1011" s="179"/>
      <c r="Q1011" s="169"/>
    </row>
    <row r="1012" spans="1:17" x14ac:dyDescent="0.2">
      <c r="A1012" s="196" t="s">
        <v>232</v>
      </c>
      <c r="B1012" s="169"/>
      <c r="C1012" s="169"/>
      <c r="D1012" s="169"/>
      <c r="E1012" s="169"/>
      <c r="F1012" s="169"/>
      <c r="G1012" s="169"/>
      <c r="H1012" s="169"/>
      <c r="I1012" s="169"/>
      <c r="J1012" s="169"/>
      <c r="K1012" s="169"/>
      <c r="L1012" s="169"/>
      <c r="M1012" s="169"/>
      <c r="N1012" s="169"/>
      <c r="O1012" s="169"/>
      <c r="P1012" s="181"/>
      <c r="Q1012" s="169"/>
    </row>
    <row r="1013" spans="1:17" x14ac:dyDescent="0.2">
      <c r="A1013" s="196" t="s">
        <v>275</v>
      </c>
      <c r="B1013" s="169"/>
      <c r="C1013" s="169"/>
      <c r="D1013" s="169"/>
      <c r="E1013" s="169"/>
      <c r="F1013" s="169"/>
      <c r="G1013" s="169"/>
      <c r="H1013" s="169"/>
      <c r="I1013" s="169"/>
      <c r="J1013" s="169"/>
      <c r="K1013" s="169"/>
      <c r="L1013" s="169"/>
      <c r="M1013" s="169"/>
      <c r="N1013" s="169"/>
      <c r="O1013" s="169"/>
      <c r="P1013" s="181"/>
      <c r="Q1013" s="169"/>
    </row>
    <row r="1014" spans="1:17" x14ac:dyDescent="0.2">
      <c r="A1014" s="196" t="s">
        <v>276</v>
      </c>
      <c r="B1014" s="169"/>
      <c r="C1014" s="169"/>
      <c r="D1014" s="169"/>
      <c r="E1014" s="169"/>
      <c r="F1014" s="169"/>
      <c r="G1014" s="169"/>
      <c r="H1014" s="169"/>
      <c r="I1014" s="169"/>
      <c r="J1014" s="169"/>
      <c r="K1014" s="169"/>
      <c r="L1014" s="169"/>
      <c r="M1014" s="169"/>
      <c r="N1014" s="169"/>
      <c r="O1014" s="169"/>
      <c r="P1014" s="181"/>
      <c r="Q1014" s="169"/>
    </row>
    <row r="1015" spans="1:17" x14ac:dyDescent="0.2">
      <c r="A1015" s="196" t="s">
        <v>277</v>
      </c>
      <c r="B1015" s="169"/>
      <c r="C1015" s="169"/>
      <c r="D1015" s="169"/>
      <c r="E1015" s="169"/>
      <c r="F1015" s="169"/>
      <c r="G1015" s="169"/>
      <c r="H1015" s="169"/>
      <c r="I1015" s="169"/>
      <c r="J1015" s="169"/>
      <c r="K1015" s="169"/>
      <c r="L1015" s="169"/>
      <c r="M1015" s="169"/>
      <c r="N1015" s="169"/>
      <c r="O1015" s="169"/>
      <c r="P1015" s="181"/>
      <c r="Q1015" s="169"/>
    </row>
    <row r="1016" spans="1:17" x14ac:dyDescent="0.2">
      <c r="A1016" s="196" t="s">
        <v>470</v>
      </c>
      <c r="B1016" s="169"/>
      <c r="C1016" s="169"/>
      <c r="D1016" s="169"/>
      <c r="E1016" s="169"/>
      <c r="F1016" s="169"/>
      <c r="G1016" s="169"/>
      <c r="H1016" s="169"/>
      <c r="I1016" s="169"/>
      <c r="J1016" s="169"/>
      <c r="K1016" s="169"/>
      <c r="L1016" s="169"/>
      <c r="M1016" s="169"/>
      <c r="N1016" s="169"/>
      <c r="O1016" s="169"/>
      <c r="P1016" s="181"/>
      <c r="Q1016" s="169"/>
    </row>
    <row r="1017" spans="1:17" x14ac:dyDescent="0.2">
      <c r="A1017" s="196" t="s">
        <v>471</v>
      </c>
      <c r="B1017" s="169"/>
      <c r="C1017" s="169"/>
      <c r="D1017" s="169"/>
      <c r="E1017" s="169"/>
      <c r="F1017" s="169"/>
      <c r="G1017" s="169"/>
      <c r="H1017" s="169"/>
      <c r="I1017" s="169"/>
      <c r="J1017" s="169"/>
      <c r="K1017" s="169"/>
      <c r="L1017" s="169"/>
      <c r="M1017" s="169"/>
      <c r="N1017" s="169"/>
      <c r="O1017" s="169"/>
      <c r="P1017" s="181"/>
      <c r="Q1017" s="169"/>
    </row>
    <row r="1018" spans="1:17" x14ac:dyDescent="0.2">
      <c r="A1018" s="196" t="s">
        <v>665</v>
      </c>
      <c r="B1018" s="169"/>
      <c r="C1018" s="169"/>
      <c r="D1018" s="169"/>
      <c r="E1018" s="169"/>
      <c r="F1018" s="169"/>
      <c r="G1018" s="169"/>
      <c r="H1018" s="169"/>
      <c r="I1018" s="169"/>
      <c r="J1018" s="169"/>
      <c r="K1018" s="169"/>
      <c r="L1018" s="169"/>
      <c r="M1018" s="169"/>
      <c r="N1018" s="169"/>
      <c r="O1018" s="169"/>
      <c r="P1018" s="181"/>
      <c r="Q1018" s="169"/>
    </row>
    <row r="1019" spans="1:17" x14ac:dyDescent="0.2">
      <c r="A1019" s="196" t="s">
        <v>875</v>
      </c>
      <c r="B1019" s="169"/>
      <c r="C1019" s="169"/>
      <c r="D1019" s="169"/>
      <c r="E1019" s="169"/>
      <c r="F1019" s="169"/>
      <c r="G1019" s="169"/>
      <c r="H1019" s="169"/>
      <c r="I1019" s="169"/>
      <c r="J1019" s="169"/>
      <c r="K1019" s="169"/>
      <c r="L1019" s="169"/>
      <c r="M1019" s="169"/>
      <c r="N1019" s="169"/>
      <c r="O1019" s="169"/>
      <c r="P1019" s="181"/>
      <c r="Q1019" s="169"/>
    </row>
    <row r="1020" spans="1:17" x14ac:dyDescent="0.2">
      <c r="A1020" s="208" t="s">
        <v>876</v>
      </c>
      <c r="B1020" s="185"/>
      <c r="C1020" s="185"/>
      <c r="D1020" s="185"/>
      <c r="E1020" s="185"/>
      <c r="F1020" s="185"/>
      <c r="G1020" s="185"/>
      <c r="H1020" s="185"/>
      <c r="I1020" s="185"/>
      <c r="J1020" s="185"/>
      <c r="K1020" s="185"/>
      <c r="L1020" s="185"/>
      <c r="M1020" s="185"/>
      <c r="N1020" s="185"/>
      <c r="O1020" s="185"/>
      <c r="P1020" s="186"/>
      <c r="Q1020" s="169"/>
    </row>
    <row r="1021" spans="1:17" x14ac:dyDescent="0.2">
      <c r="A1021" s="168"/>
      <c r="C1021" s="170"/>
    </row>
    <row r="1022" spans="1:17" x14ac:dyDescent="0.2">
      <c r="A1022" s="464" t="s">
        <v>14</v>
      </c>
      <c r="B1022" s="465" t="s">
        <v>66</v>
      </c>
      <c r="C1022" s="466" t="s">
        <v>15</v>
      </c>
      <c r="D1022" s="451"/>
      <c r="E1022" s="451"/>
      <c r="F1022" s="451"/>
      <c r="G1022" s="451"/>
      <c r="H1022" s="451"/>
      <c r="I1022" s="451"/>
      <c r="J1022" s="451"/>
      <c r="K1022" s="451"/>
      <c r="L1022" s="451"/>
      <c r="M1022" s="451"/>
      <c r="N1022" s="451"/>
      <c r="O1022" s="451"/>
      <c r="P1022" s="451"/>
    </row>
    <row r="1023" spans="1:17" x14ac:dyDescent="0.2">
      <c r="A1023" s="467" t="s">
        <v>16</v>
      </c>
      <c r="B1023" s="468">
        <v>2009</v>
      </c>
      <c r="C1023" s="468">
        <v>2010</v>
      </c>
      <c r="D1023" s="468">
        <v>2011</v>
      </c>
      <c r="E1023" s="468">
        <v>2012</v>
      </c>
      <c r="F1023" s="468">
        <v>2013</v>
      </c>
      <c r="G1023" s="468">
        <v>2014</v>
      </c>
      <c r="H1023" s="468">
        <v>2015</v>
      </c>
      <c r="I1023" s="468">
        <v>2016</v>
      </c>
      <c r="J1023" s="468">
        <v>2017</v>
      </c>
      <c r="K1023" s="468">
        <v>2018</v>
      </c>
      <c r="L1023" s="468">
        <v>2019</v>
      </c>
      <c r="M1023" s="468">
        <v>2020</v>
      </c>
      <c r="N1023" s="468">
        <v>2021</v>
      </c>
      <c r="O1023" s="468">
        <v>2022</v>
      </c>
      <c r="P1023" s="468">
        <v>2023</v>
      </c>
      <c r="Q1023" s="169"/>
    </row>
    <row r="1024" spans="1:17" x14ac:dyDescent="0.2">
      <c r="A1024" s="467" t="s">
        <v>17</v>
      </c>
      <c r="B1024" s="283">
        <v>25000</v>
      </c>
      <c r="C1024" s="283">
        <v>25000</v>
      </c>
      <c r="D1024" s="283">
        <v>23611</v>
      </c>
      <c r="E1024" s="283">
        <v>23611</v>
      </c>
      <c r="F1024" s="283">
        <v>23611</v>
      </c>
      <c r="G1024" s="283">
        <v>23611</v>
      </c>
      <c r="H1024" s="283">
        <v>23611</v>
      </c>
      <c r="I1024" s="283">
        <v>17696</v>
      </c>
      <c r="J1024" s="469">
        <v>17696</v>
      </c>
      <c r="K1024" s="469">
        <v>17696</v>
      </c>
      <c r="L1024" s="469">
        <v>17696</v>
      </c>
      <c r="M1024" s="469">
        <v>13979.84</v>
      </c>
      <c r="N1024" s="469">
        <v>13756.162560000001</v>
      </c>
      <c r="O1024" s="469">
        <v>13868.00128</v>
      </c>
      <c r="P1024" s="469">
        <v>13868.00128</v>
      </c>
      <c r="Q1024" s="169"/>
    </row>
    <row r="1025" spans="1:17" x14ac:dyDescent="0.2">
      <c r="A1025" s="467" t="s">
        <v>18</v>
      </c>
      <c r="B1025" s="283">
        <v>30500</v>
      </c>
      <c r="C1025" s="283">
        <v>29700</v>
      </c>
      <c r="D1025" s="283">
        <v>26894.3</v>
      </c>
      <c r="E1025" s="283">
        <v>27624.3</v>
      </c>
      <c r="F1025" s="283">
        <v>27624.3</v>
      </c>
      <c r="G1025" s="283">
        <v>27624.3</v>
      </c>
      <c r="H1025" s="283">
        <v>27624.3</v>
      </c>
      <c r="I1025" s="283">
        <v>20167.650000000001</v>
      </c>
      <c r="J1025" s="469">
        <v>19280.400000000001</v>
      </c>
      <c r="K1025" s="469">
        <v>15415.88</v>
      </c>
      <c r="L1025" s="469">
        <v>19280.400000000001</v>
      </c>
      <c r="M1025" s="469">
        <v>13079.84</v>
      </c>
      <c r="N1025" s="469">
        <f>N1024+0.1*L1024-600-300</f>
        <v>14625.762560000001</v>
      </c>
      <c r="O1025" s="469">
        <f>O1024+0.1*M1024-600-300</f>
        <v>14365.985280000001</v>
      </c>
      <c r="P1025" s="469">
        <f>P1024+0.1*N1024-600-300</f>
        <v>14343.617536000002</v>
      </c>
      <c r="Q1025" s="169"/>
    </row>
    <row r="1026" spans="1:17" x14ac:dyDescent="0.2">
      <c r="A1026" s="467" t="s">
        <v>19</v>
      </c>
      <c r="B1026" s="283"/>
      <c r="C1026" s="283"/>
      <c r="D1026" s="283"/>
      <c r="E1026" s="283"/>
      <c r="F1026" s="283"/>
      <c r="G1026" s="283"/>
      <c r="H1026" s="283"/>
      <c r="I1026" s="283"/>
      <c r="J1026" s="283"/>
      <c r="K1026" s="283"/>
      <c r="L1026" s="283"/>
      <c r="M1026" s="283"/>
      <c r="N1026" s="283"/>
      <c r="O1026" s="283"/>
      <c r="P1026" s="283"/>
      <c r="Q1026" s="169"/>
    </row>
    <row r="1027" spans="1:17" x14ac:dyDescent="0.2">
      <c r="A1027" s="467" t="s">
        <v>20</v>
      </c>
      <c r="B1027" s="283">
        <v>13127.78969</v>
      </c>
      <c r="C1027" s="283">
        <v>12919.833529999998</v>
      </c>
      <c r="D1027" s="283">
        <v>11930</v>
      </c>
      <c r="E1027" s="283">
        <v>15971.9</v>
      </c>
      <c r="F1027" s="283">
        <v>14342</v>
      </c>
      <c r="G1027" s="283">
        <v>12595.2</v>
      </c>
      <c r="H1027" s="283">
        <v>10179.799999999999</v>
      </c>
      <c r="I1027" s="283">
        <v>11238</v>
      </c>
      <c r="J1027" s="283">
        <v>9872.2000000000007</v>
      </c>
      <c r="K1027" s="283">
        <v>9849.5910000000003</v>
      </c>
      <c r="L1027" s="283">
        <v>9933.1844890000011</v>
      </c>
      <c r="M1027" s="283">
        <v>9294.3000000000011</v>
      </c>
      <c r="N1027" s="283">
        <v>11226.4</v>
      </c>
      <c r="O1027" s="283">
        <v>8292.7000000000007</v>
      </c>
      <c r="P1027" s="283"/>
      <c r="Q1027" s="169"/>
    </row>
    <row r="1028" spans="1:17" x14ac:dyDescent="0.2">
      <c r="A1028" s="467" t="s">
        <v>21</v>
      </c>
      <c r="B1028" s="283">
        <v>17372.210310000002</v>
      </c>
      <c r="C1028" s="283">
        <v>16780.166470000004</v>
      </c>
      <c r="D1028" s="283">
        <v>14964.3</v>
      </c>
      <c r="E1028" s="283">
        <v>11652.4</v>
      </c>
      <c r="F1028" s="283">
        <v>13282.3</v>
      </c>
      <c r="G1028" s="283">
        <v>15029.099999999999</v>
      </c>
      <c r="H1028" s="283">
        <v>17444.5</v>
      </c>
      <c r="I1028" s="283">
        <v>8929.6500000000015</v>
      </c>
      <c r="J1028" s="283">
        <v>9408.2000000000007</v>
      </c>
      <c r="K1028" s="283">
        <v>5566.2889999999989</v>
      </c>
      <c r="L1028" s="283">
        <v>9347.2155110000003</v>
      </c>
      <c r="M1028" s="283">
        <f>M1025-M1027</f>
        <v>3785.5399999999991</v>
      </c>
      <c r="N1028" s="283">
        <f>N1025-N1027</f>
        <v>3399.3625600000014</v>
      </c>
      <c r="O1028" s="283">
        <f>O1025-O1027</f>
        <v>6073.2852800000001</v>
      </c>
      <c r="P1028" s="283"/>
      <c r="Q1028" s="169"/>
    </row>
    <row r="1029" spans="1:17" x14ac:dyDescent="0.2">
      <c r="A1029" s="470" t="s">
        <v>22</v>
      </c>
      <c r="B1029" s="471"/>
      <c r="C1029" s="471"/>
      <c r="D1029" s="471"/>
      <c r="E1029" s="471"/>
      <c r="F1029" s="471"/>
      <c r="G1029" s="471"/>
      <c r="H1029" s="471"/>
      <c r="I1029" s="471"/>
      <c r="J1029" s="471"/>
      <c r="K1029" s="471"/>
      <c r="L1029" s="471">
        <v>2021</v>
      </c>
      <c r="M1029" s="471">
        <v>2022</v>
      </c>
      <c r="N1029" s="471">
        <v>2023</v>
      </c>
      <c r="O1029" s="471"/>
      <c r="P1029" s="471"/>
      <c r="Q1029" s="169"/>
    </row>
    <row r="1030" spans="1:17" x14ac:dyDescent="0.2">
      <c r="A1030" s="470" t="s">
        <v>179</v>
      </c>
      <c r="B1030" s="604"/>
      <c r="C1030" s="604"/>
      <c r="D1030" s="604"/>
      <c r="E1030" s="604"/>
      <c r="F1030" s="604"/>
      <c r="G1030" s="604"/>
      <c r="H1030" s="604"/>
      <c r="I1030" s="604"/>
      <c r="J1030" s="604"/>
      <c r="K1030" s="604"/>
      <c r="L1030" s="604"/>
      <c r="M1030" s="604"/>
      <c r="N1030" s="604"/>
      <c r="O1030" s="605"/>
      <c r="P1030" s="605"/>
      <c r="Q1030" s="169"/>
    </row>
    <row r="1031" spans="1:17" x14ac:dyDescent="0.2">
      <c r="A1031" s="470" t="s">
        <v>196</v>
      </c>
      <c r="B1031" s="604"/>
      <c r="C1031" s="604"/>
      <c r="D1031" s="604"/>
      <c r="E1031" s="604"/>
      <c r="F1031" s="604"/>
      <c r="G1031" s="604"/>
      <c r="H1031" s="604"/>
      <c r="I1031" s="604"/>
      <c r="J1031" s="604"/>
      <c r="K1031" s="604"/>
      <c r="L1031" s="604"/>
      <c r="M1031" s="604"/>
      <c r="N1031" s="604"/>
      <c r="O1031" s="604"/>
      <c r="P1031" s="605"/>
      <c r="Q1031" s="169"/>
    </row>
    <row r="1032" spans="1:17" x14ac:dyDescent="0.2">
      <c r="A1032" s="472" t="s">
        <v>197</v>
      </c>
      <c r="B1032" s="451"/>
      <c r="C1032" s="451"/>
      <c r="D1032" s="451"/>
      <c r="E1032" s="451"/>
      <c r="F1032" s="451"/>
      <c r="G1032" s="451"/>
      <c r="H1032" s="451"/>
      <c r="I1032" s="451"/>
      <c r="J1032" s="451"/>
      <c r="K1032" s="451"/>
      <c r="L1032" s="451"/>
      <c r="M1032" s="451"/>
      <c r="N1032" s="451"/>
      <c r="O1032" s="451"/>
      <c r="P1032" s="473"/>
      <c r="Q1032" s="169"/>
    </row>
    <row r="1033" spans="1:17" x14ac:dyDescent="0.2">
      <c r="A1033" s="472" t="s">
        <v>235</v>
      </c>
      <c r="B1033" s="451"/>
      <c r="C1033" s="451"/>
      <c r="D1033" s="451"/>
      <c r="E1033" s="451"/>
      <c r="F1033" s="451"/>
      <c r="G1033" s="451"/>
      <c r="H1033" s="451"/>
      <c r="I1033" s="451"/>
      <c r="J1033" s="451"/>
      <c r="K1033" s="451"/>
      <c r="L1033" s="451"/>
      <c r="M1033" s="451"/>
      <c r="N1033" s="451"/>
      <c r="O1033" s="451"/>
      <c r="P1033" s="473"/>
      <c r="Q1033" s="169"/>
    </row>
    <row r="1034" spans="1:17" x14ac:dyDescent="0.2">
      <c r="A1034" s="472" t="s">
        <v>236</v>
      </c>
      <c r="B1034" s="606"/>
      <c r="C1034" s="607"/>
      <c r="D1034" s="608"/>
      <c r="E1034" s="451"/>
      <c r="F1034" s="451"/>
      <c r="G1034" s="607"/>
      <c r="H1034" s="451"/>
      <c r="I1034" s="451"/>
      <c r="J1034" s="451"/>
      <c r="K1034" s="451"/>
      <c r="L1034" s="451"/>
      <c r="M1034" s="451"/>
      <c r="N1034" s="451"/>
      <c r="O1034" s="451"/>
      <c r="P1034" s="473"/>
      <c r="Q1034" s="169"/>
    </row>
    <row r="1035" spans="1:17" x14ac:dyDescent="0.2">
      <c r="A1035" s="472" t="s">
        <v>237</v>
      </c>
      <c r="B1035" s="451"/>
      <c r="C1035" s="451"/>
      <c r="D1035" s="451"/>
      <c r="E1035" s="451"/>
      <c r="F1035" s="451"/>
      <c r="G1035" s="609"/>
      <c r="H1035" s="451"/>
      <c r="I1035" s="451"/>
      <c r="J1035" s="451"/>
      <c r="K1035" s="451"/>
      <c r="L1035" s="451"/>
      <c r="M1035" s="451"/>
      <c r="N1035" s="451"/>
      <c r="O1035" s="451"/>
      <c r="P1035" s="473"/>
      <c r="Q1035" s="169"/>
    </row>
    <row r="1036" spans="1:17" x14ac:dyDescent="0.2">
      <c r="A1036" s="472" t="s">
        <v>279</v>
      </c>
      <c r="B1036" s="451"/>
      <c r="C1036" s="451"/>
      <c r="D1036" s="451"/>
      <c r="E1036" s="451"/>
      <c r="F1036" s="451"/>
      <c r="G1036" s="451"/>
      <c r="H1036" s="451"/>
      <c r="I1036" s="451"/>
      <c r="J1036" s="451"/>
      <c r="K1036" s="451"/>
      <c r="L1036" s="451"/>
      <c r="M1036" s="451"/>
      <c r="N1036" s="451"/>
      <c r="O1036" s="451"/>
      <c r="P1036" s="473"/>
      <c r="Q1036" s="169"/>
    </row>
    <row r="1037" spans="1:17" x14ac:dyDescent="0.2">
      <c r="A1037" s="472" t="s">
        <v>238</v>
      </c>
      <c r="B1037" s="451"/>
      <c r="C1037" s="451"/>
      <c r="D1037" s="451"/>
      <c r="E1037" s="451"/>
      <c r="F1037" s="451"/>
      <c r="G1037" s="609"/>
      <c r="H1037" s="451"/>
      <c r="I1037" s="451"/>
      <c r="J1037" s="451"/>
      <c r="K1037" s="451"/>
      <c r="L1037" s="451"/>
      <c r="M1037" s="451"/>
      <c r="N1037" s="451"/>
      <c r="O1037" s="451"/>
      <c r="P1037" s="473"/>
      <c r="Q1037" s="169"/>
    </row>
    <row r="1038" spans="1:17" x14ac:dyDescent="0.2">
      <c r="A1038" s="472" t="s">
        <v>233</v>
      </c>
      <c r="B1038" s="451"/>
      <c r="C1038" s="451"/>
      <c r="D1038" s="451"/>
      <c r="E1038" s="451"/>
      <c r="F1038" s="451"/>
      <c r="G1038" s="609"/>
      <c r="H1038" s="451"/>
      <c r="I1038" s="451"/>
      <c r="J1038" s="451"/>
      <c r="K1038" s="451"/>
      <c r="L1038" s="451"/>
      <c r="M1038" s="451"/>
      <c r="N1038" s="451"/>
      <c r="O1038" s="451"/>
      <c r="P1038" s="473"/>
      <c r="Q1038" s="169"/>
    </row>
    <row r="1039" spans="1:17" x14ac:dyDescent="0.2">
      <c r="A1039" s="474" t="s">
        <v>234</v>
      </c>
      <c r="B1039" s="451"/>
      <c r="C1039" s="451"/>
      <c r="D1039" s="451"/>
      <c r="E1039" s="451"/>
      <c r="F1039" s="451"/>
      <c r="G1039" s="451"/>
      <c r="H1039" s="451"/>
      <c r="I1039" s="451"/>
      <c r="J1039" s="451"/>
      <c r="K1039" s="451"/>
      <c r="L1039" s="451"/>
      <c r="M1039" s="451"/>
      <c r="N1039" s="451"/>
      <c r="O1039" s="451"/>
      <c r="P1039" s="473"/>
      <c r="Q1039" s="169"/>
    </row>
    <row r="1040" spans="1:17" x14ac:dyDescent="0.2">
      <c r="A1040" s="474" t="s">
        <v>211</v>
      </c>
      <c r="B1040" s="451"/>
      <c r="C1040" s="451"/>
      <c r="D1040" s="451"/>
      <c r="E1040" s="451"/>
      <c r="F1040" s="451"/>
      <c r="G1040" s="451"/>
      <c r="H1040" s="451"/>
      <c r="I1040" s="451"/>
      <c r="J1040" s="451"/>
      <c r="K1040" s="451"/>
      <c r="L1040" s="451"/>
      <c r="M1040" s="451"/>
      <c r="N1040" s="451"/>
      <c r="O1040" s="451"/>
      <c r="P1040" s="473"/>
      <c r="Q1040" s="169"/>
    </row>
    <row r="1041" spans="1:17" x14ac:dyDescent="0.2">
      <c r="A1041" s="474" t="s">
        <v>278</v>
      </c>
      <c r="B1041" s="451"/>
      <c r="C1041" s="451"/>
      <c r="D1041" s="451"/>
      <c r="E1041" s="451"/>
      <c r="F1041" s="451"/>
      <c r="G1041" s="451"/>
      <c r="H1041" s="451"/>
      <c r="I1041" s="451"/>
      <c r="J1041" s="451"/>
      <c r="K1041" s="451"/>
      <c r="L1041" s="451"/>
      <c r="M1041" s="451"/>
      <c r="N1041" s="451"/>
      <c r="O1041" s="451"/>
      <c r="P1041" s="473"/>
      <c r="Q1041" s="169"/>
    </row>
    <row r="1042" spans="1:17" ht="13.15" customHeight="1" x14ac:dyDescent="0.2">
      <c r="A1042" s="474" t="s">
        <v>379</v>
      </c>
      <c r="B1042" s="451"/>
      <c r="C1042" s="451"/>
      <c r="D1042" s="451"/>
      <c r="E1042" s="451"/>
      <c r="F1042" s="451"/>
      <c r="G1042" s="451"/>
      <c r="H1042" s="451"/>
      <c r="I1042" s="451"/>
      <c r="J1042" s="451"/>
      <c r="K1042" s="451"/>
      <c r="L1042" s="451"/>
      <c r="M1042" s="451"/>
      <c r="N1042" s="451"/>
      <c r="O1042" s="451"/>
      <c r="P1042" s="473"/>
      <c r="Q1042" s="169"/>
    </row>
    <row r="1043" spans="1:17" ht="13.15" customHeight="1" x14ac:dyDescent="0.2">
      <c r="A1043" s="474" t="s">
        <v>579</v>
      </c>
      <c r="B1043" s="451"/>
      <c r="C1043" s="451"/>
      <c r="D1043" s="451"/>
      <c r="E1043" s="451"/>
      <c r="F1043" s="451"/>
      <c r="G1043" s="451"/>
      <c r="H1043" s="451"/>
      <c r="I1043" s="451"/>
      <c r="J1043" s="451"/>
      <c r="K1043" s="451"/>
      <c r="L1043" s="451"/>
      <c r="M1043" s="451"/>
      <c r="N1043" s="451"/>
      <c r="O1043" s="451"/>
      <c r="P1043" s="473"/>
      <c r="Q1043" s="169"/>
    </row>
    <row r="1044" spans="1:17" ht="13.15" customHeight="1" x14ac:dyDescent="0.2">
      <c r="A1044" s="474" t="s">
        <v>666</v>
      </c>
      <c r="B1044" s="451"/>
      <c r="C1044" s="451"/>
      <c r="D1044" s="451"/>
      <c r="E1044" s="451"/>
      <c r="F1044" s="451"/>
      <c r="G1044" s="451"/>
      <c r="H1044" s="451"/>
      <c r="I1044" s="451"/>
      <c r="J1044" s="451"/>
      <c r="K1044" s="451"/>
      <c r="L1044" s="451"/>
      <c r="M1044" s="451"/>
      <c r="N1044" s="451"/>
      <c r="O1044" s="451"/>
      <c r="P1044" s="473"/>
      <c r="Q1044" s="169"/>
    </row>
    <row r="1045" spans="1:17" ht="13.15" customHeight="1" x14ac:dyDescent="0.2">
      <c r="A1045" s="474" t="s">
        <v>602</v>
      </c>
      <c r="B1045" s="451"/>
      <c r="C1045" s="451"/>
      <c r="D1045" s="451"/>
      <c r="E1045" s="451"/>
      <c r="F1045" s="451"/>
      <c r="G1045" s="451"/>
      <c r="H1045" s="451"/>
      <c r="I1045" s="451"/>
      <c r="J1045" s="451"/>
      <c r="K1045" s="451"/>
      <c r="L1045" s="451"/>
      <c r="M1045" s="451"/>
      <c r="N1045" s="451"/>
      <c r="O1045" s="451"/>
      <c r="P1045" s="473"/>
      <c r="Q1045" s="169"/>
    </row>
    <row r="1046" spans="1:17" ht="13.15" customHeight="1" x14ac:dyDescent="0.2">
      <c r="A1046" s="474" t="s">
        <v>736</v>
      </c>
      <c r="B1046" s="451"/>
      <c r="C1046" s="451"/>
      <c r="D1046" s="451"/>
      <c r="E1046" s="451"/>
      <c r="F1046" s="451"/>
      <c r="G1046" s="451"/>
      <c r="H1046" s="451"/>
      <c r="I1046" s="451"/>
      <c r="J1046" s="451"/>
      <c r="K1046" s="451"/>
      <c r="L1046" s="451"/>
      <c r="M1046" s="451"/>
      <c r="N1046" s="451"/>
      <c r="O1046" s="451"/>
      <c r="P1046" s="473"/>
      <c r="Q1046" s="169"/>
    </row>
    <row r="1047" spans="1:17" ht="13.15" customHeight="1" x14ac:dyDescent="0.2">
      <c r="A1047" s="475" t="s">
        <v>877</v>
      </c>
      <c r="B1047" s="476"/>
      <c r="C1047" s="476"/>
      <c r="D1047" s="476"/>
      <c r="E1047" s="476"/>
      <c r="F1047" s="476"/>
      <c r="G1047" s="476"/>
      <c r="H1047" s="476"/>
      <c r="I1047" s="476"/>
      <c r="J1047" s="476"/>
      <c r="K1047" s="476"/>
      <c r="L1047" s="476"/>
      <c r="M1047" s="476"/>
      <c r="N1047" s="476"/>
      <c r="O1047" s="476"/>
      <c r="P1047" s="477"/>
      <c r="Q1047" s="169"/>
    </row>
    <row r="1048" spans="1:17" x14ac:dyDescent="0.2">
      <c r="A1048" s="168"/>
      <c r="C1048" s="170"/>
    </row>
    <row r="1049" spans="1:17" x14ac:dyDescent="0.2">
      <c r="A1049" s="212" t="s">
        <v>14</v>
      </c>
      <c r="B1049" s="172" t="s">
        <v>74</v>
      </c>
      <c r="C1049" s="209" t="s">
        <v>15</v>
      </c>
      <c r="D1049" s="169"/>
      <c r="E1049" s="169"/>
      <c r="F1049" s="169"/>
      <c r="G1049" s="169"/>
      <c r="H1049" s="169"/>
      <c r="I1049" s="169"/>
      <c r="J1049" s="169"/>
      <c r="K1049" s="169"/>
      <c r="L1049" s="169"/>
      <c r="M1049" s="169"/>
      <c r="N1049" s="169"/>
    </row>
    <row r="1050" spans="1:17" x14ac:dyDescent="0.2">
      <c r="A1050" s="184" t="s">
        <v>16</v>
      </c>
      <c r="B1050" s="213">
        <v>2008</v>
      </c>
      <c r="C1050" s="214">
        <v>2009</v>
      </c>
      <c r="D1050" s="214">
        <v>2010</v>
      </c>
      <c r="E1050" s="214">
        <v>2011</v>
      </c>
      <c r="F1050" s="213">
        <v>2012</v>
      </c>
      <c r="G1050" s="213">
        <v>2013</v>
      </c>
      <c r="H1050" s="213">
        <v>2014</v>
      </c>
      <c r="I1050" s="213">
        <v>2015</v>
      </c>
      <c r="J1050" s="213">
        <v>2016</v>
      </c>
      <c r="K1050" s="213">
        <v>2017</v>
      </c>
      <c r="L1050" s="213">
        <v>2018</v>
      </c>
      <c r="M1050" s="213">
        <v>2019</v>
      </c>
      <c r="N1050" s="213">
        <v>2020</v>
      </c>
      <c r="O1050" s="213">
        <v>2021</v>
      </c>
      <c r="P1050" s="52">
        <v>2022</v>
      </c>
      <c r="Q1050" s="52">
        <v>2023</v>
      </c>
    </row>
    <row r="1051" spans="1:17" x14ac:dyDescent="0.2">
      <c r="A1051" s="173" t="s">
        <v>17</v>
      </c>
      <c r="B1051" s="189">
        <v>839.5</v>
      </c>
      <c r="C1051" s="189">
        <v>839.5</v>
      </c>
      <c r="D1051" s="189">
        <v>839.5</v>
      </c>
      <c r="E1051" s="189">
        <v>839.5</v>
      </c>
      <c r="F1051" s="216">
        <v>503.7</v>
      </c>
      <c r="G1051" s="216">
        <v>390</v>
      </c>
      <c r="H1051" s="216">
        <v>390</v>
      </c>
      <c r="I1051" s="216">
        <v>390</v>
      </c>
      <c r="J1051" s="216">
        <v>390</v>
      </c>
      <c r="K1051" s="216">
        <v>390</v>
      </c>
      <c r="L1051" s="216">
        <v>390</v>
      </c>
      <c r="M1051" s="216">
        <v>390</v>
      </c>
      <c r="N1051" s="216">
        <v>328.1</v>
      </c>
      <c r="O1051" s="216">
        <v>328.1</v>
      </c>
      <c r="P1051" s="23">
        <v>328.1</v>
      </c>
      <c r="Q1051" s="23">
        <v>328.1</v>
      </c>
    </row>
    <row r="1052" spans="1:17" x14ac:dyDescent="0.2">
      <c r="A1052" s="175" t="s">
        <v>18</v>
      </c>
      <c r="B1052" s="189">
        <v>839.5</v>
      </c>
      <c r="C1052" s="189">
        <v>839.5</v>
      </c>
      <c r="D1052" s="189">
        <v>839.5</v>
      </c>
      <c r="E1052" s="189">
        <v>839.5</v>
      </c>
      <c r="F1052" s="189">
        <v>503.7</v>
      </c>
      <c r="G1052" s="216">
        <v>390</v>
      </c>
      <c r="H1052" s="216">
        <v>390</v>
      </c>
      <c r="I1052" s="216">
        <v>429</v>
      </c>
      <c r="J1052" s="216">
        <v>429</v>
      </c>
      <c r="K1052" s="216">
        <v>429</v>
      </c>
      <c r="L1052" s="216">
        <v>406.6</v>
      </c>
      <c r="M1052" s="216">
        <v>429</v>
      </c>
      <c r="N1052" s="216">
        <v>367.1</v>
      </c>
      <c r="O1052" s="216">
        <v>367.1</v>
      </c>
      <c r="P1052" s="23"/>
      <c r="Q1052" s="23"/>
    </row>
    <row r="1053" spans="1:17" x14ac:dyDescent="0.2">
      <c r="A1053" s="175" t="s">
        <v>19</v>
      </c>
      <c r="B1053" s="189"/>
      <c r="C1053" s="217"/>
      <c r="D1053" s="189"/>
      <c r="E1053" s="216"/>
      <c r="F1053" s="216"/>
      <c r="G1053" s="216"/>
      <c r="H1053" s="216"/>
      <c r="I1053" s="216"/>
      <c r="J1053" s="216"/>
      <c r="K1053" s="216"/>
      <c r="L1053" s="216"/>
      <c r="M1053" s="216"/>
      <c r="N1053" s="216"/>
      <c r="O1053" s="216"/>
      <c r="P1053" s="23"/>
      <c r="Q1053" s="23"/>
    </row>
    <row r="1054" spans="1:17" x14ac:dyDescent="0.2">
      <c r="A1054" s="175" t="s">
        <v>20</v>
      </c>
      <c r="B1054" s="189">
        <v>704.14</v>
      </c>
      <c r="C1054" s="189">
        <v>553.45920000000001</v>
      </c>
      <c r="D1054" s="189">
        <v>425.98559999999998</v>
      </c>
      <c r="E1054" s="189">
        <v>478</v>
      </c>
      <c r="F1054" s="216">
        <v>305.5</v>
      </c>
      <c r="G1054" s="216">
        <v>231.5</v>
      </c>
      <c r="H1054" s="216">
        <v>288.8</v>
      </c>
      <c r="I1054" s="216">
        <v>261.5</v>
      </c>
      <c r="J1054" s="216">
        <v>412.4</v>
      </c>
      <c r="K1054" s="216">
        <v>308.10000000000002</v>
      </c>
      <c r="L1054" s="216">
        <v>352.2</v>
      </c>
      <c r="M1054" s="216">
        <v>336.88949500000001</v>
      </c>
      <c r="N1054" s="216">
        <v>285.10000000000002</v>
      </c>
      <c r="O1054" s="216">
        <v>289.39999999999998</v>
      </c>
      <c r="P1054" s="23">
        <v>252.2</v>
      </c>
      <c r="Q1054" s="23"/>
    </row>
    <row r="1055" spans="1:17" x14ac:dyDescent="0.2">
      <c r="A1055" s="175" t="s">
        <v>21</v>
      </c>
      <c r="B1055" s="189">
        <v>135.36000000000001</v>
      </c>
      <c r="C1055" s="189">
        <v>286.04079999999999</v>
      </c>
      <c r="D1055" s="189">
        <v>413.51440000000002</v>
      </c>
      <c r="E1055" s="189">
        <v>361.5</v>
      </c>
      <c r="F1055" s="189">
        <v>198.2</v>
      </c>
      <c r="G1055" s="216">
        <v>158.5</v>
      </c>
      <c r="H1055" s="216">
        <v>101.19999999999999</v>
      </c>
      <c r="I1055" s="216">
        <v>167.5</v>
      </c>
      <c r="J1055" s="216">
        <v>16.600000000000023</v>
      </c>
      <c r="K1055" s="216">
        <v>120.89999999999998</v>
      </c>
      <c r="L1055" s="216">
        <v>54.400000000000034</v>
      </c>
      <c r="M1055" s="216">
        <v>92.110504999999989</v>
      </c>
      <c r="N1055" s="216">
        <f>N1052-N1054</f>
        <v>82</v>
      </c>
      <c r="O1055" s="216">
        <f>O1052-O1054</f>
        <v>77.700000000000045</v>
      </c>
      <c r="P1055" s="23">
        <f>P1051-P1054</f>
        <v>75.900000000000034</v>
      </c>
      <c r="Q1055" s="23"/>
    </row>
    <row r="1056" spans="1:17" x14ac:dyDescent="0.2">
      <c r="A1056" s="177" t="s">
        <v>22</v>
      </c>
      <c r="B1056" s="190"/>
      <c r="C1056" s="178"/>
      <c r="D1056" s="190"/>
      <c r="E1056" s="179"/>
      <c r="F1056" s="179"/>
      <c r="G1056" s="179"/>
      <c r="H1056" s="179"/>
      <c r="I1056" s="179"/>
      <c r="J1056" s="179"/>
      <c r="K1056" s="179"/>
      <c r="L1056" s="179"/>
      <c r="M1056" s="218"/>
      <c r="N1056" s="218"/>
      <c r="O1056" s="218"/>
      <c r="P1056" s="36"/>
      <c r="Q1056" s="36"/>
    </row>
    <row r="1057" spans="1:17" x14ac:dyDescent="0.2">
      <c r="A1057" s="175" t="s">
        <v>179</v>
      </c>
      <c r="B1057" s="192"/>
      <c r="C1057" s="192"/>
      <c r="D1057" s="192"/>
      <c r="E1057" s="192"/>
      <c r="F1057" s="192"/>
      <c r="G1057" s="192"/>
      <c r="H1057" s="192"/>
      <c r="I1057" s="192"/>
      <c r="J1057" s="192"/>
      <c r="K1057" s="192"/>
      <c r="L1057" s="192"/>
      <c r="M1057" s="192"/>
      <c r="N1057" s="192"/>
      <c r="O1057" s="192"/>
      <c r="P1057" s="59"/>
      <c r="Q1057" s="57"/>
    </row>
    <row r="1058" spans="1:17" x14ac:dyDescent="0.2">
      <c r="A1058" s="180" t="s">
        <v>198</v>
      </c>
      <c r="B1058" s="169"/>
      <c r="C1058" s="169"/>
      <c r="D1058" s="169"/>
      <c r="E1058" s="169"/>
      <c r="F1058" s="169"/>
      <c r="G1058" s="169"/>
      <c r="H1058" s="169"/>
      <c r="I1058" s="169"/>
      <c r="J1058" s="169"/>
      <c r="K1058" s="169"/>
      <c r="L1058" s="169"/>
      <c r="M1058" s="169"/>
      <c r="N1058" s="169"/>
      <c r="O1058" s="169"/>
      <c r="Q1058" s="21"/>
    </row>
    <row r="1059" spans="1:17" x14ac:dyDescent="0.2">
      <c r="A1059" s="180" t="s">
        <v>199</v>
      </c>
      <c r="B1059" s="169"/>
      <c r="C1059" s="169"/>
      <c r="D1059" s="169"/>
      <c r="E1059" s="169"/>
      <c r="F1059" s="169"/>
      <c r="G1059" s="169"/>
      <c r="H1059" s="169"/>
      <c r="I1059" s="169"/>
      <c r="J1059" s="169"/>
      <c r="K1059" s="169"/>
      <c r="L1059" s="169"/>
      <c r="M1059" s="169"/>
      <c r="N1059" s="169"/>
      <c r="O1059" s="169"/>
      <c r="Q1059" s="21"/>
    </row>
    <row r="1060" spans="1:17" x14ac:dyDescent="0.2">
      <c r="A1060" s="180" t="s">
        <v>239</v>
      </c>
      <c r="B1060" s="169"/>
      <c r="C1060" s="169"/>
      <c r="D1060" s="169"/>
      <c r="E1060" s="169"/>
      <c r="F1060" s="169"/>
      <c r="G1060" s="169"/>
      <c r="H1060" s="169"/>
      <c r="I1060" s="169"/>
      <c r="J1060" s="169"/>
      <c r="K1060" s="169"/>
      <c r="L1060" s="169"/>
      <c r="M1060" s="169"/>
      <c r="N1060" s="169"/>
      <c r="O1060" s="169"/>
      <c r="Q1060" s="21"/>
    </row>
    <row r="1061" spans="1:17" x14ac:dyDescent="0.2">
      <c r="A1061" s="180" t="s">
        <v>240</v>
      </c>
      <c r="B1061" s="169"/>
      <c r="C1061" s="169"/>
      <c r="D1061" s="169"/>
      <c r="E1061" s="169"/>
      <c r="F1061" s="169"/>
      <c r="G1061" s="169"/>
      <c r="H1061" s="194"/>
      <c r="I1061" s="169"/>
      <c r="J1061" s="169"/>
      <c r="K1061" s="169"/>
      <c r="L1061" s="169"/>
      <c r="M1061" s="169"/>
      <c r="N1061" s="169"/>
      <c r="O1061" s="169"/>
      <c r="Q1061" s="21"/>
    </row>
    <row r="1062" spans="1:17" x14ac:dyDescent="0.2">
      <c r="A1062" s="180" t="s">
        <v>280</v>
      </c>
      <c r="B1062" s="169"/>
      <c r="C1062" s="169"/>
      <c r="D1062" s="169"/>
      <c r="E1062" s="169"/>
      <c r="F1062" s="169"/>
      <c r="G1062" s="169"/>
      <c r="H1062" s="194"/>
      <c r="I1062" s="169"/>
      <c r="J1062" s="169"/>
      <c r="K1062" s="169"/>
      <c r="L1062" s="169"/>
      <c r="M1062" s="169"/>
      <c r="N1062" s="169"/>
      <c r="O1062" s="169"/>
      <c r="Q1062" s="21"/>
    </row>
    <row r="1063" spans="1:17" x14ac:dyDescent="0.2">
      <c r="A1063" s="180" t="s">
        <v>281</v>
      </c>
      <c r="B1063" s="169"/>
      <c r="C1063" s="169"/>
      <c r="D1063" s="169"/>
      <c r="E1063" s="169"/>
      <c r="F1063" s="169"/>
      <c r="G1063" s="169"/>
      <c r="H1063" s="194"/>
      <c r="I1063" s="169"/>
      <c r="J1063" s="169"/>
      <c r="K1063" s="169"/>
      <c r="L1063" s="169"/>
      <c r="M1063" s="169"/>
      <c r="N1063" s="169"/>
      <c r="O1063" s="169"/>
      <c r="Q1063" s="21"/>
    </row>
    <row r="1064" spans="1:17" x14ac:dyDescent="0.2">
      <c r="A1064" s="180" t="s">
        <v>282</v>
      </c>
      <c r="B1064" s="169"/>
      <c r="C1064" s="169"/>
      <c r="D1064" s="169"/>
      <c r="E1064" s="169"/>
      <c r="F1064" s="169"/>
      <c r="G1064" s="169"/>
      <c r="H1064" s="194"/>
      <c r="I1064" s="169"/>
      <c r="J1064" s="169"/>
      <c r="K1064" s="169"/>
      <c r="L1064" s="169"/>
      <c r="M1064" s="169"/>
      <c r="N1064" s="169"/>
      <c r="O1064" s="169"/>
      <c r="Q1064" s="21"/>
    </row>
    <row r="1065" spans="1:17" x14ac:dyDescent="0.2">
      <c r="A1065" s="180" t="s">
        <v>472</v>
      </c>
      <c r="B1065" s="169"/>
      <c r="C1065" s="169"/>
      <c r="D1065" s="169"/>
      <c r="E1065" s="169"/>
      <c r="F1065" s="169"/>
      <c r="G1065" s="169"/>
      <c r="H1065" s="194"/>
      <c r="I1065" s="169"/>
      <c r="J1065" s="169"/>
      <c r="K1065" s="169"/>
      <c r="L1065" s="169"/>
      <c r="M1065" s="169"/>
      <c r="N1065" s="169"/>
      <c r="O1065" s="169"/>
      <c r="Q1065" s="21"/>
    </row>
    <row r="1066" spans="1:17" x14ac:dyDescent="0.2">
      <c r="A1066" s="180" t="s">
        <v>667</v>
      </c>
      <c r="B1066" s="169"/>
      <c r="C1066" s="169"/>
      <c r="D1066" s="169"/>
      <c r="E1066" s="169"/>
      <c r="F1066" s="169"/>
      <c r="G1066" s="169"/>
      <c r="H1066" s="194"/>
      <c r="I1066" s="169"/>
      <c r="J1066" s="169"/>
      <c r="K1066" s="169"/>
      <c r="L1066" s="169"/>
      <c r="M1066" s="169"/>
      <c r="N1066" s="169"/>
      <c r="O1066" s="169"/>
      <c r="Q1066" s="21"/>
    </row>
    <row r="1067" spans="1:17" x14ac:dyDescent="0.2">
      <c r="A1067" s="173" t="s">
        <v>878</v>
      </c>
      <c r="B1067" s="185"/>
      <c r="C1067" s="185"/>
      <c r="D1067" s="185"/>
      <c r="E1067" s="185"/>
      <c r="F1067" s="185"/>
      <c r="G1067" s="185"/>
      <c r="H1067" s="219"/>
      <c r="I1067" s="185"/>
      <c r="J1067" s="185"/>
      <c r="K1067" s="185"/>
      <c r="L1067" s="185"/>
      <c r="M1067" s="185"/>
      <c r="N1067" s="185"/>
      <c r="O1067" s="185"/>
      <c r="P1067" s="33"/>
      <c r="Q1067" s="34"/>
    </row>
    <row r="1068" spans="1:17" x14ac:dyDescent="0.2">
      <c r="A1068" s="168"/>
      <c r="C1068" s="170"/>
    </row>
    <row r="1069" spans="1:17" x14ac:dyDescent="0.2">
      <c r="A1069" s="171" t="s">
        <v>14</v>
      </c>
      <c r="B1069" s="172" t="s">
        <v>79</v>
      </c>
      <c r="C1069" s="209" t="s">
        <v>15</v>
      </c>
      <c r="D1069" s="169"/>
      <c r="E1069" s="169"/>
      <c r="F1069" s="169"/>
      <c r="G1069" s="169"/>
      <c r="H1069" s="169"/>
      <c r="I1069" s="169"/>
      <c r="J1069" s="169"/>
      <c r="K1069" s="169"/>
      <c r="L1069" s="169"/>
      <c r="M1069" s="169"/>
      <c r="N1069" s="169"/>
    </row>
    <row r="1070" spans="1:17" x14ac:dyDescent="0.2">
      <c r="A1070" s="175" t="s">
        <v>16</v>
      </c>
      <c r="B1070" s="188">
        <v>2008</v>
      </c>
      <c r="C1070" s="188">
        <v>2009</v>
      </c>
      <c r="D1070" s="188">
        <v>2010</v>
      </c>
      <c r="E1070" s="188">
        <v>2011</v>
      </c>
      <c r="F1070" s="188">
        <v>2012</v>
      </c>
      <c r="G1070" s="188">
        <v>2013</v>
      </c>
      <c r="H1070" s="188">
        <v>2014</v>
      </c>
      <c r="I1070" s="188">
        <v>2015</v>
      </c>
      <c r="J1070" s="188">
        <v>2016</v>
      </c>
      <c r="K1070" s="188">
        <v>2017</v>
      </c>
      <c r="L1070" s="188">
        <v>2018</v>
      </c>
      <c r="M1070" s="188">
        <v>2019</v>
      </c>
      <c r="N1070" s="188">
        <v>2020</v>
      </c>
      <c r="O1070" s="188">
        <v>2021</v>
      </c>
      <c r="P1070" s="52">
        <v>2022</v>
      </c>
      <c r="Q1070" s="52">
        <v>2023</v>
      </c>
    </row>
    <row r="1071" spans="1:17" x14ac:dyDescent="0.2">
      <c r="A1071" s="175" t="s">
        <v>17</v>
      </c>
      <c r="B1071" s="189">
        <v>37</v>
      </c>
      <c r="C1071" s="189">
        <v>37</v>
      </c>
      <c r="D1071" s="189">
        <v>37</v>
      </c>
      <c r="E1071" s="189">
        <v>37</v>
      </c>
      <c r="F1071" s="189">
        <v>33.6</v>
      </c>
      <c r="G1071" s="189">
        <v>35</v>
      </c>
      <c r="H1071" s="189">
        <v>35</v>
      </c>
      <c r="I1071" s="189">
        <v>35</v>
      </c>
      <c r="J1071" s="189">
        <v>35</v>
      </c>
      <c r="K1071" s="189">
        <v>35</v>
      </c>
      <c r="L1071" s="189">
        <v>35</v>
      </c>
      <c r="M1071" s="189">
        <v>35</v>
      </c>
      <c r="N1071" s="189">
        <v>35</v>
      </c>
      <c r="O1071" s="189">
        <v>35</v>
      </c>
      <c r="P1071" s="23">
        <v>35</v>
      </c>
      <c r="Q1071" s="23">
        <v>35</v>
      </c>
    </row>
    <row r="1072" spans="1:17" x14ac:dyDescent="0.2">
      <c r="A1072" s="175" t="s">
        <v>18</v>
      </c>
      <c r="B1072" s="189">
        <v>37</v>
      </c>
      <c r="C1072" s="189">
        <v>37</v>
      </c>
      <c r="D1072" s="189">
        <v>37</v>
      </c>
      <c r="E1072" s="189">
        <v>37</v>
      </c>
      <c r="F1072" s="189">
        <v>33.6</v>
      </c>
      <c r="G1072" s="189">
        <v>35</v>
      </c>
      <c r="H1072" s="189">
        <v>35</v>
      </c>
      <c r="I1072" s="189">
        <v>42</v>
      </c>
      <c r="J1072" s="189">
        <v>42</v>
      </c>
      <c r="K1072" s="189">
        <v>42</v>
      </c>
      <c r="L1072" s="189">
        <v>42</v>
      </c>
      <c r="M1072" s="189">
        <v>42</v>
      </c>
      <c r="N1072" s="189">
        <v>42</v>
      </c>
      <c r="O1072" s="189">
        <v>42</v>
      </c>
      <c r="P1072" s="23"/>
      <c r="Q1072" s="23"/>
    </row>
    <row r="1073" spans="1:17" x14ac:dyDescent="0.2">
      <c r="A1073" s="175" t="s">
        <v>19</v>
      </c>
      <c r="B1073" s="189"/>
      <c r="C1073" s="189"/>
      <c r="D1073" s="189"/>
      <c r="E1073" s="189"/>
      <c r="F1073" s="189"/>
      <c r="G1073" s="189"/>
      <c r="H1073" s="189"/>
      <c r="I1073" s="189"/>
      <c r="J1073" s="189"/>
      <c r="K1073" s="189"/>
      <c r="L1073" s="189"/>
      <c r="M1073" s="189"/>
      <c r="N1073" s="189"/>
      <c r="O1073" s="189"/>
      <c r="P1073" s="23"/>
      <c r="Q1073" s="23"/>
    </row>
    <row r="1074" spans="1:17" x14ac:dyDescent="0.2">
      <c r="A1074" s="175" t="s">
        <v>20</v>
      </c>
      <c r="B1074" s="189">
        <v>28.84</v>
      </c>
      <c r="C1074" s="189">
        <v>28.802399999999999</v>
      </c>
      <c r="D1074" s="189">
        <v>40.781999999999996</v>
      </c>
      <c r="E1074" s="189">
        <v>27.9</v>
      </c>
      <c r="F1074" s="189">
        <v>49.6</v>
      </c>
      <c r="G1074" s="189">
        <v>16.899999999999999</v>
      </c>
      <c r="H1074" s="189">
        <v>5.7</v>
      </c>
      <c r="I1074" s="189">
        <v>9.9</v>
      </c>
      <c r="J1074" s="189">
        <v>12.6</v>
      </c>
      <c r="K1074" s="189">
        <v>9.1999999999999993</v>
      </c>
      <c r="L1074" s="189">
        <v>14.4</v>
      </c>
      <c r="M1074" s="189">
        <v>10.852466</v>
      </c>
      <c r="N1074" s="189">
        <v>7.9</v>
      </c>
      <c r="O1074" s="189">
        <v>6.1</v>
      </c>
      <c r="P1074" s="23">
        <v>4.2</v>
      </c>
      <c r="Q1074" s="23"/>
    </row>
    <row r="1075" spans="1:17" x14ac:dyDescent="0.2">
      <c r="A1075" s="175" t="s">
        <v>21</v>
      </c>
      <c r="B1075" s="189">
        <v>8.16</v>
      </c>
      <c r="C1075" s="189">
        <v>8.1976000000000013</v>
      </c>
      <c r="D1075" s="189">
        <v>3.782</v>
      </c>
      <c r="E1075" s="189">
        <v>9.1000000000000014</v>
      </c>
      <c r="F1075" s="189">
        <v>16</v>
      </c>
      <c r="G1075" s="189">
        <v>18.100000000000001</v>
      </c>
      <c r="H1075" s="189">
        <v>29.3</v>
      </c>
      <c r="I1075" s="189">
        <v>32.1</v>
      </c>
      <c r="J1075" s="189">
        <v>29.4</v>
      </c>
      <c r="K1075" s="189">
        <v>32.799999999999997</v>
      </c>
      <c r="L1075" s="189">
        <v>27.6</v>
      </c>
      <c r="M1075" s="189">
        <v>31.147534</v>
      </c>
      <c r="N1075" s="189">
        <f>N1072-N1074</f>
        <v>34.1</v>
      </c>
      <c r="O1075" s="189">
        <f>O1072-O1074</f>
        <v>35.9</v>
      </c>
      <c r="P1075" s="23">
        <f>P1071-P1074</f>
        <v>30.8</v>
      </c>
      <c r="Q1075" s="23"/>
    </row>
    <row r="1076" spans="1:17" x14ac:dyDescent="0.2">
      <c r="A1076" s="177" t="s">
        <v>22</v>
      </c>
      <c r="B1076" s="205"/>
      <c r="C1076" s="220"/>
      <c r="D1076" s="205"/>
      <c r="E1076" s="218"/>
      <c r="F1076" s="205"/>
      <c r="G1076" s="205"/>
      <c r="H1076" s="218"/>
      <c r="I1076" s="218"/>
      <c r="J1076" s="218"/>
      <c r="K1076" s="218"/>
      <c r="L1076" s="218"/>
      <c r="M1076" s="218"/>
      <c r="N1076" s="218"/>
      <c r="O1076" s="218"/>
      <c r="P1076" s="36"/>
      <c r="Q1076" s="36"/>
    </row>
    <row r="1077" spans="1:17" x14ac:dyDescent="0.2">
      <c r="A1077" s="175" t="s">
        <v>179</v>
      </c>
      <c r="B1077" s="192"/>
      <c r="C1077" s="192"/>
      <c r="D1077" s="192"/>
      <c r="E1077" s="192"/>
      <c r="F1077" s="192"/>
      <c r="G1077" s="192"/>
      <c r="H1077" s="192"/>
      <c r="I1077" s="192"/>
      <c r="J1077" s="192"/>
      <c r="K1077" s="192"/>
      <c r="L1077" s="192"/>
      <c r="M1077" s="192"/>
      <c r="N1077" s="192"/>
      <c r="O1077" s="192"/>
      <c r="P1077" s="59"/>
      <c r="Q1077" s="57"/>
    </row>
    <row r="1078" spans="1:17" x14ac:dyDescent="0.2">
      <c r="A1078" s="180" t="s">
        <v>200</v>
      </c>
      <c r="B1078" s="169"/>
      <c r="C1078" s="169"/>
      <c r="D1078" s="169"/>
      <c r="E1078" s="169"/>
      <c r="F1078" s="169"/>
      <c r="G1078" s="169"/>
      <c r="H1078" s="169"/>
      <c r="I1078" s="169"/>
      <c r="J1078" s="169"/>
      <c r="K1078" s="169"/>
      <c r="L1078" s="169"/>
      <c r="M1078" s="169"/>
      <c r="N1078" s="169"/>
      <c r="O1078" s="169"/>
      <c r="Q1078" s="21"/>
    </row>
    <row r="1079" spans="1:17" x14ac:dyDescent="0.2">
      <c r="A1079" s="180" t="s">
        <v>201</v>
      </c>
      <c r="B1079" s="169"/>
      <c r="C1079" s="169"/>
      <c r="D1079" s="169"/>
      <c r="E1079" s="169"/>
      <c r="F1079" s="169"/>
      <c r="G1079" s="169"/>
      <c r="H1079" s="169"/>
      <c r="I1079" s="169"/>
      <c r="J1079" s="169"/>
      <c r="K1079" s="169"/>
      <c r="L1079" s="169"/>
      <c r="M1079" s="169"/>
      <c r="N1079" s="169"/>
      <c r="O1079" s="169"/>
      <c r="Q1079" s="21"/>
    </row>
    <row r="1080" spans="1:17" x14ac:dyDescent="0.2">
      <c r="A1080" s="180" t="s">
        <v>212</v>
      </c>
      <c r="B1080" s="169"/>
      <c r="C1080" s="169"/>
      <c r="D1080" s="169"/>
      <c r="E1080" s="169"/>
      <c r="F1080" s="169"/>
      <c r="G1080" s="169"/>
      <c r="H1080" s="169"/>
      <c r="I1080" s="169"/>
      <c r="J1080" s="169"/>
      <c r="K1080" s="169"/>
      <c r="L1080" s="169"/>
      <c r="M1080" s="169"/>
      <c r="N1080" s="169"/>
      <c r="O1080" s="169"/>
      <c r="Q1080" s="21"/>
    </row>
    <row r="1081" spans="1:17" x14ac:dyDescent="0.2">
      <c r="A1081" s="180" t="s">
        <v>213</v>
      </c>
      <c r="B1081" s="169"/>
      <c r="C1081" s="169"/>
      <c r="D1081" s="169"/>
      <c r="E1081" s="169"/>
      <c r="F1081" s="169"/>
      <c r="G1081" s="169"/>
      <c r="H1081" s="169"/>
      <c r="I1081" s="169"/>
      <c r="J1081" s="169"/>
      <c r="K1081" s="169"/>
      <c r="L1081" s="169"/>
      <c r="M1081" s="169"/>
      <c r="N1081" s="169"/>
      <c r="O1081" s="169"/>
      <c r="Q1081" s="21"/>
    </row>
    <row r="1082" spans="1:17" x14ac:dyDescent="0.2">
      <c r="A1082" s="180" t="s">
        <v>214</v>
      </c>
      <c r="B1082" s="169"/>
      <c r="C1082" s="193"/>
      <c r="D1082" s="194"/>
      <c r="E1082" s="195"/>
      <c r="F1082" s="169"/>
      <c r="G1082" s="169"/>
      <c r="H1082" s="194"/>
      <c r="I1082" s="169"/>
      <c r="J1082" s="169"/>
      <c r="K1082" s="169"/>
      <c r="L1082" s="169"/>
      <c r="M1082" s="169"/>
      <c r="N1082" s="169"/>
      <c r="O1082" s="169"/>
      <c r="Q1082" s="21"/>
    </row>
    <row r="1083" spans="1:17" x14ac:dyDescent="0.2">
      <c r="A1083" s="180" t="s">
        <v>241</v>
      </c>
      <c r="B1083" s="169"/>
      <c r="C1083" s="169"/>
      <c r="D1083" s="169"/>
      <c r="E1083" s="169"/>
      <c r="F1083" s="169"/>
      <c r="G1083" s="169"/>
      <c r="H1083" s="194"/>
      <c r="I1083" s="169"/>
      <c r="J1083" s="169"/>
      <c r="K1083" s="169"/>
      <c r="L1083" s="169"/>
      <c r="M1083" s="169"/>
      <c r="N1083" s="169"/>
      <c r="O1083" s="169"/>
      <c r="Q1083" s="21"/>
    </row>
    <row r="1084" spans="1:17" x14ac:dyDescent="0.2">
      <c r="A1084" s="180" t="s">
        <v>283</v>
      </c>
      <c r="B1084" s="169"/>
      <c r="C1084" s="169"/>
      <c r="D1084" s="169"/>
      <c r="E1084" s="169"/>
      <c r="F1084" s="169"/>
      <c r="G1084" s="169"/>
      <c r="H1084" s="194"/>
      <c r="I1084" s="169"/>
      <c r="J1084" s="169"/>
      <c r="K1084" s="169"/>
      <c r="L1084" s="169"/>
      <c r="M1084" s="169"/>
      <c r="N1084" s="169"/>
      <c r="O1084" s="169"/>
      <c r="Q1084" s="21"/>
    </row>
    <row r="1085" spans="1:17" x14ac:dyDescent="0.2">
      <c r="A1085" s="180" t="s">
        <v>284</v>
      </c>
      <c r="B1085" s="169"/>
      <c r="C1085" s="169"/>
      <c r="D1085" s="169"/>
      <c r="E1085" s="169"/>
      <c r="F1085" s="169"/>
      <c r="G1085" s="169"/>
      <c r="H1085" s="194"/>
      <c r="I1085" s="169"/>
      <c r="J1085" s="169"/>
      <c r="K1085" s="169"/>
      <c r="L1085" s="169"/>
      <c r="M1085" s="169"/>
      <c r="N1085" s="169"/>
      <c r="O1085" s="169"/>
      <c r="Q1085" s="21"/>
    </row>
    <row r="1086" spans="1:17" x14ac:dyDescent="0.2">
      <c r="A1086" s="180" t="s">
        <v>285</v>
      </c>
      <c r="B1086" s="169"/>
      <c r="C1086" s="169"/>
      <c r="D1086" s="169"/>
      <c r="E1086" s="169"/>
      <c r="F1086" s="169"/>
      <c r="G1086" s="169"/>
      <c r="H1086" s="194"/>
      <c r="I1086" s="169"/>
      <c r="J1086" s="169"/>
      <c r="K1086" s="169"/>
      <c r="L1086" s="169"/>
      <c r="M1086" s="169"/>
      <c r="N1086" s="169"/>
      <c r="O1086" s="169"/>
      <c r="Q1086" s="21"/>
    </row>
    <row r="1087" spans="1:17" x14ac:dyDescent="0.2">
      <c r="A1087" s="180" t="s">
        <v>668</v>
      </c>
      <c r="B1087" s="169"/>
      <c r="C1087" s="169"/>
      <c r="D1087" s="169"/>
      <c r="E1087" s="169"/>
      <c r="F1087" s="169"/>
      <c r="G1087" s="169"/>
      <c r="H1087" s="194"/>
      <c r="I1087" s="169"/>
      <c r="J1087" s="169"/>
      <c r="K1087" s="169"/>
      <c r="L1087" s="169"/>
      <c r="M1087" s="169"/>
      <c r="N1087" s="169"/>
      <c r="O1087" s="169"/>
      <c r="Q1087" s="21"/>
    </row>
    <row r="1088" spans="1:17" x14ac:dyDescent="0.2">
      <c r="A1088" s="173" t="s">
        <v>879</v>
      </c>
      <c r="B1088" s="185"/>
      <c r="C1088" s="185"/>
      <c r="D1088" s="185"/>
      <c r="E1088" s="185"/>
      <c r="F1088" s="185"/>
      <c r="G1088" s="185"/>
      <c r="H1088" s="185"/>
      <c r="I1088" s="185"/>
      <c r="J1088" s="185"/>
      <c r="K1088" s="185"/>
      <c r="L1088" s="185"/>
      <c r="M1088" s="185"/>
      <c r="N1088" s="185"/>
      <c r="O1088" s="185"/>
      <c r="P1088" s="33"/>
      <c r="Q1088" s="34"/>
    </row>
    <row r="1089" spans="1:5" x14ac:dyDescent="0.2">
      <c r="A1089" s="168"/>
      <c r="C1089" s="170"/>
    </row>
    <row r="1090" spans="1:5" s="221" customFormat="1" x14ac:dyDescent="0.2">
      <c r="A1090" s="171" t="s">
        <v>14</v>
      </c>
      <c r="B1090" s="172" t="s">
        <v>580</v>
      </c>
      <c r="C1090" s="172" t="s">
        <v>15</v>
      </c>
      <c r="D1090" s="169"/>
    </row>
    <row r="1091" spans="1:5" s="221" customFormat="1" x14ac:dyDescent="0.2">
      <c r="A1091" s="173" t="s">
        <v>16</v>
      </c>
      <c r="B1091" s="187">
        <v>2020</v>
      </c>
      <c r="C1091" s="188">
        <v>2021</v>
      </c>
      <c r="D1091" s="188">
        <v>2022</v>
      </c>
      <c r="E1091" s="188">
        <v>2023</v>
      </c>
    </row>
    <row r="1092" spans="1:5" s="221" customFormat="1" x14ac:dyDescent="0.2">
      <c r="A1092" s="175" t="s">
        <v>17</v>
      </c>
      <c r="B1092" s="189">
        <v>4010</v>
      </c>
      <c r="C1092" s="189">
        <v>4010</v>
      </c>
      <c r="D1092" s="189">
        <v>4010</v>
      </c>
      <c r="E1092" s="189">
        <v>4010</v>
      </c>
    </row>
    <row r="1093" spans="1:5" s="221" customFormat="1" x14ac:dyDescent="0.2">
      <c r="A1093" s="175" t="s">
        <v>18</v>
      </c>
      <c r="B1093" s="189">
        <v>4010</v>
      </c>
      <c r="C1093" s="189"/>
      <c r="D1093" s="189"/>
      <c r="E1093" s="189"/>
    </row>
    <row r="1094" spans="1:5" s="221" customFormat="1" x14ac:dyDescent="0.2">
      <c r="A1094" s="175" t="s">
        <v>19</v>
      </c>
      <c r="B1094" s="189"/>
      <c r="C1094" s="189"/>
      <c r="D1094" s="189"/>
      <c r="E1094" s="189"/>
    </row>
    <row r="1095" spans="1:5" s="221" customFormat="1" x14ac:dyDescent="0.2">
      <c r="A1095" s="175" t="s">
        <v>20</v>
      </c>
      <c r="B1095" s="189">
        <v>1896.6</v>
      </c>
      <c r="C1095" s="189">
        <v>1798</v>
      </c>
      <c r="D1095" s="189">
        <v>1612.8</v>
      </c>
      <c r="E1095" s="189"/>
    </row>
    <row r="1096" spans="1:5" s="221" customFormat="1" x14ac:dyDescent="0.2">
      <c r="A1096" s="175" t="s">
        <v>21</v>
      </c>
      <c r="B1096" s="189">
        <v>2113.4</v>
      </c>
      <c r="C1096" s="189">
        <f>C1092-C1095</f>
        <v>2212</v>
      </c>
      <c r="D1096" s="189">
        <f>D1092-D1095</f>
        <v>2397.1999999999998</v>
      </c>
      <c r="E1096" s="189"/>
    </row>
    <row r="1097" spans="1:5" s="221" customFormat="1" x14ac:dyDescent="0.2">
      <c r="A1097" s="177" t="s">
        <v>22</v>
      </c>
      <c r="B1097" s="205"/>
      <c r="C1097" s="205"/>
      <c r="D1097" s="205"/>
      <c r="E1097" s="205"/>
    </row>
    <row r="1098" spans="1:5" s="221" customFormat="1" x14ac:dyDescent="0.2">
      <c r="A1098" s="177" t="s">
        <v>23</v>
      </c>
      <c r="B1098" s="178"/>
      <c r="C1098" s="178"/>
      <c r="D1098" s="179"/>
      <c r="E1098" s="179"/>
    </row>
    <row r="1099" spans="1:5" s="221" customFormat="1" x14ac:dyDescent="0.2">
      <c r="A1099" s="177" t="s">
        <v>880</v>
      </c>
      <c r="B1099" s="178"/>
      <c r="C1099" s="178"/>
      <c r="D1099" s="178"/>
      <c r="E1099" s="179"/>
    </row>
    <row r="1100" spans="1:5" s="221" customFormat="1" x14ac:dyDescent="0.2">
      <c r="A1100" s="180" t="s">
        <v>669</v>
      </c>
      <c r="B1100" s="169"/>
      <c r="C1100" s="169"/>
      <c r="D1100" s="169"/>
      <c r="E1100" s="181"/>
    </row>
    <row r="1101" spans="1:5" s="221" customFormat="1" x14ac:dyDescent="0.2">
      <c r="A1101" s="180" t="s">
        <v>670</v>
      </c>
      <c r="B1101" s="169"/>
      <c r="C1101" s="169"/>
      <c r="D1101" s="169"/>
      <c r="E1101" s="181"/>
    </row>
    <row r="1102" spans="1:5" s="221" customFormat="1" x14ac:dyDescent="0.2">
      <c r="A1102" s="180" t="s">
        <v>881</v>
      </c>
      <c r="B1102" s="169"/>
      <c r="C1102" s="169"/>
      <c r="D1102" s="169"/>
      <c r="E1102" s="181"/>
    </row>
    <row r="1103" spans="1:5" x14ac:dyDescent="0.2">
      <c r="A1103" s="563" t="s">
        <v>882</v>
      </c>
      <c r="B1103" s="33"/>
      <c r="C1103" s="167"/>
      <c r="D1103" s="33"/>
      <c r="E1103" s="34"/>
    </row>
    <row r="1104" spans="1:5" x14ac:dyDescent="0.2">
      <c r="A1104" s="168"/>
      <c r="C1104" s="170"/>
    </row>
    <row r="1105" spans="1:11" x14ac:dyDescent="0.2">
      <c r="A1105" s="168"/>
      <c r="C1105" s="170"/>
    </row>
    <row r="1106" spans="1:11" x14ac:dyDescent="0.2">
      <c r="A1106" s="702" t="s">
        <v>698</v>
      </c>
      <c r="B1106" s="681" t="s">
        <v>697</v>
      </c>
      <c r="C1106" s="7"/>
      <c r="D1106" s="7"/>
      <c r="E1106" s="7"/>
      <c r="F1106" s="7"/>
      <c r="G1106" s="7"/>
    </row>
    <row r="1107" spans="1:11" x14ac:dyDescent="0.2">
      <c r="A1107" s="694" t="s">
        <v>14</v>
      </c>
      <c r="B1107" s="699" t="s">
        <v>638</v>
      </c>
      <c r="C1107" s="13" t="s">
        <v>15</v>
      </c>
      <c r="D1107" s="7"/>
      <c r="E1107" s="7"/>
      <c r="F1107" s="7"/>
      <c r="G1107" s="7"/>
    </row>
    <row r="1108" spans="1:11" x14ac:dyDescent="0.2">
      <c r="A1108" s="14" t="s">
        <v>16</v>
      </c>
      <c r="B1108" s="110">
        <v>2014</v>
      </c>
      <c r="C1108" s="79">
        <v>2015</v>
      </c>
      <c r="D1108" s="79">
        <v>2016</v>
      </c>
      <c r="E1108" s="79">
        <v>2017</v>
      </c>
      <c r="F1108" s="80">
        <v>2018</v>
      </c>
      <c r="G1108" s="80">
        <v>2019</v>
      </c>
      <c r="H1108" s="52">
        <v>2020</v>
      </c>
      <c r="I1108" s="52">
        <v>2021</v>
      </c>
      <c r="J1108" s="52">
        <v>2022</v>
      </c>
      <c r="K1108" s="52">
        <v>2023</v>
      </c>
    </row>
    <row r="1109" spans="1:11" x14ac:dyDescent="0.2">
      <c r="A1109" s="8" t="s">
        <v>17</v>
      </c>
      <c r="B1109" s="29">
        <v>200</v>
      </c>
      <c r="C1109" s="29">
        <v>200</v>
      </c>
      <c r="D1109" s="29">
        <v>200</v>
      </c>
      <c r="E1109" s="29">
        <v>200</v>
      </c>
      <c r="F1109" s="43">
        <v>200</v>
      </c>
      <c r="G1109" s="43">
        <v>215</v>
      </c>
      <c r="H1109" s="43">
        <v>215</v>
      </c>
      <c r="I1109" s="43">
        <v>242</v>
      </c>
      <c r="J1109" s="43">
        <v>242</v>
      </c>
      <c r="K1109" s="43">
        <v>242</v>
      </c>
    </row>
    <row r="1110" spans="1:11" x14ac:dyDescent="0.2">
      <c r="A1110" s="8" t="s">
        <v>18</v>
      </c>
      <c r="B1110" s="29">
        <v>250</v>
      </c>
      <c r="C1110" s="29">
        <v>215.6</v>
      </c>
      <c r="D1110" s="29">
        <v>250</v>
      </c>
      <c r="E1110" s="29">
        <v>250</v>
      </c>
      <c r="F1110" s="43">
        <v>250</v>
      </c>
      <c r="G1110" s="43">
        <v>265</v>
      </c>
      <c r="H1110" s="43">
        <v>265</v>
      </c>
      <c r="I1110" s="43">
        <f>I1109+0.25*G1109</f>
        <v>295.75</v>
      </c>
      <c r="J1110" s="43">
        <f>J1109+0.25*H1109</f>
        <v>295.75</v>
      </c>
      <c r="K1110" s="43">
        <f>K1109+I1109*0.25</f>
        <v>302.5</v>
      </c>
    </row>
    <row r="1111" spans="1:11" x14ac:dyDescent="0.2">
      <c r="A1111" s="8" t="s">
        <v>19</v>
      </c>
      <c r="B1111" s="11" t="s">
        <v>132</v>
      </c>
      <c r="C1111" s="12" t="s">
        <v>133</v>
      </c>
      <c r="D1111" s="12" t="s">
        <v>134</v>
      </c>
      <c r="E1111" s="12" t="s">
        <v>134</v>
      </c>
      <c r="F1111" s="12" t="s">
        <v>134</v>
      </c>
      <c r="G1111" s="12" t="s">
        <v>505</v>
      </c>
      <c r="H1111" s="12" t="s">
        <v>505</v>
      </c>
      <c r="I1111" s="12" t="s">
        <v>506</v>
      </c>
      <c r="J1111" s="12" t="s">
        <v>506</v>
      </c>
      <c r="K1111" s="12" t="s">
        <v>892</v>
      </c>
    </row>
    <row r="1112" spans="1:11" x14ac:dyDescent="0.2">
      <c r="A1112" s="8" t="s">
        <v>20</v>
      </c>
      <c r="B1112" s="29">
        <v>63.87</v>
      </c>
      <c r="C1112" s="29">
        <v>4.54</v>
      </c>
      <c r="D1112" s="29">
        <v>13.18</v>
      </c>
      <c r="E1112" s="29">
        <v>7.9</v>
      </c>
      <c r="F1112" s="43">
        <v>27.27</v>
      </c>
      <c r="G1112" s="43">
        <v>48.48</v>
      </c>
      <c r="H1112" s="23">
        <v>115.9</v>
      </c>
      <c r="I1112" s="23">
        <v>114.61</v>
      </c>
      <c r="J1112" s="23">
        <v>124.28</v>
      </c>
      <c r="K1112" s="23"/>
    </row>
    <row r="1113" spans="1:11" x14ac:dyDescent="0.2">
      <c r="A1113" s="8" t="s">
        <v>21</v>
      </c>
      <c r="B1113" s="29">
        <v>186.13</v>
      </c>
      <c r="C1113" s="29">
        <v>211.06</v>
      </c>
      <c r="D1113" s="29">
        <v>236.82</v>
      </c>
      <c r="E1113" s="29">
        <v>242.1</v>
      </c>
      <c r="F1113" s="43">
        <v>222.73</v>
      </c>
      <c r="G1113" s="43">
        <f>G1110-G1112</f>
        <v>216.52</v>
      </c>
      <c r="H1113" s="23">
        <f>H1110-H1112</f>
        <v>149.1</v>
      </c>
      <c r="I1113" s="23">
        <f>I1110-I1112</f>
        <v>181.14</v>
      </c>
      <c r="J1113" s="23">
        <f>J1110-J1112</f>
        <v>171.47</v>
      </c>
      <c r="K1113" s="23"/>
    </row>
    <row r="1114" spans="1:11" x14ac:dyDescent="0.2">
      <c r="A1114" s="37" t="s">
        <v>22</v>
      </c>
      <c r="B1114" s="65">
        <v>2016</v>
      </c>
      <c r="C1114" s="65">
        <v>2017</v>
      </c>
      <c r="D1114" s="65">
        <v>2018</v>
      </c>
      <c r="E1114" s="65">
        <v>2019</v>
      </c>
      <c r="F1114" s="67">
        <v>2020</v>
      </c>
      <c r="G1114" s="67">
        <v>2021</v>
      </c>
      <c r="H1114" s="58">
        <v>2022</v>
      </c>
      <c r="I1114" s="58">
        <v>2023</v>
      </c>
      <c r="J1114" s="58">
        <v>2024</v>
      </c>
      <c r="K1114" s="58">
        <v>2025</v>
      </c>
    </row>
    <row r="1115" spans="1:11" x14ac:dyDescent="0.2">
      <c r="A1115" s="122" t="s">
        <v>135</v>
      </c>
      <c r="B1115" s="123"/>
      <c r="C1115" s="123"/>
      <c r="D1115" s="123"/>
      <c r="E1115" s="123"/>
      <c r="F1115" s="123"/>
      <c r="G1115" s="123"/>
      <c r="H1115" s="123"/>
      <c r="I1115" s="123"/>
      <c r="J1115" s="59"/>
      <c r="K1115" s="57"/>
    </row>
    <row r="1116" spans="1:11" x14ac:dyDescent="0.2">
      <c r="A1116" s="168"/>
      <c r="C1116" s="170"/>
    </row>
    <row r="1117" spans="1:11" x14ac:dyDescent="0.2">
      <c r="A1117" s="16" t="s">
        <v>14</v>
      </c>
      <c r="B1117" s="13" t="s">
        <v>657</v>
      </c>
      <c r="C1117" s="13" t="s">
        <v>15</v>
      </c>
      <c r="D1117" s="7"/>
      <c r="E1117" s="7"/>
      <c r="F1117" s="7"/>
      <c r="G1117" s="7"/>
    </row>
    <row r="1118" spans="1:11" x14ac:dyDescent="0.2">
      <c r="A1118" s="14" t="s">
        <v>16</v>
      </c>
      <c r="B1118" s="110">
        <v>2014</v>
      </c>
      <c r="C1118" s="79">
        <v>2015</v>
      </c>
      <c r="D1118" s="79">
        <v>2016</v>
      </c>
      <c r="E1118" s="79">
        <v>2017</v>
      </c>
      <c r="F1118" s="80">
        <v>2018</v>
      </c>
      <c r="G1118" s="80">
        <v>2019</v>
      </c>
      <c r="H1118" s="52">
        <v>2020</v>
      </c>
      <c r="I1118" s="52">
        <v>2021</v>
      </c>
      <c r="J1118" s="52">
        <v>2022</v>
      </c>
      <c r="K1118" s="52">
        <v>2023</v>
      </c>
    </row>
    <row r="1119" spans="1:11" x14ac:dyDescent="0.2">
      <c r="A1119" s="8" t="s">
        <v>17</v>
      </c>
      <c r="B1119" s="29">
        <v>140</v>
      </c>
      <c r="C1119" s="29">
        <v>140</v>
      </c>
      <c r="D1119" s="29">
        <v>140</v>
      </c>
      <c r="E1119" s="29">
        <v>140</v>
      </c>
      <c r="F1119" s="43">
        <v>140</v>
      </c>
      <c r="G1119" s="43">
        <v>140</v>
      </c>
      <c r="H1119" s="43">
        <v>140</v>
      </c>
      <c r="I1119" s="43">
        <v>140</v>
      </c>
      <c r="J1119" s="43">
        <v>140</v>
      </c>
      <c r="K1119" s="249">
        <v>170</v>
      </c>
    </row>
    <row r="1120" spans="1:11" x14ac:dyDescent="0.2">
      <c r="A1120" s="8" t="s">
        <v>18</v>
      </c>
      <c r="B1120" s="29">
        <v>140</v>
      </c>
      <c r="C1120" s="29">
        <v>177.5</v>
      </c>
      <c r="D1120" s="29">
        <v>175</v>
      </c>
      <c r="E1120" s="29">
        <v>175</v>
      </c>
      <c r="F1120" s="43">
        <v>175</v>
      </c>
      <c r="G1120" s="43">
        <v>175</v>
      </c>
      <c r="H1120" s="43">
        <v>148.36000000000001</v>
      </c>
      <c r="I1120" s="43">
        <v>144.99</v>
      </c>
      <c r="J1120" s="43">
        <f>J1119+H1123</f>
        <v>156.91000000000003</v>
      </c>
      <c r="K1120" s="249">
        <f>K1119+I1123</f>
        <v>183.97</v>
      </c>
    </row>
    <row r="1121" spans="1:11" x14ac:dyDescent="0.2">
      <c r="A1121" s="8" t="s">
        <v>19</v>
      </c>
      <c r="B1121" s="12" t="s">
        <v>136</v>
      </c>
      <c r="C1121" s="12" t="s">
        <v>137</v>
      </c>
      <c r="D1121" s="12" t="s">
        <v>138</v>
      </c>
      <c r="E1121" s="12" t="s">
        <v>138</v>
      </c>
      <c r="F1121" s="12" t="s">
        <v>138</v>
      </c>
      <c r="G1121" s="12" t="s">
        <v>138</v>
      </c>
      <c r="H1121" s="12" t="s">
        <v>286</v>
      </c>
      <c r="I1121" s="12" t="s">
        <v>507</v>
      </c>
      <c r="J1121" s="12" t="s">
        <v>508</v>
      </c>
      <c r="K1121" s="481" t="s">
        <v>763</v>
      </c>
    </row>
    <row r="1122" spans="1:11" x14ac:dyDescent="0.2">
      <c r="A1122" s="8" t="s">
        <v>20</v>
      </c>
      <c r="B1122" s="29">
        <v>3.42</v>
      </c>
      <c r="C1122" s="29">
        <v>3.47</v>
      </c>
      <c r="D1122" s="29">
        <v>48.27</v>
      </c>
      <c r="E1122" s="29">
        <v>85.96</v>
      </c>
      <c r="F1122" s="43">
        <v>166.64</v>
      </c>
      <c r="G1122" s="43">
        <v>170.01</v>
      </c>
      <c r="H1122" s="23">
        <v>131.44999999999999</v>
      </c>
      <c r="I1122" s="23">
        <v>131.02000000000001</v>
      </c>
      <c r="J1122" s="23">
        <v>152.91999999999999</v>
      </c>
      <c r="K1122" s="23"/>
    </row>
    <row r="1123" spans="1:11" x14ac:dyDescent="0.2">
      <c r="A1123" s="8" t="s">
        <v>21</v>
      </c>
      <c r="B1123" s="222">
        <v>136.58000000000001</v>
      </c>
      <c r="C1123" s="29">
        <v>174.03</v>
      </c>
      <c r="D1123" s="29">
        <v>126.73</v>
      </c>
      <c r="E1123" s="29">
        <v>89.04</v>
      </c>
      <c r="F1123" s="43">
        <v>8.36</v>
      </c>
      <c r="G1123" s="43">
        <f>G1120-G1122</f>
        <v>4.9900000000000091</v>
      </c>
      <c r="H1123" s="23">
        <f>H1120-H1122</f>
        <v>16.910000000000025</v>
      </c>
      <c r="I1123" s="23">
        <f>I1120-I1122</f>
        <v>13.969999999999999</v>
      </c>
      <c r="J1123" s="23">
        <f>J1120-J1122</f>
        <v>3.9900000000000375</v>
      </c>
      <c r="K1123" s="23"/>
    </row>
    <row r="1124" spans="1:11" x14ac:dyDescent="0.2">
      <c r="A1124" s="37" t="s">
        <v>22</v>
      </c>
      <c r="B1124" s="65">
        <v>2016</v>
      </c>
      <c r="C1124" s="65">
        <v>2017</v>
      </c>
      <c r="D1124" s="65">
        <v>2018</v>
      </c>
      <c r="E1124" s="65">
        <v>2019</v>
      </c>
      <c r="F1124" s="67">
        <v>2020</v>
      </c>
      <c r="G1124" s="67">
        <v>2021</v>
      </c>
      <c r="H1124" s="58">
        <v>2022</v>
      </c>
      <c r="I1124" s="58">
        <v>2023</v>
      </c>
      <c r="J1124" s="58">
        <v>2024</v>
      </c>
      <c r="K1124" s="58">
        <v>2025</v>
      </c>
    </row>
    <row r="1125" spans="1:11" x14ac:dyDescent="0.2">
      <c r="A1125" s="122" t="s">
        <v>135</v>
      </c>
      <c r="B1125" s="123"/>
      <c r="C1125" s="123"/>
      <c r="D1125" s="123"/>
      <c r="E1125" s="123"/>
      <c r="F1125" s="123"/>
      <c r="G1125" s="123"/>
      <c r="H1125" s="123"/>
      <c r="I1125" s="100"/>
      <c r="J1125" s="100"/>
      <c r="K1125" s="99"/>
    </row>
    <row r="1126" spans="1:11" x14ac:dyDescent="0.2">
      <c r="A1126" s="168"/>
      <c r="C1126" s="170"/>
    </row>
    <row r="1127" spans="1:11" x14ac:dyDescent="0.2">
      <c r="A1127" s="16" t="s">
        <v>14</v>
      </c>
      <c r="B1127" s="13" t="s">
        <v>637</v>
      </c>
      <c r="C1127" s="13" t="s">
        <v>152</v>
      </c>
      <c r="D1127" s="7"/>
      <c r="E1127" s="7"/>
      <c r="F1127" s="7"/>
      <c r="G1127" s="7"/>
    </row>
    <row r="1128" spans="1:11" x14ac:dyDescent="0.2">
      <c r="A1128" s="14" t="s">
        <v>16</v>
      </c>
      <c r="B1128" s="110">
        <v>2014</v>
      </c>
      <c r="C1128" s="79">
        <v>2015</v>
      </c>
      <c r="D1128" s="79">
        <v>2016</v>
      </c>
      <c r="E1128" s="79" t="s">
        <v>242</v>
      </c>
      <c r="F1128" s="79" t="s">
        <v>243</v>
      </c>
      <c r="G1128" s="79" t="s">
        <v>244</v>
      </c>
      <c r="H1128" s="79" t="s">
        <v>287</v>
      </c>
      <c r="I1128" s="79" t="s">
        <v>512</v>
      </c>
      <c r="J1128" s="79" t="s">
        <v>699</v>
      </c>
      <c r="K1128" s="79" t="s">
        <v>893</v>
      </c>
    </row>
    <row r="1129" spans="1:11" x14ac:dyDescent="0.2">
      <c r="A1129" s="8" t="s">
        <v>17</v>
      </c>
      <c r="B1129" s="29">
        <v>50</v>
      </c>
      <c r="C1129" s="29">
        <v>50</v>
      </c>
      <c r="D1129" s="29">
        <v>50</v>
      </c>
      <c r="E1129" s="29">
        <v>50</v>
      </c>
      <c r="F1129" s="29">
        <v>50</v>
      </c>
      <c r="G1129" s="29">
        <v>50</v>
      </c>
      <c r="H1129" s="23">
        <v>50</v>
      </c>
      <c r="I1129" s="23">
        <v>50</v>
      </c>
      <c r="J1129" s="23">
        <v>50</v>
      </c>
      <c r="K1129" s="23">
        <v>50</v>
      </c>
    </row>
    <row r="1130" spans="1:11" x14ac:dyDescent="0.2">
      <c r="A1130" s="8" t="s">
        <v>18</v>
      </c>
      <c r="B1130" s="29">
        <v>45.6</v>
      </c>
      <c r="C1130" s="29">
        <v>45.6</v>
      </c>
      <c r="D1130" s="29">
        <v>65.34</v>
      </c>
      <c r="E1130" s="29">
        <v>75</v>
      </c>
      <c r="F1130" s="29">
        <v>70</v>
      </c>
      <c r="G1130" s="29">
        <v>70</v>
      </c>
      <c r="H1130" s="23">
        <v>70</v>
      </c>
      <c r="I1130" s="23">
        <v>70</v>
      </c>
      <c r="J1130" s="23">
        <v>70</v>
      </c>
      <c r="K1130" s="23">
        <v>70</v>
      </c>
    </row>
    <row r="1131" spans="1:11" x14ac:dyDescent="0.2">
      <c r="A1131" s="8" t="s">
        <v>19</v>
      </c>
      <c r="B1131" s="44" t="s">
        <v>139</v>
      </c>
      <c r="C1131" s="12" t="s">
        <v>139</v>
      </c>
      <c r="D1131" s="12" t="s">
        <v>140</v>
      </c>
      <c r="E1131" s="12" t="s">
        <v>141</v>
      </c>
      <c r="F1131" s="12" t="s">
        <v>245</v>
      </c>
      <c r="G1131" s="12" t="s">
        <v>245</v>
      </c>
      <c r="H1131" s="22" t="s">
        <v>245</v>
      </c>
      <c r="I1131" s="22" t="s">
        <v>245</v>
      </c>
      <c r="J1131" s="22" t="s">
        <v>245</v>
      </c>
      <c r="K1131" s="22" t="s">
        <v>245</v>
      </c>
    </row>
    <row r="1132" spans="1:11" x14ac:dyDescent="0.2">
      <c r="A1132" s="8" t="s">
        <v>20</v>
      </c>
      <c r="B1132" s="29">
        <v>34.659999999999997</v>
      </c>
      <c r="C1132" s="29">
        <v>0</v>
      </c>
      <c r="D1132" s="29">
        <v>9.14</v>
      </c>
      <c r="E1132" s="29">
        <v>18.559999999999999</v>
      </c>
      <c r="F1132" s="29">
        <v>8.7899999999999991</v>
      </c>
      <c r="G1132" s="29">
        <v>9.3699999999999992</v>
      </c>
      <c r="H1132" s="23">
        <v>13.7</v>
      </c>
      <c r="I1132" s="23">
        <v>13.48</v>
      </c>
      <c r="J1132" s="23">
        <v>16.86</v>
      </c>
      <c r="K1132" s="23"/>
    </row>
    <row r="1133" spans="1:11" x14ac:dyDescent="0.2">
      <c r="A1133" s="8" t="s">
        <v>21</v>
      </c>
      <c r="B1133" s="29">
        <v>10.94</v>
      </c>
      <c r="C1133" s="29">
        <v>45.6</v>
      </c>
      <c r="D1133" s="29">
        <v>56.2</v>
      </c>
      <c r="E1133" s="29">
        <v>56.44</v>
      </c>
      <c r="F1133" s="29">
        <v>61.21</v>
      </c>
      <c r="G1133" s="29">
        <f>G1130-G1132</f>
        <v>60.63</v>
      </c>
      <c r="H1133" s="29">
        <f>H1130-H1132</f>
        <v>56.3</v>
      </c>
      <c r="I1133" s="29">
        <f>I1130-I1132</f>
        <v>56.519999999999996</v>
      </c>
      <c r="J1133" s="29">
        <f>J1130-J1132</f>
        <v>53.14</v>
      </c>
      <c r="K1133" s="23"/>
    </row>
    <row r="1134" spans="1:11" x14ac:dyDescent="0.2">
      <c r="A1134" s="37" t="s">
        <v>22</v>
      </c>
      <c r="B1134" s="65">
        <v>2016</v>
      </c>
      <c r="C1134" s="65">
        <v>2017</v>
      </c>
      <c r="D1134" s="65">
        <v>2018</v>
      </c>
      <c r="E1134" s="65">
        <v>2019</v>
      </c>
      <c r="F1134" s="65">
        <v>2020</v>
      </c>
      <c r="G1134" s="65">
        <v>2021</v>
      </c>
      <c r="H1134" s="58">
        <v>2022</v>
      </c>
      <c r="I1134" s="58">
        <v>2023</v>
      </c>
      <c r="J1134" s="58">
        <v>2024</v>
      </c>
      <c r="K1134" s="58">
        <v>2025</v>
      </c>
    </row>
    <row r="1135" spans="1:11" x14ac:dyDescent="0.2">
      <c r="A1135" s="37" t="s">
        <v>588</v>
      </c>
      <c r="B1135" s="101"/>
      <c r="C1135" s="101"/>
      <c r="D1135" s="101"/>
      <c r="E1135" s="101"/>
      <c r="F1135" s="101"/>
      <c r="G1135" s="101"/>
      <c r="H1135" s="82"/>
      <c r="I1135" s="82"/>
      <c r="J1135" s="82"/>
      <c r="K1135" s="83"/>
    </row>
    <row r="1136" spans="1:11" x14ac:dyDescent="0.2">
      <c r="A1136" s="17" t="s">
        <v>510</v>
      </c>
      <c r="B1136" s="615"/>
      <c r="C1136" s="615"/>
      <c r="D1136" s="615"/>
      <c r="E1136" s="615"/>
      <c r="F1136" s="615"/>
      <c r="G1136" s="615"/>
      <c r="H1136" s="113"/>
      <c r="K1136" s="21"/>
    </row>
    <row r="1137" spans="1:11" x14ac:dyDescent="0.2">
      <c r="A1137" s="14" t="s">
        <v>511</v>
      </c>
      <c r="B1137" s="15"/>
      <c r="C1137" s="15"/>
      <c r="D1137" s="15"/>
      <c r="E1137" s="15"/>
      <c r="F1137" s="15"/>
      <c r="G1137" s="15"/>
      <c r="H1137" s="15"/>
      <c r="I1137" s="33"/>
      <c r="J1137" s="33"/>
      <c r="K1137" s="34"/>
    </row>
    <row r="1138" spans="1:11" ht="15.6" customHeight="1" x14ac:dyDescent="0.2">
      <c r="A1138" s="28"/>
      <c r="B1138" s="7"/>
      <c r="C1138" s="7"/>
      <c r="D1138" s="7"/>
      <c r="E1138" s="7"/>
      <c r="F1138" s="7"/>
      <c r="G1138" s="7"/>
    </row>
    <row r="1139" spans="1:11" x14ac:dyDescent="0.2">
      <c r="A1139" s="16" t="s">
        <v>14</v>
      </c>
      <c r="B1139" s="13" t="s">
        <v>660</v>
      </c>
      <c r="C1139" s="10" t="s">
        <v>152</v>
      </c>
      <c r="D1139" s="7"/>
      <c r="E1139" s="7"/>
      <c r="F1139" s="7"/>
      <c r="G1139" s="7"/>
    </row>
    <row r="1140" spans="1:11" x14ac:dyDescent="0.2">
      <c r="A1140" s="14" t="s">
        <v>16</v>
      </c>
      <c r="B1140" s="110">
        <v>2014</v>
      </c>
      <c r="C1140" s="79">
        <v>2015</v>
      </c>
      <c r="D1140" s="79">
        <v>2016</v>
      </c>
      <c r="E1140" s="79">
        <v>2017</v>
      </c>
      <c r="F1140" s="79" t="s">
        <v>243</v>
      </c>
      <c r="G1140" s="79" t="s">
        <v>244</v>
      </c>
      <c r="H1140" s="52" t="s">
        <v>287</v>
      </c>
      <c r="I1140" s="52" t="s">
        <v>512</v>
      </c>
      <c r="J1140" s="52" t="s">
        <v>699</v>
      </c>
      <c r="K1140" s="52">
        <v>2023</v>
      </c>
    </row>
    <row r="1141" spans="1:11" x14ac:dyDescent="0.2">
      <c r="A1141" s="8" t="s">
        <v>17</v>
      </c>
      <c r="B1141" s="29">
        <v>50</v>
      </c>
      <c r="C1141" s="29">
        <v>50</v>
      </c>
      <c r="D1141" s="29">
        <v>50</v>
      </c>
      <c r="E1141" s="29">
        <v>50</v>
      </c>
      <c r="F1141" s="29">
        <v>50</v>
      </c>
      <c r="G1141" s="29">
        <v>50</v>
      </c>
      <c r="H1141" s="23">
        <v>50</v>
      </c>
      <c r="I1141" s="23">
        <v>50</v>
      </c>
      <c r="J1141" s="23">
        <v>50</v>
      </c>
      <c r="K1141" s="23">
        <v>50</v>
      </c>
    </row>
    <row r="1142" spans="1:11" x14ac:dyDescent="0.2">
      <c r="A1142" s="8" t="s">
        <v>18</v>
      </c>
      <c r="B1142" s="29">
        <v>50</v>
      </c>
      <c r="C1142" s="29">
        <v>60.7</v>
      </c>
      <c r="D1142" s="29">
        <v>47.37</v>
      </c>
      <c r="E1142" s="29">
        <v>65</v>
      </c>
      <c r="F1142" s="29">
        <v>60</v>
      </c>
      <c r="G1142" s="29">
        <v>60</v>
      </c>
      <c r="H1142" s="23">
        <f>H1141*1.2</f>
        <v>60</v>
      </c>
      <c r="I1142" s="23">
        <f>I1141*1.2</f>
        <v>60</v>
      </c>
      <c r="J1142" s="23">
        <f>J1141*1.2</f>
        <v>60</v>
      </c>
      <c r="K1142" s="23">
        <v>55</v>
      </c>
    </row>
    <row r="1143" spans="1:11" x14ac:dyDescent="0.2">
      <c r="A1143" s="8" t="s">
        <v>19</v>
      </c>
      <c r="B1143" s="12"/>
      <c r="C1143" s="12" t="s">
        <v>142</v>
      </c>
      <c r="D1143" s="12" t="s">
        <v>143</v>
      </c>
      <c r="E1143" s="12" t="s">
        <v>144</v>
      </c>
      <c r="F1143" s="12" t="s">
        <v>288</v>
      </c>
      <c r="G1143" s="12" t="s">
        <v>288</v>
      </c>
      <c r="H1143" s="12" t="s">
        <v>288</v>
      </c>
      <c r="I1143" s="12" t="s">
        <v>288</v>
      </c>
      <c r="J1143" s="12" t="s">
        <v>288</v>
      </c>
      <c r="K1143" s="12" t="s">
        <v>896</v>
      </c>
    </row>
    <row r="1144" spans="1:11" x14ac:dyDescent="0.2">
      <c r="A1144" s="8" t="s">
        <v>20</v>
      </c>
      <c r="B1144" s="29">
        <v>52.63</v>
      </c>
      <c r="C1144" s="29">
        <v>5.45</v>
      </c>
      <c r="D1144" s="29">
        <v>19.25</v>
      </c>
      <c r="E1144" s="29">
        <v>10.92</v>
      </c>
      <c r="F1144" s="29">
        <v>17.18</v>
      </c>
      <c r="G1144" s="29">
        <v>8.6999999999999993</v>
      </c>
      <c r="H1144" s="23">
        <v>15.41</v>
      </c>
      <c r="I1144" s="23">
        <v>5.56</v>
      </c>
      <c r="J1144" s="23">
        <v>6.37</v>
      </c>
      <c r="K1144" s="23"/>
    </row>
    <row r="1145" spans="1:11" x14ac:dyDescent="0.2">
      <c r="A1145" s="8" t="s">
        <v>21</v>
      </c>
      <c r="B1145" s="29">
        <v>-2.63</v>
      </c>
      <c r="C1145" s="29">
        <v>55.25</v>
      </c>
      <c r="D1145" s="29">
        <v>28.12</v>
      </c>
      <c r="E1145" s="29">
        <v>54.08</v>
      </c>
      <c r="F1145" s="29">
        <f>F1142-F1144</f>
        <v>42.82</v>
      </c>
      <c r="G1145" s="29">
        <f>G1142-G1144</f>
        <v>51.3</v>
      </c>
      <c r="H1145" s="23">
        <f>H1142-H1144</f>
        <v>44.59</v>
      </c>
      <c r="I1145" s="23">
        <f>I1142-I1144</f>
        <v>54.44</v>
      </c>
      <c r="J1145" s="23">
        <f>J1142-J1144</f>
        <v>53.63</v>
      </c>
      <c r="K1145" s="23"/>
    </row>
    <row r="1146" spans="1:11" x14ac:dyDescent="0.2">
      <c r="A1146" s="37" t="s">
        <v>22</v>
      </c>
      <c r="B1146" s="65">
        <v>2016</v>
      </c>
      <c r="C1146" s="65">
        <v>2017</v>
      </c>
      <c r="D1146" s="65">
        <v>2018</v>
      </c>
      <c r="E1146" s="65">
        <v>2019</v>
      </c>
      <c r="F1146" s="65">
        <v>2020</v>
      </c>
      <c r="G1146" s="65">
        <v>2021</v>
      </c>
      <c r="H1146" s="58">
        <v>2022</v>
      </c>
      <c r="I1146" s="58">
        <v>2023</v>
      </c>
      <c r="J1146" s="58">
        <v>2024</v>
      </c>
      <c r="K1146" s="58">
        <v>2025</v>
      </c>
    </row>
    <row r="1147" spans="1:11" x14ac:dyDescent="0.2">
      <c r="A1147" s="37" t="s">
        <v>462</v>
      </c>
      <c r="B1147" s="101"/>
      <c r="C1147" s="101"/>
      <c r="D1147" s="101"/>
      <c r="E1147" s="101"/>
      <c r="F1147" s="101"/>
      <c r="G1147" s="101"/>
      <c r="H1147" s="82"/>
      <c r="I1147" s="30"/>
      <c r="J1147" s="30"/>
      <c r="K1147" s="31"/>
    </row>
    <row r="1148" spans="1:11" x14ac:dyDescent="0.2">
      <c r="A1148" s="17" t="s">
        <v>894</v>
      </c>
      <c r="B1148" s="615"/>
      <c r="C1148" s="615"/>
      <c r="D1148" s="615"/>
      <c r="E1148" s="615"/>
      <c r="F1148" s="615"/>
      <c r="G1148" s="615"/>
      <c r="H1148" s="113"/>
      <c r="K1148" s="21"/>
    </row>
    <row r="1149" spans="1:11" x14ac:dyDescent="0.2">
      <c r="A1149" s="14" t="s">
        <v>895</v>
      </c>
      <c r="B1149" s="15"/>
      <c r="C1149" s="15"/>
      <c r="D1149" s="15"/>
      <c r="E1149" s="15"/>
      <c r="F1149" s="15"/>
      <c r="G1149" s="15"/>
      <c r="H1149" s="15"/>
      <c r="I1149" s="33"/>
      <c r="J1149" s="33"/>
      <c r="K1149" s="34"/>
    </row>
    <row r="1150" spans="1:11" ht="14.45" customHeight="1" x14ac:dyDescent="0.2">
      <c r="A1150" s="35"/>
      <c r="B1150" s="35"/>
      <c r="C1150" s="35"/>
      <c r="D1150" s="35"/>
      <c r="E1150" s="35"/>
      <c r="F1150" s="35"/>
      <c r="G1150" s="35"/>
      <c r="H1150" s="35"/>
    </row>
    <row r="1151" spans="1:11" ht="14.45" customHeight="1" x14ac:dyDescent="0.2">
      <c r="A1151" s="16" t="s">
        <v>203</v>
      </c>
      <c r="B1151" s="13" t="s">
        <v>661</v>
      </c>
      <c r="C1151" s="13" t="s">
        <v>152</v>
      </c>
      <c r="D1151" s="7"/>
      <c r="E1151" s="7"/>
      <c r="F1151" s="7"/>
      <c r="G1151" s="7"/>
    </row>
    <row r="1152" spans="1:11" ht="14.45" customHeight="1" x14ac:dyDescent="0.2">
      <c r="A1152" s="14" t="s">
        <v>16</v>
      </c>
      <c r="B1152" s="107"/>
      <c r="C1152" s="9"/>
      <c r="D1152" s="79">
        <v>2016</v>
      </c>
      <c r="E1152" s="79">
        <v>2017</v>
      </c>
      <c r="F1152" s="79">
        <v>2018</v>
      </c>
      <c r="G1152" s="79">
        <v>2019</v>
      </c>
      <c r="H1152" s="52">
        <v>2020</v>
      </c>
      <c r="I1152" s="52">
        <v>2021</v>
      </c>
      <c r="J1152" s="52">
        <v>2022</v>
      </c>
      <c r="K1152" s="52">
        <v>2022</v>
      </c>
    </row>
    <row r="1153" spans="1:11" ht="14.45" customHeight="1" x14ac:dyDescent="0.2">
      <c r="A1153" s="8" t="s">
        <v>17</v>
      </c>
      <c r="B1153" s="29"/>
      <c r="C1153" s="29"/>
      <c r="D1153" s="29">
        <v>113.66</v>
      </c>
      <c r="E1153" s="29">
        <v>136.46</v>
      </c>
      <c r="F1153" s="29">
        <v>160</v>
      </c>
      <c r="G1153" s="29">
        <v>184</v>
      </c>
      <c r="H1153" s="23">
        <v>200</v>
      </c>
      <c r="I1153" s="23">
        <v>200</v>
      </c>
      <c r="J1153" s="23">
        <v>200</v>
      </c>
      <c r="K1153" s="23">
        <v>221</v>
      </c>
    </row>
    <row r="1154" spans="1:11" ht="14.45" customHeight="1" x14ac:dyDescent="0.2">
      <c r="A1154" s="8" t="s">
        <v>18</v>
      </c>
      <c r="B1154" s="29"/>
      <c r="C1154" s="29"/>
      <c r="D1154" s="29">
        <v>163.66</v>
      </c>
      <c r="E1154" s="29">
        <v>181.46</v>
      </c>
      <c r="F1154" s="29">
        <v>210</v>
      </c>
      <c r="G1154" s="29">
        <v>234</v>
      </c>
      <c r="H1154" s="23">
        <v>251.57</v>
      </c>
      <c r="I1154" s="23">
        <f>I1153+50+H1157</f>
        <v>254.29999999999998</v>
      </c>
      <c r="J1154" s="23">
        <f>J1153+50+10</f>
        <v>260</v>
      </c>
      <c r="K1154" s="23">
        <f>K1153+50+J1157</f>
        <v>278.72399999999999</v>
      </c>
    </row>
    <row r="1155" spans="1:11" ht="14.45" customHeight="1" x14ac:dyDescent="0.2">
      <c r="A1155" s="8" t="s">
        <v>19</v>
      </c>
      <c r="B1155" s="27"/>
      <c r="C1155" s="27"/>
      <c r="D1155" s="12" t="s">
        <v>291</v>
      </c>
      <c r="E1155" s="12" t="s">
        <v>292</v>
      </c>
      <c r="F1155" s="12" t="s">
        <v>293</v>
      </c>
      <c r="G1155" s="12" t="s">
        <v>294</v>
      </c>
      <c r="H1155" s="22" t="s">
        <v>295</v>
      </c>
      <c r="I1155" s="22" t="s">
        <v>514</v>
      </c>
      <c r="J1155" s="22" t="s">
        <v>701</v>
      </c>
      <c r="K1155" s="22" t="s">
        <v>899</v>
      </c>
    </row>
    <row r="1156" spans="1:11" ht="14.45" customHeight="1" x14ac:dyDescent="0.2">
      <c r="A1156" s="8" t="s">
        <v>20</v>
      </c>
      <c r="B1156" s="29"/>
      <c r="C1156" s="29"/>
      <c r="D1156" s="29">
        <v>161.08000000000001</v>
      </c>
      <c r="E1156" s="29">
        <v>181.19</v>
      </c>
      <c r="F1156" s="29">
        <v>207.97</v>
      </c>
      <c r="G1156" s="29">
        <v>232.43299999999999</v>
      </c>
      <c r="H1156" s="23">
        <v>247.27</v>
      </c>
      <c r="I1156" s="23">
        <v>242.24</v>
      </c>
      <c r="J1156" s="23">
        <v>252.27600000000001</v>
      </c>
      <c r="K1156" s="23"/>
    </row>
    <row r="1157" spans="1:11" ht="14.45" customHeight="1" x14ac:dyDescent="0.2">
      <c r="A1157" s="8" t="s">
        <v>21</v>
      </c>
      <c r="B1157" s="29"/>
      <c r="C1157" s="29"/>
      <c r="D1157" s="29">
        <v>2.58</v>
      </c>
      <c r="E1157" s="29">
        <v>0.27</v>
      </c>
      <c r="F1157" s="29">
        <v>2.0299999999999998</v>
      </c>
      <c r="G1157" s="29">
        <v>1.5670000000000073</v>
      </c>
      <c r="H1157" s="23">
        <f>H1154-H1156</f>
        <v>4.2999999999999829</v>
      </c>
      <c r="I1157" s="23">
        <f>I1154-I1156</f>
        <v>12.059999999999974</v>
      </c>
      <c r="J1157" s="23">
        <f>J1154-J1156</f>
        <v>7.7239999999999895</v>
      </c>
      <c r="K1157" s="23"/>
    </row>
    <row r="1158" spans="1:11" ht="14.45" customHeight="1" x14ac:dyDescent="0.2">
      <c r="A1158" s="37" t="s">
        <v>22</v>
      </c>
      <c r="B1158" s="38"/>
      <c r="C1158" s="38"/>
      <c r="D1158" s="38"/>
      <c r="E1158" s="38"/>
      <c r="F1158" s="38"/>
      <c r="G1158" s="65">
        <v>2020</v>
      </c>
      <c r="H1158" s="58">
        <v>2021</v>
      </c>
      <c r="I1158" s="36">
        <v>2022</v>
      </c>
      <c r="J1158" s="36">
        <v>2023</v>
      </c>
      <c r="K1158" s="36">
        <v>2024</v>
      </c>
    </row>
    <row r="1159" spans="1:11" ht="14.45" customHeight="1" x14ac:dyDescent="0.2">
      <c r="A1159" s="37" t="s">
        <v>296</v>
      </c>
      <c r="B1159" s="45"/>
      <c r="C1159" s="45"/>
      <c r="D1159" s="45"/>
      <c r="E1159" s="45"/>
      <c r="F1159" s="45"/>
      <c r="G1159" s="45"/>
      <c r="H1159" s="30"/>
      <c r="I1159" s="30"/>
      <c r="J1159" s="30"/>
      <c r="K1159" s="31"/>
    </row>
    <row r="1160" spans="1:11" ht="14.45" customHeight="1" x14ac:dyDescent="0.2">
      <c r="A1160" s="17" t="s">
        <v>297</v>
      </c>
      <c r="B1160" s="7"/>
      <c r="C1160" s="7"/>
      <c r="D1160" s="7"/>
      <c r="E1160" s="7"/>
      <c r="F1160" s="7"/>
      <c r="G1160" s="7"/>
      <c r="K1160" s="21"/>
    </row>
    <row r="1161" spans="1:11" ht="14.45" customHeight="1" x14ac:dyDescent="0.2">
      <c r="A1161" s="17" t="s">
        <v>298</v>
      </c>
      <c r="B1161" s="7"/>
      <c r="C1161" s="7"/>
      <c r="D1161" s="7"/>
      <c r="E1161" s="7"/>
      <c r="F1161" s="7"/>
      <c r="G1161" s="7"/>
      <c r="K1161" s="21"/>
    </row>
    <row r="1162" spans="1:11" ht="14.45" customHeight="1" x14ac:dyDescent="0.2">
      <c r="A1162" s="17" t="s">
        <v>299</v>
      </c>
      <c r="B1162" s="7"/>
      <c r="C1162" s="7"/>
      <c r="D1162" s="7"/>
      <c r="E1162" s="7"/>
      <c r="F1162" s="7"/>
      <c r="G1162" s="7"/>
      <c r="K1162" s="21"/>
    </row>
    <row r="1163" spans="1:11" ht="14.45" customHeight="1" x14ac:dyDescent="0.2">
      <c r="A1163" s="17" t="s">
        <v>513</v>
      </c>
      <c r="B1163" s="7"/>
      <c r="C1163" s="7"/>
      <c r="D1163" s="7"/>
      <c r="E1163" s="7"/>
      <c r="F1163" s="7"/>
      <c r="G1163" s="7"/>
      <c r="K1163" s="21"/>
    </row>
    <row r="1164" spans="1:11" ht="14.45" customHeight="1" x14ac:dyDescent="0.2">
      <c r="A1164" s="17" t="s">
        <v>700</v>
      </c>
      <c r="B1164" s="7"/>
      <c r="C1164" s="7"/>
      <c r="D1164" s="7"/>
      <c r="E1164" s="7"/>
      <c r="F1164" s="7"/>
      <c r="G1164" s="7"/>
      <c r="K1164" s="21"/>
    </row>
    <row r="1165" spans="1:11" ht="14.45" customHeight="1" x14ac:dyDescent="0.2">
      <c r="A1165" s="17" t="s">
        <v>897</v>
      </c>
      <c r="B1165" s="7"/>
      <c r="C1165" s="7"/>
      <c r="D1165" s="7"/>
      <c r="E1165" s="7"/>
      <c r="F1165" s="7"/>
      <c r="G1165" s="7"/>
      <c r="K1165" s="21"/>
    </row>
    <row r="1166" spans="1:11" ht="14.45" customHeight="1" x14ac:dyDescent="0.2">
      <c r="A1166" s="14" t="s">
        <v>898</v>
      </c>
      <c r="B1166" s="15"/>
      <c r="C1166" s="15"/>
      <c r="D1166" s="15"/>
      <c r="E1166" s="15"/>
      <c r="F1166" s="15"/>
      <c r="G1166" s="15"/>
      <c r="H1166" s="33"/>
      <c r="I1166" s="33"/>
      <c r="J1166" s="33"/>
      <c r="K1166" s="34"/>
    </row>
    <row r="1167" spans="1:11" ht="14.45" customHeight="1" x14ac:dyDescent="0.2">
      <c r="A1167" s="35"/>
      <c r="B1167" s="35"/>
      <c r="C1167" s="35"/>
      <c r="D1167" s="35"/>
      <c r="E1167" s="35"/>
      <c r="F1167" s="35"/>
      <c r="G1167" s="35"/>
      <c r="H1167" s="35"/>
    </row>
    <row r="1168" spans="1:11" x14ac:dyDescent="0.2">
      <c r="A1168" s="306" t="s">
        <v>203</v>
      </c>
      <c r="B1168" s="307" t="s">
        <v>66</v>
      </c>
      <c r="C1168" s="307" t="s">
        <v>152</v>
      </c>
      <c r="D1168" s="309"/>
      <c r="E1168" s="309"/>
      <c r="F1168" s="309"/>
      <c r="G1168" s="309"/>
      <c r="H1168" s="263"/>
      <c r="I1168" s="263"/>
      <c r="J1168" s="263"/>
    </row>
    <row r="1169" spans="1:11" x14ac:dyDescent="0.2">
      <c r="A1169" s="378" t="s">
        <v>16</v>
      </c>
      <c r="B1169" s="398">
        <v>2014</v>
      </c>
      <c r="C1169" s="394">
        <v>2015</v>
      </c>
      <c r="D1169" s="394">
        <v>2016</v>
      </c>
      <c r="E1169" s="394">
        <v>2017</v>
      </c>
      <c r="F1169" s="394">
        <v>2018</v>
      </c>
      <c r="G1169" s="394">
        <v>2019</v>
      </c>
      <c r="H1169" s="254">
        <v>2020</v>
      </c>
      <c r="I1169" s="254">
        <v>2021</v>
      </c>
      <c r="J1169" s="254">
        <v>2022</v>
      </c>
      <c r="K1169" s="254">
        <v>2023</v>
      </c>
    </row>
    <row r="1170" spans="1:11" x14ac:dyDescent="0.2">
      <c r="A1170" s="310" t="s">
        <v>17</v>
      </c>
      <c r="B1170" s="382">
        <v>1983</v>
      </c>
      <c r="C1170" s="382">
        <v>1983</v>
      </c>
      <c r="D1170" s="382">
        <v>1486</v>
      </c>
      <c r="E1170" s="382">
        <v>1486</v>
      </c>
      <c r="F1170" s="382">
        <v>1486</v>
      </c>
      <c r="G1170" s="382">
        <v>1486</v>
      </c>
      <c r="H1170" s="257">
        <v>1000</v>
      </c>
      <c r="I1170" s="257">
        <v>984</v>
      </c>
      <c r="J1170" s="257">
        <v>992</v>
      </c>
      <c r="K1170" s="257">
        <v>992</v>
      </c>
    </row>
    <row r="1171" spans="1:11" x14ac:dyDescent="0.2">
      <c r="A1171" s="310" t="s">
        <v>18</v>
      </c>
      <c r="B1171" s="382">
        <v>2557.9</v>
      </c>
      <c r="C1171" s="382">
        <v>2557.9</v>
      </c>
      <c r="D1171" s="382">
        <v>2080.9</v>
      </c>
      <c r="E1171" s="382">
        <v>1708.9</v>
      </c>
      <c r="F1171" s="382">
        <v>1485.9</v>
      </c>
      <c r="G1171" s="382">
        <v>1485.9</v>
      </c>
      <c r="H1171" s="257">
        <f>H1170+F1170*0.15-223</f>
        <v>999.90000000000009</v>
      </c>
      <c r="I1171" s="257">
        <f>I1170-223+G1170*0.1</f>
        <v>909.6</v>
      </c>
      <c r="J1171" s="257">
        <f>J1170-223+H1170*0.1</f>
        <v>869</v>
      </c>
      <c r="K1171" s="257">
        <f>K1170+0.1*I1170-223</f>
        <v>867.40000000000009</v>
      </c>
    </row>
    <row r="1172" spans="1:11" ht="28.9" customHeight="1" x14ac:dyDescent="0.2">
      <c r="A1172" s="310" t="s">
        <v>19</v>
      </c>
      <c r="B1172" s="385" t="s">
        <v>145</v>
      </c>
      <c r="C1172" s="385" t="s">
        <v>145</v>
      </c>
      <c r="D1172" s="385" t="s">
        <v>146</v>
      </c>
      <c r="E1172" s="385" t="s">
        <v>147</v>
      </c>
      <c r="F1172" s="385" t="s">
        <v>215</v>
      </c>
      <c r="G1172" s="385" t="s">
        <v>216</v>
      </c>
      <c r="H1172" s="291" t="s">
        <v>516</v>
      </c>
      <c r="I1172" s="291" t="s">
        <v>702</v>
      </c>
      <c r="J1172" s="291" t="s">
        <v>703</v>
      </c>
      <c r="K1172" s="291" t="s">
        <v>902</v>
      </c>
    </row>
    <row r="1173" spans="1:11" x14ac:dyDescent="0.2">
      <c r="A1173" s="310" t="s">
        <v>20</v>
      </c>
      <c r="B1173" s="382">
        <v>1038.83</v>
      </c>
      <c r="C1173" s="382">
        <v>670.7</v>
      </c>
      <c r="D1173" s="382">
        <v>561.97</v>
      </c>
      <c r="E1173" s="382">
        <v>432.09</v>
      </c>
      <c r="F1173" s="382">
        <v>662.7</v>
      </c>
      <c r="G1173" s="382">
        <v>539.84</v>
      </c>
      <c r="H1173" s="257">
        <v>587.15</v>
      </c>
      <c r="I1173" s="257">
        <v>674.38</v>
      </c>
      <c r="J1173" s="257">
        <v>763.45</v>
      </c>
      <c r="K1173" s="257"/>
    </row>
    <row r="1174" spans="1:11" x14ac:dyDescent="0.2">
      <c r="A1174" s="310" t="s">
        <v>21</v>
      </c>
      <c r="B1174" s="382">
        <v>1519.07</v>
      </c>
      <c r="C1174" s="382">
        <v>1887.2</v>
      </c>
      <c r="D1174" s="382">
        <v>1518.93</v>
      </c>
      <c r="E1174" s="382">
        <v>1276.8100000000002</v>
      </c>
      <c r="F1174" s="382">
        <v>823.2</v>
      </c>
      <c r="G1174" s="382">
        <f>G1171-G1173</f>
        <v>946.06000000000006</v>
      </c>
      <c r="H1174" s="257">
        <f>H1171-H1173</f>
        <v>412.75000000000011</v>
      </c>
      <c r="I1174" s="257">
        <f>I1171-I1173</f>
        <v>235.22000000000003</v>
      </c>
      <c r="J1174" s="257">
        <f>J1171-J1173</f>
        <v>105.54999999999995</v>
      </c>
      <c r="K1174" s="257"/>
    </row>
    <row r="1175" spans="1:11" x14ac:dyDescent="0.2">
      <c r="A1175" s="313" t="s">
        <v>22</v>
      </c>
      <c r="B1175" s="387">
        <v>2016</v>
      </c>
      <c r="C1175" s="387">
        <v>2017</v>
      </c>
      <c r="D1175" s="387">
        <v>2018</v>
      </c>
      <c r="E1175" s="387">
        <v>2019</v>
      </c>
      <c r="F1175" s="387">
        <v>2020</v>
      </c>
      <c r="G1175" s="387">
        <v>2021</v>
      </c>
      <c r="H1175" s="292">
        <v>2022</v>
      </c>
      <c r="I1175" s="292">
        <v>2023</v>
      </c>
      <c r="J1175" s="292">
        <v>2024</v>
      </c>
      <c r="K1175" s="292">
        <v>2025</v>
      </c>
    </row>
    <row r="1176" spans="1:11" x14ac:dyDescent="0.2">
      <c r="A1176" s="313" t="s">
        <v>589</v>
      </c>
      <c r="B1176" s="478"/>
      <c r="C1176" s="478"/>
      <c r="D1176" s="478"/>
      <c r="E1176" s="478"/>
      <c r="F1176" s="478"/>
      <c r="G1176" s="478"/>
      <c r="H1176" s="337"/>
      <c r="I1176" s="337"/>
      <c r="J1176" s="337"/>
      <c r="K1176" s="293"/>
    </row>
    <row r="1177" spans="1:11" x14ac:dyDescent="0.2">
      <c r="A1177" s="479" t="s">
        <v>289</v>
      </c>
      <c r="B1177" s="309"/>
      <c r="C1177" s="309"/>
      <c r="D1177" s="309"/>
      <c r="E1177" s="309"/>
      <c r="F1177" s="309"/>
      <c r="G1177" s="309"/>
      <c r="H1177" s="263"/>
      <c r="I1177" s="263"/>
      <c r="J1177" s="263"/>
      <c r="K1177" s="264"/>
    </row>
    <row r="1178" spans="1:11" x14ac:dyDescent="0.2">
      <c r="A1178" s="479" t="s">
        <v>290</v>
      </c>
      <c r="B1178" s="309"/>
      <c r="C1178" s="309"/>
      <c r="D1178" s="309"/>
      <c r="E1178" s="309"/>
      <c r="F1178" s="309"/>
      <c r="G1178" s="309"/>
      <c r="H1178" s="263"/>
      <c r="I1178" s="263"/>
      <c r="J1178" s="263"/>
      <c r="K1178" s="264"/>
    </row>
    <row r="1179" spans="1:11" x14ac:dyDescent="0.2">
      <c r="A1179" s="479" t="s">
        <v>517</v>
      </c>
      <c r="B1179" s="309"/>
      <c r="C1179" s="309"/>
      <c r="D1179" s="309"/>
      <c r="E1179" s="309"/>
      <c r="F1179" s="309"/>
      <c r="G1179" s="309"/>
      <c r="H1179" s="263"/>
      <c r="I1179" s="263"/>
      <c r="J1179" s="263"/>
      <c r="K1179" s="264"/>
    </row>
    <row r="1180" spans="1:11" x14ac:dyDescent="0.2">
      <c r="A1180" s="479" t="s">
        <v>148</v>
      </c>
      <c r="B1180" s="309"/>
      <c r="C1180" s="309"/>
      <c r="D1180" s="309"/>
      <c r="E1180" s="309"/>
      <c r="F1180" s="309"/>
      <c r="G1180" s="309"/>
      <c r="H1180" s="263"/>
      <c r="I1180" s="263"/>
      <c r="J1180" s="263"/>
      <c r="K1180" s="264"/>
    </row>
    <row r="1181" spans="1:11" x14ac:dyDescent="0.2">
      <c r="A1181" s="479" t="s">
        <v>515</v>
      </c>
      <c r="B1181" s="309"/>
      <c r="C1181" s="309"/>
      <c r="D1181" s="309"/>
      <c r="E1181" s="309"/>
      <c r="F1181" s="309"/>
      <c r="G1181" s="309"/>
      <c r="H1181" s="263"/>
      <c r="I1181" s="263"/>
      <c r="J1181" s="263"/>
      <c r="K1181" s="264"/>
    </row>
    <row r="1182" spans="1:11" x14ac:dyDescent="0.2">
      <c r="A1182" s="479" t="s">
        <v>704</v>
      </c>
      <c r="B1182" s="309"/>
      <c r="C1182" s="309"/>
      <c r="D1182" s="309"/>
      <c r="E1182" s="309"/>
      <c r="F1182" s="309"/>
      <c r="G1182" s="309"/>
      <c r="H1182" s="263"/>
      <c r="I1182" s="263"/>
      <c r="J1182" s="263"/>
      <c r="K1182" s="264"/>
    </row>
    <row r="1183" spans="1:11" x14ac:dyDescent="0.2">
      <c r="A1183" s="479" t="s">
        <v>900</v>
      </c>
      <c r="B1183" s="309"/>
      <c r="C1183" s="309"/>
      <c r="D1183" s="309"/>
      <c r="E1183" s="309"/>
      <c r="F1183" s="309"/>
      <c r="G1183" s="309"/>
      <c r="H1183" s="263"/>
      <c r="I1183" s="263"/>
      <c r="J1183" s="263"/>
      <c r="K1183" s="264"/>
    </row>
    <row r="1184" spans="1:11" x14ac:dyDescent="0.2">
      <c r="A1184" s="378" t="s">
        <v>901</v>
      </c>
      <c r="B1184" s="461"/>
      <c r="C1184" s="461"/>
      <c r="D1184" s="461"/>
      <c r="E1184" s="461"/>
      <c r="F1184" s="461"/>
      <c r="G1184" s="461"/>
      <c r="H1184" s="265"/>
      <c r="I1184" s="265"/>
      <c r="J1184" s="265"/>
      <c r="K1184" s="266"/>
    </row>
    <row r="1185" spans="1:11" x14ac:dyDescent="0.2">
      <c r="A1185" s="7"/>
      <c r="B1185" s="7"/>
      <c r="C1185" s="7"/>
      <c r="D1185" s="7"/>
      <c r="E1185" s="7"/>
      <c r="F1185" s="7"/>
      <c r="G1185" s="7"/>
    </row>
    <row r="1186" spans="1:11" x14ac:dyDescent="0.2">
      <c r="A1186" s="168"/>
      <c r="C1186" s="170"/>
    </row>
    <row r="1187" spans="1:11" x14ac:dyDescent="0.2">
      <c r="A1187" s="16" t="s">
        <v>203</v>
      </c>
      <c r="B1187" s="13" t="s">
        <v>74</v>
      </c>
      <c r="C1187" s="13" t="s">
        <v>152</v>
      </c>
      <c r="D1187" s="7"/>
      <c r="E1187" s="7"/>
      <c r="F1187" s="7"/>
      <c r="G1187" s="7"/>
    </row>
    <row r="1188" spans="1:11" x14ac:dyDescent="0.2">
      <c r="A1188" s="14" t="s">
        <v>16</v>
      </c>
      <c r="B1188" s="110">
        <v>2014</v>
      </c>
      <c r="C1188" s="79">
        <v>2015</v>
      </c>
      <c r="D1188" s="79">
        <v>2016</v>
      </c>
      <c r="E1188" s="79">
        <v>2017</v>
      </c>
      <c r="F1188" s="79">
        <v>2018</v>
      </c>
      <c r="G1188" s="79">
        <v>2019</v>
      </c>
      <c r="H1188" s="52">
        <v>2020</v>
      </c>
      <c r="I1188" s="52">
        <v>2021</v>
      </c>
      <c r="J1188" s="52">
        <v>2022</v>
      </c>
      <c r="K1188" s="52">
        <v>2023</v>
      </c>
    </row>
    <row r="1189" spans="1:11" x14ac:dyDescent="0.2">
      <c r="A1189" s="8" t="s">
        <v>17</v>
      </c>
      <c r="B1189" s="29">
        <v>35</v>
      </c>
      <c r="C1189" s="29">
        <v>35</v>
      </c>
      <c r="D1189" s="29">
        <v>35</v>
      </c>
      <c r="E1189" s="29">
        <v>35</v>
      </c>
      <c r="F1189" s="29">
        <v>35</v>
      </c>
      <c r="G1189" s="29">
        <v>35</v>
      </c>
      <c r="H1189" s="23">
        <v>29.4</v>
      </c>
      <c r="I1189" s="23">
        <v>29.4</v>
      </c>
      <c r="J1189" s="23">
        <v>29.4</v>
      </c>
      <c r="K1189" s="23">
        <v>29.4</v>
      </c>
    </row>
    <row r="1190" spans="1:11" x14ac:dyDescent="0.2">
      <c r="A1190" s="8" t="s">
        <v>18</v>
      </c>
      <c r="B1190" s="29">
        <v>35</v>
      </c>
      <c r="C1190" s="29">
        <v>42</v>
      </c>
      <c r="D1190" s="29">
        <v>42</v>
      </c>
      <c r="E1190" s="29">
        <v>42</v>
      </c>
      <c r="F1190" s="29">
        <v>42</v>
      </c>
      <c r="G1190" s="29">
        <v>42</v>
      </c>
      <c r="H1190" s="23">
        <v>36.4</v>
      </c>
      <c r="I1190" s="23">
        <v>36.4</v>
      </c>
      <c r="J1190" s="23"/>
      <c r="K1190" s="23"/>
    </row>
    <row r="1191" spans="1:11" x14ac:dyDescent="0.2">
      <c r="A1191" s="8" t="s">
        <v>19</v>
      </c>
      <c r="B1191" s="102" t="s">
        <v>136</v>
      </c>
      <c r="C1191" s="103" t="s">
        <v>149</v>
      </c>
      <c r="D1191" s="103" t="s">
        <v>149</v>
      </c>
      <c r="E1191" s="103" t="s">
        <v>149</v>
      </c>
      <c r="F1191" s="103" t="s">
        <v>149</v>
      </c>
      <c r="G1191" s="103" t="s">
        <v>149</v>
      </c>
      <c r="H1191" s="90" t="s">
        <v>300</v>
      </c>
      <c r="I1191" s="90" t="s">
        <v>300</v>
      </c>
      <c r="J1191" s="90"/>
      <c r="K1191" s="90"/>
    </row>
    <row r="1192" spans="1:11" x14ac:dyDescent="0.2">
      <c r="A1192" s="8" t="s">
        <v>20</v>
      </c>
      <c r="B1192" s="29">
        <v>9.7799999999999994</v>
      </c>
      <c r="C1192" s="29">
        <v>3.07</v>
      </c>
      <c r="D1192" s="29">
        <v>26.19</v>
      </c>
      <c r="E1192" s="29">
        <v>25.13</v>
      </c>
      <c r="F1192" s="29">
        <v>24.55</v>
      </c>
      <c r="G1192" s="29">
        <v>12.91</v>
      </c>
      <c r="H1192" s="23">
        <v>20.36</v>
      </c>
      <c r="I1192" s="23">
        <v>11.52</v>
      </c>
      <c r="J1192" s="23">
        <v>10.3</v>
      </c>
      <c r="K1192" s="23"/>
    </row>
    <row r="1193" spans="1:11" x14ac:dyDescent="0.2">
      <c r="A1193" s="8" t="s">
        <v>21</v>
      </c>
      <c r="B1193" s="29">
        <v>25.22</v>
      </c>
      <c r="C1193" s="29">
        <v>38.93</v>
      </c>
      <c r="D1193" s="29">
        <v>15.81</v>
      </c>
      <c r="E1193" s="29">
        <v>16.87</v>
      </c>
      <c r="F1193" s="29">
        <v>17.45</v>
      </c>
      <c r="G1193" s="29">
        <f>G1190-G1192</f>
        <v>29.09</v>
      </c>
      <c r="H1193" s="23">
        <f>H1190-H1192</f>
        <v>16.04</v>
      </c>
      <c r="I1193" s="23">
        <f>I1190-I1192</f>
        <v>24.88</v>
      </c>
      <c r="J1193" s="23">
        <f>J1189-J1192</f>
        <v>19.099999999999998</v>
      </c>
      <c r="K1193" s="23"/>
    </row>
    <row r="1194" spans="1:11" x14ac:dyDescent="0.2">
      <c r="A1194" s="37" t="s">
        <v>22</v>
      </c>
      <c r="B1194" s="65">
        <v>2016</v>
      </c>
      <c r="C1194" s="65">
        <v>2017</v>
      </c>
      <c r="D1194" s="65">
        <v>2018</v>
      </c>
      <c r="E1194" s="65">
        <v>2019</v>
      </c>
      <c r="F1194" s="65">
        <v>2020</v>
      </c>
      <c r="G1194" s="65">
        <v>2021</v>
      </c>
      <c r="H1194" s="65"/>
      <c r="I1194" s="65"/>
      <c r="J1194" s="65"/>
      <c r="K1194" s="65"/>
    </row>
    <row r="1195" spans="1:11" x14ac:dyDescent="0.2">
      <c r="A1195" s="37" t="s">
        <v>150</v>
      </c>
      <c r="B1195" s="101"/>
      <c r="C1195" s="101"/>
      <c r="D1195" s="101"/>
      <c r="E1195" s="101"/>
      <c r="F1195" s="101"/>
      <c r="G1195" s="101"/>
      <c r="H1195" s="101"/>
      <c r="I1195" s="101"/>
      <c r="J1195" s="101"/>
      <c r="K1195" s="67"/>
    </row>
    <row r="1196" spans="1:11" x14ac:dyDescent="0.2">
      <c r="A1196" s="17" t="s">
        <v>590</v>
      </c>
      <c r="B1196" s="615"/>
      <c r="C1196" s="615"/>
      <c r="D1196" s="615"/>
      <c r="E1196" s="615"/>
      <c r="F1196" s="615"/>
      <c r="G1196" s="615"/>
      <c r="H1196" s="615"/>
      <c r="I1196" s="615"/>
      <c r="J1196" s="615"/>
      <c r="K1196" s="121"/>
    </row>
    <row r="1197" spans="1:11" x14ac:dyDescent="0.2">
      <c r="A1197" s="104" t="s">
        <v>518</v>
      </c>
      <c r="B1197" s="105"/>
      <c r="C1197" s="105"/>
      <c r="D1197" s="105"/>
      <c r="E1197" s="105"/>
      <c r="F1197" s="105"/>
      <c r="G1197" s="105"/>
      <c r="H1197" s="105"/>
      <c r="I1197" s="105"/>
      <c r="J1197" s="105"/>
      <c r="K1197" s="106"/>
    </row>
    <row r="1198" spans="1:11" x14ac:dyDescent="0.2">
      <c r="A1198" s="168"/>
      <c r="C1198" s="170"/>
    </row>
    <row r="1199" spans="1:11" x14ac:dyDescent="0.2">
      <c r="A1199" s="16" t="s">
        <v>14</v>
      </c>
      <c r="B1199" s="13" t="s">
        <v>79</v>
      </c>
      <c r="C1199" s="13" t="s">
        <v>152</v>
      </c>
      <c r="D1199" s="7"/>
      <c r="E1199" s="7"/>
      <c r="F1199" s="7"/>
      <c r="G1199" s="7"/>
    </row>
    <row r="1200" spans="1:11" x14ac:dyDescent="0.2">
      <c r="A1200" s="14" t="s">
        <v>16</v>
      </c>
      <c r="B1200" s="110">
        <v>2014</v>
      </c>
      <c r="C1200" s="79">
        <v>2015</v>
      </c>
      <c r="D1200" s="79">
        <v>2016</v>
      </c>
      <c r="E1200" s="79">
        <v>2017</v>
      </c>
      <c r="F1200" s="79">
        <v>2018</v>
      </c>
      <c r="G1200" s="79">
        <v>2019</v>
      </c>
      <c r="H1200" s="52">
        <v>2020</v>
      </c>
      <c r="I1200" s="52">
        <v>2021</v>
      </c>
      <c r="J1200" s="52">
        <v>2022</v>
      </c>
      <c r="K1200" s="52">
        <v>2023</v>
      </c>
    </row>
    <row r="1201" spans="1:11" x14ac:dyDescent="0.2">
      <c r="A1201" s="8" t="s">
        <v>17</v>
      </c>
      <c r="B1201" s="29">
        <v>20</v>
      </c>
      <c r="C1201" s="29">
        <v>20</v>
      </c>
      <c r="D1201" s="29">
        <v>20</v>
      </c>
      <c r="E1201" s="29">
        <v>20</v>
      </c>
      <c r="F1201" s="29">
        <v>20</v>
      </c>
      <c r="G1201" s="29">
        <v>20</v>
      </c>
      <c r="H1201" s="29">
        <v>20</v>
      </c>
      <c r="I1201" s="29">
        <v>20</v>
      </c>
      <c r="J1201" s="29">
        <v>20</v>
      </c>
      <c r="K1201" s="29">
        <v>20</v>
      </c>
    </row>
    <row r="1202" spans="1:11" x14ac:dyDescent="0.2">
      <c r="A1202" s="8" t="s">
        <v>18</v>
      </c>
      <c r="B1202" s="29">
        <v>20</v>
      </c>
      <c r="C1202" s="29">
        <v>24</v>
      </c>
      <c r="D1202" s="29">
        <v>24</v>
      </c>
      <c r="E1202" s="29">
        <v>24</v>
      </c>
      <c r="F1202" s="29">
        <v>24</v>
      </c>
      <c r="G1202" s="29">
        <v>24</v>
      </c>
      <c r="H1202" s="29">
        <v>24</v>
      </c>
      <c r="I1202" s="29">
        <v>24</v>
      </c>
      <c r="J1202" s="29"/>
      <c r="K1202" s="29"/>
    </row>
    <row r="1203" spans="1:11" x14ac:dyDescent="0.2">
      <c r="A1203" s="8" t="s">
        <v>19</v>
      </c>
      <c r="B1203" s="102" t="s">
        <v>136</v>
      </c>
      <c r="C1203" s="102" t="s">
        <v>151</v>
      </c>
      <c r="D1203" s="102" t="s">
        <v>151</v>
      </c>
      <c r="E1203" s="102" t="s">
        <v>151</v>
      </c>
      <c r="F1203" s="102" t="s">
        <v>151</v>
      </c>
      <c r="G1203" s="102" t="s">
        <v>151</v>
      </c>
      <c r="H1203" s="102" t="s">
        <v>151</v>
      </c>
      <c r="I1203" s="102" t="s">
        <v>151</v>
      </c>
      <c r="J1203" s="102"/>
      <c r="K1203" s="102"/>
    </row>
    <row r="1204" spans="1:11" x14ac:dyDescent="0.2">
      <c r="A1204" s="8" t="s">
        <v>20</v>
      </c>
      <c r="B1204" s="29">
        <v>0.15</v>
      </c>
      <c r="C1204" s="29">
        <v>0</v>
      </c>
      <c r="D1204" s="29">
        <v>0</v>
      </c>
      <c r="E1204" s="29">
        <v>0.14000000000000001</v>
      </c>
      <c r="F1204" s="29">
        <v>0</v>
      </c>
      <c r="G1204" s="29">
        <v>0</v>
      </c>
      <c r="H1204" s="23">
        <v>0</v>
      </c>
      <c r="I1204" s="23">
        <v>0</v>
      </c>
      <c r="J1204" s="23">
        <v>0</v>
      </c>
      <c r="K1204" s="23"/>
    </row>
    <row r="1205" spans="1:11" x14ac:dyDescent="0.2">
      <c r="A1205" s="8" t="s">
        <v>21</v>
      </c>
      <c r="B1205" s="29">
        <v>19.850000000000001</v>
      </c>
      <c r="C1205" s="29">
        <v>24</v>
      </c>
      <c r="D1205" s="29">
        <v>24</v>
      </c>
      <c r="E1205" s="29">
        <v>23.86</v>
      </c>
      <c r="F1205" s="29">
        <v>24</v>
      </c>
      <c r="G1205" s="29">
        <f>G1202-G1204</f>
        <v>24</v>
      </c>
      <c r="H1205" s="29">
        <f>H1202-H1204</f>
        <v>24</v>
      </c>
      <c r="I1205" s="23">
        <v>24</v>
      </c>
      <c r="J1205" s="23">
        <v>20</v>
      </c>
      <c r="K1205" s="23"/>
    </row>
    <row r="1206" spans="1:11" x14ac:dyDescent="0.2">
      <c r="A1206" s="37" t="s">
        <v>22</v>
      </c>
      <c r="B1206" s="65">
        <v>2016</v>
      </c>
      <c r="C1206" s="65">
        <v>2017</v>
      </c>
      <c r="D1206" s="65">
        <v>2018</v>
      </c>
      <c r="E1206" s="65">
        <v>2019</v>
      </c>
      <c r="F1206" s="65">
        <v>2020</v>
      </c>
      <c r="G1206" s="65">
        <v>2021</v>
      </c>
      <c r="H1206" s="65"/>
      <c r="I1206" s="65"/>
      <c r="J1206" s="65"/>
      <c r="K1206" s="65"/>
    </row>
    <row r="1207" spans="1:11" x14ac:dyDescent="0.2">
      <c r="A1207" s="37" t="s">
        <v>150</v>
      </c>
      <c r="B1207" s="101"/>
      <c r="C1207" s="101"/>
      <c r="D1207" s="101"/>
      <c r="E1207" s="101"/>
      <c r="F1207" s="101"/>
      <c r="G1207" s="101"/>
      <c r="H1207" s="101"/>
      <c r="I1207" s="101"/>
      <c r="J1207" s="101"/>
      <c r="K1207" s="67"/>
    </row>
    <row r="1208" spans="1:11" x14ac:dyDescent="0.2">
      <c r="A1208" s="104" t="s">
        <v>518</v>
      </c>
      <c r="B1208" s="105"/>
      <c r="C1208" s="105"/>
      <c r="D1208" s="105"/>
      <c r="E1208" s="105"/>
      <c r="F1208" s="105"/>
      <c r="G1208" s="105"/>
      <c r="H1208" s="105"/>
      <c r="I1208" s="105"/>
      <c r="J1208" s="105"/>
      <c r="K1208" s="106"/>
    </row>
    <row r="1209" spans="1:11" x14ac:dyDescent="0.2">
      <c r="A1209" s="168"/>
      <c r="C1209" s="170"/>
    </row>
    <row r="1210" spans="1:11" x14ac:dyDescent="0.2">
      <c r="A1210" s="168"/>
      <c r="C1210" s="170"/>
    </row>
    <row r="1211" spans="1:11" x14ac:dyDescent="0.2">
      <c r="A1211" s="125" t="s">
        <v>12</v>
      </c>
      <c r="B1211" s="682" t="s">
        <v>402</v>
      </c>
      <c r="C1211" s="263"/>
      <c r="D1211" s="263"/>
      <c r="E1211" s="263"/>
      <c r="F1211" s="263"/>
      <c r="G1211" s="263"/>
      <c r="H1211" s="263"/>
      <c r="I1211" s="263"/>
    </row>
    <row r="1212" spans="1:11" x14ac:dyDescent="0.2">
      <c r="A1212" s="74" t="s">
        <v>14</v>
      </c>
      <c r="B1212" s="420" t="s">
        <v>74</v>
      </c>
      <c r="C1212" s="331" t="s">
        <v>152</v>
      </c>
      <c r="D1212" s="263"/>
      <c r="E1212" s="263"/>
      <c r="F1212" s="263"/>
      <c r="G1212" s="263"/>
      <c r="H1212" s="263"/>
      <c r="I1212" s="263"/>
    </row>
    <row r="1213" spans="1:11" x14ac:dyDescent="0.2">
      <c r="A1213" s="32" t="s">
        <v>16</v>
      </c>
      <c r="B1213" s="400">
        <v>2016</v>
      </c>
      <c r="C1213" s="254">
        <v>2017</v>
      </c>
      <c r="D1213" s="254">
        <v>2018</v>
      </c>
      <c r="E1213" s="254">
        <v>2019</v>
      </c>
      <c r="F1213" s="254">
        <v>2020</v>
      </c>
      <c r="G1213" s="254">
        <v>2021</v>
      </c>
      <c r="H1213" s="254">
        <v>2022</v>
      </c>
      <c r="I1213" s="254">
        <v>2023</v>
      </c>
    </row>
    <row r="1214" spans="1:11" x14ac:dyDescent="0.2">
      <c r="A1214" s="47" t="s">
        <v>17</v>
      </c>
      <c r="B1214" s="257">
        <v>10</v>
      </c>
      <c r="C1214" s="257">
        <v>10</v>
      </c>
      <c r="D1214" s="257">
        <v>10</v>
      </c>
      <c r="E1214" s="257">
        <v>10</v>
      </c>
      <c r="F1214" s="257">
        <v>10</v>
      </c>
      <c r="G1214" s="257">
        <v>10</v>
      </c>
      <c r="H1214" s="257">
        <v>10</v>
      </c>
      <c r="I1214" s="257">
        <v>10</v>
      </c>
    </row>
    <row r="1215" spans="1:11" x14ac:dyDescent="0.2">
      <c r="A1215" s="47" t="s">
        <v>18</v>
      </c>
      <c r="B1215" s="257">
        <v>10</v>
      </c>
      <c r="C1215" s="257">
        <f>C1214+B1218</f>
        <v>-106.85</v>
      </c>
      <c r="D1215" s="257">
        <f t="shared" ref="D1215:F1215" si="46">D1214+C1218</f>
        <v>-107.18599999999999</v>
      </c>
      <c r="E1215" s="257">
        <f t="shared" si="46"/>
        <v>-97.965349999999987</v>
      </c>
      <c r="F1215" s="257">
        <f t="shared" si="46"/>
        <v>-89.945349999999991</v>
      </c>
      <c r="G1215" s="257">
        <f>F1218+G1214</f>
        <v>-81.765349999999984</v>
      </c>
      <c r="H1215" s="257">
        <f>G1218+H1214</f>
        <v>-73.615349999999978</v>
      </c>
      <c r="I1215" s="257">
        <f>H1218+I1214</f>
        <v>-63.615349999999978</v>
      </c>
    </row>
    <row r="1216" spans="1:11" x14ac:dyDescent="0.2">
      <c r="A1216" s="47" t="s">
        <v>19</v>
      </c>
      <c r="B1216" s="274"/>
      <c r="C1216" s="274" t="s">
        <v>403</v>
      </c>
      <c r="D1216" s="274" t="s">
        <v>404</v>
      </c>
      <c r="E1216" s="274" t="s">
        <v>405</v>
      </c>
      <c r="F1216" s="274" t="s">
        <v>406</v>
      </c>
      <c r="G1216" s="274" t="s">
        <v>575</v>
      </c>
      <c r="H1216" s="274" t="s">
        <v>618</v>
      </c>
      <c r="I1216" s="274" t="s">
        <v>639</v>
      </c>
    </row>
    <row r="1217" spans="1:9" x14ac:dyDescent="0.2">
      <c r="A1217" s="47" t="s">
        <v>20</v>
      </c>
      <c r="B1217" s="274">
        <v>126.85</v>
      </c>
      <c r="C1217" s="274">
        <v>10.336</v>
      </c>
      <c r="D1217" s="274">
        <v>0.77934999999999999</v>
      </c>
      <c r="E1217" s="274">
        <v>1.98</v>
      </c>
      <c r="F1217" s="274">
        <v>1.82</v>
      </c>
      <c r="G1217" s="274">
        <v>1.85</v>
      </c>
      <c r="H1217" s="274">
        <v>0</v>
      </c>
      <c r="I1217" s="274"/>
    </row>
    <row r="1218" spans="1:9" x14ac:dyDescent="0.2">
      <c r="A1218" s="47" t="s">
        <v>21</v>
      </c>
      <c r="B1218" s="257">
        <f>B1215-B1217</f>
        <v>-116.85</v>
      </c>
      <c r="C1218" s="257">
        <f>C1215-C1217</f>
        <v>-117.18599999999999</v>
      </c>
      <c r="D1218" s="257">
        <f t="shared" ref="D1218:E1218" si="47">D1215-D1217</f>
        <v>-107.96534999999999</v>
      </c>
      <c r="E1218" s="257">
        <f t="shared" si="47"/>
        <v>-99.945349999999991</v>
      </c>
      <c r="F1218" s="257">
        <f>F1215-F1217</f>
        <v>-91.765349999999984</v>
      </c>
      <c r="G1218" s="257">
        <f>G1215-G1217</f>
        <v>-83.615349999999978</v>
      </c>
      <c r="H1218" s="257">
        <f>H1215-H1217</f>
        <v>-73.615349999999978</v>
      </c>
      <c r="I1218" s="257"/>
    </row>
    <row r="1219" spans="1:9" x14ac:dyDescent="0.2">
      <c r="A1219" s="50" t="s">
        <v>22</v>
      </c>
      <c r="B1219" s="480">
        <v>2017</v>
      </c>
      <c r="C1219" s="480">
        <v>2018</v>
      </c>
      <c r="D1219" s="480">
        <v>2019</v>
      </c>
      <c r="E1219" s="480">
        <v>2020</v>
      </c>
      <c r="F1219" s="480">
        <v>2021</v>
      </c>
      <c r="G1219" s="480">
        <v>2022</v>
      </c>
      <c r="H1219" s="480">
        <v>2023</v>
      </c>
      <c r="I1219" s="480">
        <v>2023</v>
      </c>
    </row>
    <row r="1220" spans="1:9" x14ac:dyDescent="0.2">
      <c r="A1220" s="50" t="s">
        <v>179</v>
      </c>
      <c r="B1220" s="261"/>
      <c r="C1220" s="261"/>
      <c r="D1220" s="261"/>
      <c r="E1220" s="261"/>
      <c r="F1220" s="261"/>
      <c r="G1220" s="261"/>
      <c r="H1220" s="261"/>
      <c r="I1220" s="259"/>
    </row>
    <row r="1221" spans="1:9" x14ac:dyDescent="0.2">
      <c r="A1221" s="5" t="s">
        <v>407</v>
      </c>
      <c r="B1221" s="263"/>
      <c r="C1221" s="263"/>
      <c r="D1221" s="263"/>
      <c r="E1221" s="263"/>
      <c r="F1221" s="263"/>
      <c r="G1221" s="263"/>
      <c r="H1221" s="263"/>
      <c r="I1221" s="264"/>
    </row>
    <row r="1222" spans="1:9" x14ac:dyDescent="0.2">
      <c r="A1222" s="5" t="s">
        <v>408</v>
      </c>
      <c r="B1222" s="263"/>
      <c r="C1222" s="263"/>
      <c r="D1222" s="263"/>
      <c r="E1222" s="263"/>
      <c r="F1222" s="263"/>
      <c r="G1222" s="263"/>
      <c r="H1222" s="263"/>
      <c r="I1222" s="264"/>
    </row>
    <row r="1223" spans="1:9" x14ac:dyDescent="0.2">
      <c r="A1223" s="5" t="s">
        <v>409</v>
      </c>
      <c r="B1223" s="263"/>
      <c r="C1223" s="263"/>
      <c r="D1223" s="263"/>
      <c r="E1223" s="263"/>
      <c r="F1223" s="263"/>
      <c r="G1223" s="263"/>
      <c r="H1223" s="263"/>
      <c r="I1223" s="264"/>
    </row>
    <row r="1224" spans="1:9" x14ac:dyDescent="0.2">
      <c r="A1224" s="5" t="s">
        <v>574</v>
      </c>
      <c r="B1224" s="263"/>
      <c r="C1224" s="456"/>
      <c r="D1224" s="263"/>
      <c r="E1224" s="263"/>
      <c r="F1224" s="263"/>
      <c r="G1224" s="263"/>
      <c r="H1224" s="263"/>
      <c r="I1224" s="264"/>
    </row>
    <row r="1225" spans="1:9" x14ac:dyDescent="0.2">
      <c r="A1225" s="5" t="s">
        <v>576</v>
      </c>
      <c r="C1225" s="170"/>
      <c r="I1225" s="21"/>
    </row>
    <row r="1226" spans="1:9" x14ac:dyDescent="0.2">
      <c r="A1226" s="5" t="s">
        <v>619</v>
      </c>
      <c r="C1226" s="170"/>
      <c r="I1226" s="21"/>
    </row>
    <row r="1227" spans="1:9" x14ac:dyDescent="0.2">
      <c r="A1227" s="73" t="s">
        <v>915</v>
      </c>
      <c r="B1227" s="33"/>
      <c r="C1227" s="167"/>
      <c r="D1227" s="33"/>
      <c r="E1227" s="33"/>
      <c r="F1227" s="33"/>
      <c r="G1227" s="33"/>
      <c r="H1227" s="33"/>
      <c r="I1227" s="34"/>
    </row>
    <row r="1228" spans="1:9" x14ac:dyDescent="0.2">
      <c r="A1228" s="168"/>
      <c r="C1228" s="170"/>
    </row>
    <row r="1230" spans="1:9" x14ac:dyDescent="0.2">
      <c r="A1230" s="125" t="s">
        <v>11</v>
      </c>
      <c r="B1230" s="680" t="s">
        <v>0</v>
      </c>
    </row>
    <row r="1231" spans="1:9" s="221" customFormat="1" x14ac:dyDescent="0.2">
      <c r="A1231" s="96" t="s">
        <v>1</v>
      </c>
      <c r="B1231" s="56" t="s">
        <v>638</v>
      </c>
      <c r="C1231" s="41" t="s">
        <v>2</v>
      </c>
      <c r="D1231" s="19"/>
      <c r="E1231" s="19"/>
      <c r="F1231" s="19"/>
      <c r="G1231" s="19"/>
    </row>
    <row r="1232" spans="1:9" s="221" customFormat="1" x14ac:dyDescent="0.2">
      <c r="A1232" s="47" t="s">
        <v>3</v>
      </c>
      <c r="B1232" s="52">
        <v>2017</v>
      </c>
      <c r="C1232" s="52">
        <v>2018</v>
      </c>
      <c r="D1232" s="93">
        <v>2019</v>
      </c>
      <c r="E1232" s="52">
        <v>2020</v>
      </c>
      <c r="F1232" s="52">
        <v>2021</v>
      </c>
      <c r="G1232" s="52">
        <v>2022</v>
      </c>
      <c r="H1232" s="52">
        <v>2023</v>
      </c>
      <c r="I1232" s="52">
        <v>2024</v>
      </c>
    </row>
    <row r="1233" spans="1:9" s="221" customFormat="1" x14ac:dyDescent="0.2">
      <c r="A1233" s="47" t="s">
        <v>4</v>
      </c>
      <c r="B1233" s="48">
        <v>200</v>
      </c>
      <c r="C1233" s="48">
        <v>200</v>
      </c>
      <c r="D1233" s="94">
        <v>215</v>
      </c>
      <c r="E1233" s="48">
        <v>215</v>
      </c>
      <c r="F1233" s="95">
        <v>242</v>
      </c>
      <c r="G1233" s="95">
        <v>242</v>
      </c>
      <c r="H1233" s="95">
        <v>242</v>
      </c>
      <c r="I1233" s="95">
        <v>242</v>
      </c>
    </row>
    <row r="1234" spans="1:9" s="221" customFormat="1" x14ac:dyDescent="0.2">
      <c r="A1234" s="47" t="s">
        <v>5</v>
      </c>
      <c r="B1234" s="48">
        <v>250</v>
      </c>
      <c r="C1234" s="48">
        <v>250</v>
      </c>
      <c r="D1234" s="94">
        <v>265</v>
      </c>
      <c r="E1234" s="48">
        <v>265</v>
      </c>
      <c r="F1234" s="95">
        <f>F1233+0.25*D1233</f>
        <v>295.75</v>
      </c>
      <c r="G1234" s="95">
        <f>G1233+0.25*E1233</f>
        <v>295.75</v>
      </c>
      <c r="H1234" s="95">
        <f>H1233+0.25*F1233</f>
        <v>302.5</v>
      </c>
      <c r="I1234" s="95">
        <f>I1233+0.25*G1233</f>
        <v>302.5</v>
      </c>
    </row>
    <row r="1235" spans="1:9" s="221" customFormat="1" x14ac:dyDescent="0.2">
      <c r="A1235" s="47" t="s">
        <v>6</v>
      </c>
      <c r="B1235" s="48"/>
      <c r="C1235" s="48"/>
      <c r="D1235" s="48"/>
      <c r="E1235" s="48"/>
      <c r="F1235" s="95"/>
      <c r="G1235" s="95"/>
      <c r="H1235" s="95"/>
      <c r="I1235" s="95"/>
    </row>
    <row r="1236" spans="1:9" s="221" customFormat="1" x14ac:dyDescent="0.2">
      <c r="A1236" s="47" t="s">
        <v>7</v>
      </c>
      <c r="B1236" s="48">
        <v>20</v>
      </c>
      <c r="C1236" s="48">
        <v>20</v>
      </c>
      <c r="D1236" s="48">
        <v>25</v>
      </c>
      <c r="E1236" s="48">
        <v>29</v>
      </c>
      <c r="F1236" s="95">
        <v>40</v>
      </c>
      <c r="G1236" s="95">
        <v>60</v>
      </c>
      <c r="H1236" s="95"/>
      <c r="I1236" s="95"/>
    </row>
    <row r="1237" spans="1:9" s="221" customFormat="1" x14ac:dyDescent="0.2">
      <c r="A1237" s="47" t="s">
        <v>8</v>
      </c>
      <c r="B1237" s="48">
        <v>230</v>
      </c>
      <c r="C1237" s="48">
        <v>230</v>
      </c>
      <c r="D1237" s="48">
        <v>240</v>
      </c>
      <c r="E1237" s="48">
        <v>236</v>
      </c>
      <c r="F1237" s="95">
        <f>F1234-F1236</f>
        <v>255.75</v>
      </c>
      <c r="G1237" s="95">
        <f>G1234-G1236</f>
        <v>235.75</v>
      </c>
      <c r="H1237" s="95"/>
      <c r="I1237" s="95"/>
    </row>
    <row r="1238" spans="1:9" s="221" customFormat="1" x14ac:dyDescent="0.2">
      <c r="A1238" s="50" t="s">
        <v>9</v>
      </c>
      <c r="B1238" s="58">
        <v>2019</v>
      </c>
      <c r="C1238" s="58">
        <v>2020</v>
      </c>
      <c r="D1238" s="82">
        <v>2021</v>
      </c>
      <c r="E1238" s="58">
        <v>2022</v>
      </c>
      <c r="F1238" s="83">
        <v>2023</v>
      </c>
      <c r="G1238" s="83">
        <v>2024</v>
      </c>
      <c r="H1238" s="83">
        <v>2025</v>
      </c>
      <c r="I1238" s="83">
        <v>2026</v>
      </c>
    </row>
    <row r="1239" spans="1:9" s="221" customFormat="1" x14ac:dyDescent="0.2">
      <c r="A1239" s="47" t="s">
        <v>10</v>
      </c>
      <c r="B1239" s="59"/>
      <c r="C1239" s="59"/>
      <c r="D1239" s="59"/>
      <c r="E1239" s="59"/>
      <c r="F1239" s="59"/>
      <c r="G1239" s="59"/>
      <c r="H1239" s="565"/>
      <c r="I1239" s="251"/>
    </row>
    <row r="1240" spans="1:9" s="221" customFormat="1" x14ac:dyDescent="0.2">
      <c r="A1240" s="713" t="s">
        <v>771</v>
      </c>
      <c r="B1240" s="714"/>
      <c r="C1240" s="714"/>
      <c r="D1240" s="714"/>
      <c r="E1240" s="714"/>
      <c r="F1240" s="714"/>
      <c r="G1240" s="714"/>
      <c r="I1240" s="250"/>
    </row>
    <row r="1241" spans="1:9" s="221" customFormat="1" x14ac:dyDescent="0.2">
      <c r="A1241" s="713" t="s">
        <v>772</v>
      </c>
      <c r="B1241" s="714"/>
      <c r="C1241" s="714"/>
      <c r="D1241" s="714"/>
      <c r="E1241" s="714"/>
      <c r="F1241" s="714"/>
      <c r="G1241" s="714"/>
      <c r="I1241" s="250"/>
    </row>
    <row r="1242" spans="1:9" s="221" customFormat="1" x14ac:dyDescent="0.2">
      <c r="A1242" s="713" t="s">
        <v>773</v>
      </c>
      <c r="B1242" s="714"/>
      <c r="C1242" s="714"/>
      <c r="D1242" s="714"/>
      <c r="E1242" s="714"/>
      <c r="F1242" s="714"/>
      <c r="G1242" s="714"/>
      <c r="I1242" s="250"/>
    </row>
    <row r="1243" spans="1:9" x14ac:dyDescent="0.2">
      <c r="A1243" s="713" t="s">
        <v>774</v>
      </c>
      <c r="B1243" s="714"/>
      <c r="C1243" s="714"/>
      <c r="D1243" s="714"/>
      <c r="E1243" s="714"/>
      <c r="F1243" s="714"/>
      <c r="G1243" s="714"/>
      <c r="I1243" s="21"/>
    </row>
    <row r="1244" spans="1:9" x14ac:dyDescent="0.2">
      <c r="A1244" s="563" t="s">
        <v>770</v>
      </c>
      <c r="B1244" s="562"/>
      <c r="C1244" s="562"/>
      <c r="D1244" s="562"/>
      <c r="E1244" s="562"/>
      <c r="F1244" s="562"/>
      <c r="G1244" s="562"/>
      <c r="H1244" s="33"/>
      <c r="I1244" s="34"/>
    </row>
    <row r="1245" spans="1:9" x14ac:dyDescent="0.2">
      <c r="A1245" s="418"/>
      <c r="B1245" s="418"/>
      <c r="C1245" s="263"/>
      <c r="D1245" s="263"/>
      <c r="E1245" s="263"/>
      <c r="F1245" s="263"/>
      <c r="G1245" s="263"/>
      <c r="H1245" s="263"/>
    </row>
    <row r="1246" spans="1:9" x14ac:dyDescent="0.2">
      <c r="A1246" s="317" t="s">
        <v>1</v>
      </c>
      <c r="B1246" s="331" t="s">
        <v>637</v>
      </c>
      <c r="C1246" s="319" t="s">
        <v>2</v>
      </c>
      <c r="D1246" s="263"/>
      <c r="E1246" s="263"/>
      <c r="F1246" s="263"/>
      <c r="G1246" s="263"/>
      <c r="H1246" s="263"/>
    </row>
    <row r="1247" spans="1:9" x14ac:dyDescent="0.2">
      <c r="A1247" s="320" t="s">
        <v>3</v>
      </c>
      <c r="B1247" s="254">
        <v>2017</v>
      </c>
      <c r="C1247" s="254">
        <v>2018</v>
      </c>
      <c r="D1247" s="332">
        <v>2019</v>
      </c>
      <c r="E1247" s="254">
        <v>2020</v>
      </c>
      <c r="F1247" s="254">
        <v>2021</v>
      </c>
      <c r="G1247" s="254">
        <v>2022</v>
      </c>
      <c r="H1247" s="254">
        <v>2023</v>
      </c>
      <c r="I1247" s="254">
        <v>2024</v>
      </c>
    </row>
    <row r="1248" spans="1:9" x14ac:dyDescent="0.2">
      <c r="A1248" s="320" t="s">
        <v>4</v>
      </c>
      <c r="B1248" s="274">
        <v>850</v>
      </c>
      <c r="C1248" s="274">
        <v>850</v>
      </c>
      <c r="D1248" s="334">
        <v>850</v>
      </c>
      <c r="E1248" s="274">
        <v>850</v>
      </c>
      <c r="F1248" s="255">
        <v>850</v>
      </c>
      <c r="G1248" s="255">
        <v>850</v>
      </c>
      <c r="H1248" s="255">
        <v>850</v>
      </c>
      <c r="I1248" s="255" t="s">
        <v>775</v>
      </c>
    </row>
    <row r="1249" spans="1:9" x14ac:dyDescent="0.2">
      <c r="A1249" s="320" t="s">
        <v>5</v>
      </c>
      <c r="B1249" s="274">
        <v>950</v>
      </c>
      <c r="C1249" s="274">
        <v>900</v>
      </c>
      <c r="D1249" s="334">
        <v>1000</v>
      </c>
      <c r="E1249" s="274">
        <v>995</v>
      </c>
      <c r="F1249" s="255">
        <v>1095</v>
      </c>
      <c r="G1249" s="255">
        <f>G1248+E1252+150+20+25</f>
        <v>1104.1799999999998</v>
      </c>
      <c r="H1249" s="255">
        <f>H1248+0.15*F1248+150+20+25</f>
        <v>1172.5</v>
      </c>
      <c r="I1249" s="255" t="s">
        <v>776</v>
      </c>
    </row>
    <row r="1250" spans="1:9" x14ac:dyDescent="0.2">
      <c r="A1250" s="320" t="s">
        <v>6</v>
      </c>
      <c r="B1250" s="274"/>
      <c r="C1250" s="274"/>
      <c r="D1250" s="334"/>
      <c r="E1250" s="274"/>
      <c r="F1250" s="255"/>
      <c r="G1250" s="255"/>
      <c r="H1250" s="255"/>
      <c r="I1250" s="255"/>
    </row>
    <row r="1251" spans="1:9" x14ac:dyDescent="0.2">
      <c r="A1251" s="320" t="s">
        <v>7</v>
      </c>
      <c r="B1251" s="274">
        <v>900</v>
      </c>
      <c r="C1251" s="274">
        <v>950</v>
      </c>
      <c r="D1251" s="334">
        <v>950</v>
      </c>
      <c r="E1251" s="274">
        <v>935.82</v>
      </c>
      <c r="F1251" s="255">
        <v>955.3</v>
      </c>
      <c r="G1251" s="255">
        <v>1085.3699999999999</v>
      </c>
      <c r="H1251" s="255"/>
      <c r="I1251" s="255"/>
    </row>
    <row r="1252" spans="1:9" x14ac:dyDescent="0.2">
      <c r="A1252" s="320" t="s">
        <v>8</v>
      </c>
      <c r="B1252" s="274">
        <f>B1249-B1251</f>
        <v>50</v>
      </c>
      <c r="C1252" s="274">
        <f t="shared" ref="C1252:E1252" si="48">C1249-C1251</f>
        <v>-50</v>
      </c>
      <c r="D1252" s="274">
        <f t="shared" si="48"/>
        <v>50</v>
      </c>
      <c r="E1252" s="274">
        <f t="shared" si="48"/>
        <v>59.17999999999995</v>
      </c>
      <c r="F1252" s="255">
        <f>F1249-F1251</f>
        <v>139.70000000000005</v>
      </c>
      <c r="G1252" s="255">
        <f>G1249-G1251</f>
        <v>18.809999999999945</v>
      </c>
      <c r="H1252" s="255"/>
      <c r="I1252" s="255"/>
    </row>
    <row r="1253" spans="1:9" ht="13.15" customHeight="1" x14ac:dyDescent="0.2">
      <c r="A1253" s="260" t="s">
        <v>9</v>
      </c>
      <c r="B1253" s="292">
        <v>2019</v>
      </c>
      <c r="C1253" s="292">
        <v>2020</v>
      </c>
      <c r="D1253" s="337">
        <v>2021</v>
      </c>
      <c r="E1253" s="292">
        <v>2022</v>
      </c>
      <c r="F1253" s="293">
        <v>2023</v>
      </c>
      <c r="G1253" s="293">
        <v>2024</v>
      </c>
      <c r="H1253" s="293">
        <v>2025</v>
      </c>
      <c r="I1253" s="293">
        <v>2026</v>
      </c>
    </row>
    <row r="1254" spans="1:9" ht="13.15" customHeight="1" x14ac:dyDescent="0.2">
      <c r="A1254" s="320" t="s">
        <v>10</v>
      </c>
      <c r="B1254" s="566"/>
      <c r="C1254" s="566"/>
      <c r="D1254" s="566"/>
      <c r="E1254" s="566"/>
      <c r="F1254" s="566"/>
      <c r="G1254" s="566"/>
      <c r="H1254" s="566"/>
      <c r="I1254" s="275"/>
    </row>
    <row r="1255" spans="1:9" x14ac:dyDescent="0.2">
      <c r="A1255" s="262" t="s">
        <v>778</v>
      </c>
      <c r="B1255" s="263"/>
      <c r="C1255" s="263"/>
      <c r="D1255" s="263"/>
      <c r="E1255" s="263"/>
      <c r="F1255" s="263"/>
      <c r="G1255" s="263"/>
      <c r="H1255" s="263"/>
      <c r="I1255" s="21"/>
    </row>
    <row r="1256" spans="1:9" x14ac:dyDescent="0.2">
      <c r="A1256" s="262" t="s">
        <v>779</v>
      </c>
      <c r="B1256" s="263"/>
      <c r="C1256" s="263"/>
      <c r="D1256" s="263"/>
      <c r="E1256" s="263"/>
      <c r="F1256" s="263"/>
      <c r="G1256" s="263"/>
      <c r="H1256" s="263"/>
      <c r="I1256" s="21"/>
    </row>
    <row r="1257" spans="1:9" x14ac:dyDescent="0.2">
      <c r="A1257" s="328" t="s">
        <v>780</v>
      </c>
      <c r="B1257" s="329"/>
      <c r="C1257" s="329"/>
      <c r="D1257" s="329"/>
      <c r="E1257" s="329"/>
      <c r="F1257" s="329"/>
      <c r="G1257" s="329"/>
      <c r="H1257" s="329"/>
      <c r="I1257" s="21"/>
    </row>
    <row r="1258" spans="1:9" x14ac:dyDescent="0.2">
      <c r="A1258" s="262" t="s">
        <v>781</v>
      </c>
      <c r="B1258" s="263"/>
      <c r="C1258" s="263"/>
      <c r="D1258" s="263"/>
      <c r="E1258" s="263"/>
      <c r="F1258" s="263"/>
      <c r="G1258" s="263"/>
      <c r="H1258" s="263"/>
      <c r="I1258" s="21"/>
    </row>
    <row r="1259" spans="1:9" x14ac:dyDescent="0.2">
      <c r="A1259" s="262" t="s">
        <v>782</v>
      </c>
      <c r="B1259" s="263"/>
      <c r="C1259" s="263"/>
      <c r="D1259" s="263"/>
      <c r="E1259" s="263"/>
      <c r="F1259" s="263"/>
      <c r="G1259" s="263"/>
      <c r="H1259" s="263"/>
      <c r="I1259" s="21"/>
    </row>
    <row r="1260" spans="1:9" x14ac:dyDescent="0.2">
      <c r="A1260" s="262" t="s">
        <v>783</v>
      </c>
      <c r="B1260" s="263"/>
      <c r="C1260" s="263"/>
      <c r="D1260" s="263"/>
      <c r="E1260" s="263"/>
      <c r="F1260" s="263"/>
      <c r="G1260" s="263"/>
      <c r="H1260" s="263"/>
      <c r="I1260" s="21"/>
    </row>
    <row r="1261" spans="1:9" x14ac:dyDescent="0.2">
      <c r="A1261" s="276" t="s">
        <v>777</v>
      </c>
      <c r="B1261" s="338"/>
      <c r="C1261" s="338"/>
      <c r="D1261" s="338"/>
      <c r="E1261" s="338"/>
      <c r="F1261" s="338"/>
      <c r="G1261" s="338"/>
      <c r="H1261" s="338"/>
      <c r="I1261" s="34"/>
    </row>
    <row r="1263" spans="1:9" x14ac:dyDescent="0.2">
      <c r="A1263" s="96" t="s">
        <v>1</v>
      </c>
      <c r="B1263" s="56" t="s">
        <v>661</v>
      </c>
      <c r="C1263" s="41" t="s">
        <v>2</v>
      </c>
    </row>
    <row r="1264" spans="1:9" x14ac:dyDescent="0.2">
      <c r="A1264" s="47" t="s">
        <v>3</v>
      </c>
      <c r="B1264" s="22"/>
      <c r="C1264" s="55"/>
      <c r="D1264" s="59"/>
      <c r="E1264" s="52">
        <v>2020</v>
      </c>
      <c r="F1264" s="52">
        <v>2021</v>
      </c>
      <c r="G1264" s="52">
        <v>2022</v>
      </c>
      <c r="H1264" s="52">
        <v>2023</v>
      </c>
    </row>
    <row r="1265" spans="1:9" x14ac:dyDescent="0.2">
      <c r="A1265" s="47" t="s">
        <v>4</v>
      </c>
      <c r="B1265" s="22"/>
      <c r="C1265" s="223"/>
      <c r="D1265" s="97"/>
      <c r="E1265" s="23">
        <v>3284</v>
      </c>
      <c r="F1265" s="98">
        <v>3284</v>
      </c>
      <c r="G1265" s="98">
        <v>3284</v>
      </c>
      <c r="H1265" s="98">
        <v>3284</v>
      </c>
    </row>
    <row r="1266" spans="1:9" x14ac:dyDescent="0.2">
      <c r="A1266" s="47" t="s">
        <v>5</v>
      </c>
      <c r="B1266" s="22"/>
      <c r="C1266" s="223"/>
      <c r="D1266" s="97"/>
      <c r="E1266" s="23">
        <v>3488.62</v>
      </c>
      <c r="F1266" s="98">
        <v>3318.91</v>
      </c>
      <c r="G1266" s="98">
        <f>G1265+F1269+259.62</f>
        <v>3568.2699999999995</v>
      </c>
      <c r="H1266" s="98">
        <f>H1265+G1269+259.62</f>
        <v>3546.8399999999992</v>
      </c>
    </row>
    <row r="1267" spans="1:9" x14ac:dyDescent="0.2">
      <c r="A1267" s="47" t="s">
        <v>6</v>
      </c>
      <c r="B1267" s="22"/>
      <c r="C1267" s="223"/>
      <c r="D1267" s="97"/>
      <c r="E1267" s="23"/>
      <c r="F1267" s="98"/>
      <c r="G1267" s="98"/>
      <c r="H1267" s="98"/>
    </row>
    <row r="1268" spans="1:9" x14ac:dyDescent="0.2">
      <c r="A1268" s="47" t="s">
        <v>7</v>
      </c>
      <c r="B1268" s="22"/>
      <c r="C1268" s="223"/>
      <c r="D1268" s="97"/>
      <c r="E1268" s="23">
        <v>3453.71</v>
      </c>
      <c r="F1268" s="98">
        <v>3294.26</v>
      </c>
      <c r="G1268" s="98">
        <v>3565.05</v>
      </c>
      <c r="H1268" s="98"/>
    </row>
    <row r="1269" spans="1:9" x14ac:dyDescent="0.2">
      <c r="A1269" s="47" t="s">
        <v>8</v>
      </c>
      <c r="B1269" s="22"/>
      <c r="C1269" s="223"/>
      <c r="D1269" s="97"/>
      <c r="E1269" s="23">
        <v>34.909999999999997</v>
      </c>
      <c r="F1269" s="98">
        <f>F1266-F1268</f>
        <v>24.649999999999636</v>
      </c>
      <c r="G1269" s="98">
        <f>G1266-G1268</f>
        <v>3.2199999999993452</v>
      </c>
      <c r="H1269" s="98"/>
    </row>
    <row r="1270" spans="1:9" x14ac:dyDescent="0.2">
      <c r="A1270" s="50" t="s">
        <v>9</v>
      </c>
      <c r="B1270" s="36"/>
      <c r="C1270" s="58"/>
      <c r="D1270" s="30"/>
      <c r="E1270" s="58">
        <v>2021</v>
      </c>
      <c r="F1270" s="83">
        <v>2022</v>
      </c>
      <c r="G1270" s="83">
        <v>2023</v>
      </c>
      <c r="H1270" s="83">
        <v>2024</v>
      </c>
    </row>
    <row r="1271" spans="1:9" x14ac:dyDescent="0.2">
      <c r="A1271" s="47" t="s">
        <v>10</v>
      </c>
      <c r="B1271" s="59"/>
      <c r="C1271" s="59"/>
      <c r="D1271" s="59"/>
      <c r="E1271" s="59"/>
      <c r="F1271" s="59"/>
      <c r="G1271" s="59"/>
      <c r="H1271" s="57"/>
    </row>
    <row r="1272" spans="1:9" x14ac:dyDescent="0.2">
      <c r="A1272" s="1" t="s">
        <v>785</v>
      </c>
      <c r="B1272" s="30"/>
      <c r="C1272" s="30"/>
      <c r="D1272" s="30"/>
      <c r="E1272" s="30"/>
      <c r="F1272" s="30"/>
      <c r="G1272" s="30"/>
      <c r="H1272" s="31"/>
    </row>
    <row r="1273" spans="1:9" x14ac:dyDescent="0.2">
      <c r="A1273" s="252" t="s">
        <v>786</v>
      </c>
      <c r="H1273" s="21"/>
    </row>
    <row r="1274" spans="1:9" x14ac:dyDescent="0.2">
      <c r="A1274" s="252" t="s">
        <v>787</v>
      </c>
      <c r="B1274" s="564"/>
      <c r="C1274" s="564"/>
      <c r="D1274" s="564"/>
      <c r="E1274" s="564"/>
      <c r="F1274" s="564"/>
      <c r="G1274" s="564"/>
      <c r="H1274" s="21"/>
    </row>
    <row r="1275" spans="1:9" x14ac:dyDescent="0.2">
      <c r="A1275" s="32" t="s">
        <v>784</v>
      </c>
      <c r="B1275" s="33"/>
      <c r="C1275" s="33"/>
      <c r="D1275" s="33"/>
      <c r="E1275" s="33"/>
      <c r="F1275" s="33"/>
      <c r="G1275" s="33"/>
      <c r="H1275" s="34"/>
    </row>
    <row r="1276" spans="1:9" x14ac:dyDescent="0.2">
      <c r="A1276" s="32"/>
      <c r="B1276" s="33"/>
      <c r="C1276" s="33"/>
    </row>
    <row r="1277" spans="1:9" x14ac:dyDescent="0.2">
      <c r="A1277" s="74" t="s">
        <v>1</v>
      </c>
      <c r="B1277" s="72" t="s">
        <v>74</v>
      </c>
      <c r="C1277" s="233" t="s">
        <v>2</v>
      </c>
    </row>
    <row r="1278" spans="1:9" x14ac:dyDescent="0.2">
      <c r="A1278" s="47" t="s">
        <v>3</v>
      </c>
      <c r="B1278" s="52">
        <v>2017</v>
      </c>
      <c r="C1278" s="52">
        <v>2018</v>
      </c>
      <c r="D1278" s="93">
        <v>2019</v>
      </c>
      <c r="E1278" s="52">
        <v>2020</v>
      </c>
      <c r="F1278" s="52">
        <v>2021</v>
      </c>
      <c r="G1278" s="52">
        <v>2022</v>
      </c>
      <c r="H1278" s="52">
        <v>2023</v>
      </c>
      <c r="I1278" s="52">
        <v>2024</v>
      </c>
    </row>
    <row r="1279" spans="1:9" x14ac:dyDescent="0.2">
      <c r="A1279" s="47" t="s">
        <v>4</v>
      </c>
      <c r="B1279" s="23">
        <v>10</v>
      </c>
      <c r="C1279" s="223">
        <v>10</v>
      </c>
      <c r="D1279" s="97">
        <v>10</v>
      </c>
      <c r="E1279" s="23">
        <v>10</v>
      </c>
      <c r="F1279" s="98">
        <v>10</v>
      </c>
      <c r="G1279" s="98">
        <v>10</v>
      </c>
      <c r="H1279" s="98">
        <v>10</v>
      </c>
      <c r="I1279" s="98">
        <v>10</v>
      </c>
    </row>
    <row r="1280" spans="1:9" x14ac:dyDescent="0.2">
      <c r="A1280" s="47" t="s">
        <v>5</v>
      </c>
      <c r="B1280" s="23">
        <v>10</v>
      </c>
      <c r="C1280" s="223">
        <v>-62</v>
      </c>
      <c r="D1280" s="97">
        <v>-52</v>
      </c>
      <c r="E1280" s="23">
        <v>-42</v>
      </c>
      <c r="F1280" s="98">
        <v>-32</v>
      </c>
      <c r="G1280" s="98">
        <v>-22</v>
      </c>
      <c r="H1280" s="98">
        <v>-12</v>
      </c>
      <c r="I1280" s="98">
        <v>8</v>
      </c>
    </row>
    <row r="1281" spans="1:9" x14ac:dyDescent="0.2">
      <c r="A1281" s="47" t="s">
        <v>6</v>
      </c>
      <c r="B1281" s="23"/>
      <c r="C1281" s="223"/>
      <c r="D1281" s="97"/>
      <c r="E1281" s="23"/>
      <c r="F1281" s="98"/>
      <c r="G1281" s="98"/>
      <c r="H1281" s="98"/>
      <c r="I1281" s="98"/>
    </row>
    <row r="1282" spans="1:9" x14ac:dyDescent="0.2">
      <c r="A1282" s="47" t="s">
        <v>7</v>
      </c>
      <c r="B1282" s="23">
        <v>82</v>
      </c>
      <c r="C1282" s="223">
        <v>0</v>
      </c>
      <c r="D1282" s="97">
        <v>0</v>
      </c>
      <c r="E1282" s="23">
        <v>0</v>
      </c>
      <c r="F1282" s="98">
        <v>0</v>
      </c>
      <c r="G1282" s="98">
        <v>0</v>
      </c>
      <c r="H1282" s="98"/>
      <c r="I1282" s="98"/>
    </row>
    <row r="1283" spans="1:9" x14ac:dyDescent="0.2">
      <c r="A1283" s="47" t="s">
        <v>8</v>
      </c>
      <c r="B1283" s="23">
        <v>-72</v>
      </c>
      <c r="C1283" s="223">
        <v>-62</v>
      </c>
      <c r="D1283" s="97">
        <v>-52</v>
      </c>
      <c r="E1283" s="23">
        <v>-42</v>
      </c>
      <c r="F1283" s="98">
        <v>-32</v>
      </c>
      <c r="G1283" s="98">
        <v>-22</v>
      </c>
      <c r="H1283" s="98"/>
      <c r="I1283" s="98"/>
    </row>
    <row r="1284" spans="1:9" x14ac:dyDescent="0.2">
      <c r="A1284" s="50" t="s">
        <v>9</v>
      </c>
      <c r="B1284" s="58">
        <v>2018</v>
      </c>
      <c r="C1284" s="58">
        <v>2019</v>
      </c>
      <c r="D1284" s="58">
        <v>2020</v>
      </c>
      <c r="E1284" s="58">
        <v>2021</v>
      </c>
      <c r="F1284" s="58">
        <v>2022</v>
      </c>
      <c r="G1284" s="58">
        <v>2023</v>
      </c>
      <c r="H1284" s="58">
        <v>2024</v>
      </c>
      <c r="I1284" s="58">
        <v>2025</v>
      </c>
    </row>
    <row r="1285" spans="1:9" x14ac:dyDescent="0.2">
      <c r="A1285" s="47" t="s">
        <v>10</v>
      </c>
      <c r="B1285" s="59"/>
      <c r="C1285" s="59"/>
      <c r="D1285" s="59"/>
      <c r="E1285" s="59"/>
      <c r="F1285" s="59"/>
      <c r="G1285" s="59"/>
      <c r="H1285" s="59"/>
      <c r="I1285" s="57"/>
    </row>
    <row r="1286" spans="1:9" x14ac:dyDescent="0.2">
      <c r="A1286" s="5" t="s">
        <v>789</v>
      </c>
      <c r="B1286" s="4"/>
      <c r="C1286" s="4"/>
      <c r="D1286" s="4"/>
      <c r="E1286" s="4"/>
      <c r="F1286" s="4"/>
      <c r="I1286" s="21"/>
    </row>
    <row r="1287" spans="1:9" x14ac:dyDescent="0.2">
      <c r="A1287" s="20" t="s">
        <v>790</v>
      </c>
      <c r="B1287" s="4"/>
      <c r="C1287" s="4"/>
      <c r="D1287" s="4"/>
      <c r="E1287" s="4"/>
      <c r="F1287" s="4"/>
      <c r="I1287" s="21"/>
    </row>
    <row r="1288" spans="1:9" x14ac:dyDescent="0.2">
      <c r="A1288" s="5" t="s">
        <v>791</v>
      </c>
      <c r="B1288" s="4"/>
      <c r="C1288" s="4"/>
      <c r="D1288" s="4"/>
      <c r="E1288" s="4"/>
      <c r="F1288" s="4"/>
      <c r="I1288" s="21"/>
    </row>
    <row r="1289" spans="1:9" x14ac:dyDescent="0.2">
      <c r="A1289" s="20" t="s">
        <v>792</v>
      </c>
      <c r="I1289" s="21"/>
    </row>
    <row r="1290" spans="1:9" x14ac:dyDescent="0.2">
      <c r="A1290" s="32" t="s">
        <v>788</v>
      </c>
      <c r="B1290" s="33"/>
      <c r="C1290" s="33"/>
      <c r="D1290" s="33"/>
      <c r="E1290" s="33"/>
      <c r="F1290" s="33"/>
      <c r="G1290" s="33"/>
      <c r="H1290" s="33"/>
      <c r="I1290" s="34"/>
    </row>
    <row r="1293" spans="1:9" x14ac:dyDescent="0.2">
      <c r="A1293" s="125" t="s">
        <v>24</v>
      </c>
      <c r="B1293" s="680" t="s">
        <v>25</v>
      </c>
    </row>
    <row r="1294" spans="1:9" x14ac:dyDescent="0.2">
      <c r="A1294" s="74" t="s">
        <v>14</v>
      </c>
      <c r="B1294" s="72" t="s">
        <v>638</v>
      </c>
      <c r="C1294" s="111" t="s">
        <v>26</v>
      </c>
    </row>
    <row r="1295" spans="1:9" x14ac:dyDescent="0.2">
      <c r="A1295" s="53" t="s">
        <v>27</v>
      </c>
      <c r="B1295" s="108">
        <v>2016</v>
      </c>
      <c r="C1295" s="52">
        <v>2017</v>
      </c>
      <c r="D1295" s="66">
        <v>2018</v>
      </c>
      <c r="E1295" s="52">
        <v>2019</v>
      </c>
      <c r="F1295" s="52">
        <v>2020</v>
      </c>
      <c r="G1295" s="52">
        <v>2021</v>
      </c>
      <c r="H1295" s="52">
        <v>2022</v>
      </c>
      <c r="I1295" s="52">
        <v>2023</v>
      </c>
    </row>
    <row r="1296" spans="1:9" x14ac:dyDescent="0.2">
      <c r="A1296" s="22" t="s">
        <v>28</v>
      </c>
      <c r="B1296" s="29">
        <v>200</v>
      </c>
      <c r="C1296" s="29">
        <v>200</v>
      </c>
      <c r="D1296" s="29">
        <v>200</v>
      </c>
      <c r="E1296" s="29">
        <v>215</v>
      </c>
      <c r="F1296" s="23">
        <v>215</v>
      </c>
      <c r="G1296" s="22">
        <v>242</v>
      </c>
      <c r="H1296" s="22">
        <v>242</v>
      </c>
      <c r="I1296" s="22">
        <v>242</v>
      </c>
    </row>
    <row r="1297" spans="1:12" x14ac:dyDescent="0.2">
      <c r="A1297" s="22" t="s">
        <v>29</v>
      </c>
      <c r="B1297" s="29">
        <f>200+200*0.25</f>
        <v>250</v>
      </c>
      <c r="C1297" s="29">
        <f>200+200*0.25</f>
        <v>250</v>
      </c>
      <c r="D1297" s="29">
        <f t="shared" ref="D1297:I1297" si="49">D1296+B1296*0.25</f>
        <v>250</v>
      </c>
      <c r="E1297" s="29">
        <f t="shared" si="49"/>
        <v>265</v>
      </c>
      <c r="F1297" s="29">
        <f t="shared" si="49"/>
        <v>265</v>
      </c>
      <c r="G1297" s="29">
        <f t="shared" si="49"/>
        <v>295.75</v>
      </c>
      <c r="H1297" s="29">
        <f t="shared" si="49"/>
        <v>295.75</v>
      </c>
      <c r="I1297" s="29">
        <f t="shared" si="49"/>
        <v>302.5</v>
      </c>
    </row>
    <row r="1298" spans="1:12" x14ac:dyDescent="0.2">
      <c r="A1298" s="22" t="s">
        <v>30</v>
      </c>
      <c r="B1298" s="27" t="s">
        <v>414</v>
      </c>
      <c r="C1298" s="27" t="s">
        <v>414</v>
      </c>
      <c r="D1298" s="27" t="s">
        <v>414</v>
      </c>
      <c r="E1298" s="27" t="s">
        <v>415</v>
      </c>
      <c r="F1298" s="27" t="s">
        <v>415</v>
      </c>
      <c r="G1298" s="27" t="s">
        <v>437</v>
      </c>
      <c r="H1298" s="27" t="s">
        <v>437</v>
      </c>
      <c r="I1298" s="27" t="s">
        <v>867</v>
      </c>
    </row>
    <row r="1299" spans="1:12" x14ac:dyDescent="0.2">
      <c r="A1299" s="22" t="s">
        <v>31</v>
      </c>
      <c r="B1299" s="29">
        <v>2.19</v>
      </c>
      <c r="C1299" s="29">
        <v>0.38</v>
      </c>
      <c r="D1299" s="29">
        <v>7.19</v>
      </c>
      <c r="E1299" s="29">
        <v>0.28999999999999998</v>
      </c>
      <c r="F1299" s="23">
        <v>1.45</v>
      </c>
      <c r="G1299" s="22">
        <v>0.72</v>
      </c>
      <c r="H1299" s="22">
        <v>0.64</v>
      </c>
      <c r="I1299" s="22"/>
    </row>
    <row r="1300" spans="1:12" x14ac:dyDescent="0.2">
      <c r="A1300" s="22" t="s">
        <v>32</v>
      </c>
      <c r="B1300" s="29">
        <f t="shared" ref="B1300:D1300" si="50">B1297-B1299</f>
        <v>247.81</v>
      </c>
      <c r="C1300" s="29">
        <f t="shared" si="50"/>
        <v>249.62</v>
      </c>
      <c r="D1300" s="29">
        <f t="shared" si="50"/>
        <v>242.81</v>
      </c>
      <c r="E1300" s="29">
        <f>E1297-E1299</f>
        <v>264.70999999999998</v>
      </c>
      <c r="F1300" s="29">
        <f>F1297-F1299</f>
        <v>263.55</v>
      </c>
      <c r="G1300" s="23">
        <f>G1297-G1299</f>
        <v>295.02999999999997</v>
      </c>
      <c r="H1300" s="23">
        <f>H1297-H1299</f>
        <v>295.11</v>
      </c>
      <c r="I1300" s="23"/>
    </row>
    <row r="1301" spans="1:12" x14ac:dyDescent="0.2">
      <c r="A1301" s="50" t="s">
        <v>33</v>
      </c>
      <c r="B1301" s="58">
        <v>2018</v>
      </c>
      <c r="C1301" s="58">
        <v>2019</v>
      </c>
      <c r="D1301" s="116">
        <v>2020</v>
      </c>
      <c r="E1301" s="58">
        <v>2021</v>
      </c>
      <c r="F1301" s="58">
        <v>2022</v>
      </c>
      <c r="G1301" s="36">
        <v>2023</v>
      </c>
      <c r="H1301" s="36">
        <v>2024</v>
      </c>
      <c r="I1301" s="36">
        <v>2025</v>
      </c>
    </row>
    <row r="1302" spans="1:12" ht="13.15" customHeight="1" x14ac:dyDescent="0.2">
      <c r="A1302" s="47" t="s">
        <v>135</v>
      </c>
      <c r="B1302" s="59"/>
      <c r="C1302" s="59"/>
      <c r="D1302" s="59"/>
      <c r="E1302" s="59"/>
      <c r="F1302" s="59"/>
      <c r="G1302" s="59"/>
      <c r="H1302" s="57"/>
      <c r="I1302" s="57"/>
      <c r="J1302" s="68"/>
    </row>
    <row r="1303" spans="1:12" x14ac:dyDescent="0.2">
      <c r="A1303" s="18"/>
      <c r="B1303" s="18"/>
    </row>
    <row r="1304" spans="1:12" x14ac:dyDescent="0.2">
      <c r="A1304" s="96" t="s">
        <v>14</v>
      </c>
      <c r="B1304" s="56" t="s">
        <v>637</v>
      </c>
      <c r="C1304" s="111" t="s">
        <v>26</v>
      </c>
    </row>
    <row r="1305" spans="1:12" x14ac:dyDescent="0.2">
      <c r="A1305" s="53" t="s">
        <v>27</v>
      </c>
      <c r="B1305" s="108">
        <v>2013</v>
      </c>
      <c r="C1305" s="52">
        <v>2014</v>
      </c>
      <c r="D1305" s="66">
        <v>2015</v>
      </c>
      <c r="E1305" s="52">
        <v>2016</v>
      </c>
      <c r="F1305" s="52">
        <v>2017</v>
      </c>
      <c r="G1305" s="66">
        <v>2018</v>
      </c>
      <c r="H1305" s="52">
        <v>2019</v>
      </c>
      <c r="I1305" s="52">
        <v>2020</v>
      </c>
      <c r="J1305" s="52">
        <v>2021</v>
      </c>
      <c r="K1305" s="52">
        <v>2022</v>
      </c>
      <c r="L1305" s="52">
        <v>2023</v>
      </c>
    </row>
    <row r="1306" spans="1:12" x14ac:dyDescent="0.2">
      <c r="A1306" s="22" t="s">
        <v>28</v>
      </c>
      <c r="B1306" s="23">
        <v>200</v>
      </c>
      <c r="C1306" s="23">
        <v>200</v>
      </c>
      <c r="D1306" s="29">
        <v>200</v>
      </c>
      <c r="E1306" s="29">
        <v>200</v>
      </c>
      <c r="F1306" s="29">
        <v>200</v>
      </c>
      <c r="G1306" s="29">
        <v>200</v>
      </c>
      <c r="H1306" s="29">
        <v>200</v>
      </c>
      <c r="I1306" s="23">
        <v>200</v>
      </c>
      <c r="J1306" s="23">
        <v>200</v>
      </c>
      <c r="K1306" s="23">
        <v>200</v>
      </c>
      <c r="L1306" s="23">
        <v>200</v>
      </c>
    </row>
    <row r="1307" spans="1:12" x14ac:dyDescent="0.2">
      <c r="A1307" s="22" t="s">
        <v>29</v>
      </c>
      <c r="B1307" s="48">
        <f t="shared" ref="B1307:C1307" si="51">(B1308)</f>
        <v>300</v>
      </c>
      <c r="C1307" s="48">
        <f t="shared" si="51"/>
        <v>300</v>
      </c>
      <c r="D1307" s="29">
        <v>300</v>
      </c>
      <c r="E1307" s="29">
        <v>300</v>
      </c>
      <c r="F1307" s="29">
        <v>300</v>
      </c>
      <c r="G1307" s="29">
        <v>280</v>
      </c>
      <c r="H1307" s="29">
        <v>280</v>
      </c>
      <c r="I1307" s="23">
        <v>280</v>
      </c>
      <c r="J1307" s="23">
        <v>280</v>
      </c>
      <c r="K1307" s="23">
        <v>280</v>
      </c>
      <c r="L1307" s="23">
        <v>280</v>
      </c>
    </row>
    <row r="1308" spans="1:12" x14ac:dyDescent="0.2">
      <c r="A1308" s="22" t="s">
        <v>30</v>
      </c>
      <c r="B1308" s="23">
        <f t="shared" ref="B1308:C1308" si="52">(B1306*50%)+B1306</f>
        <v>300</v>
      </c>
      <c r="C1308" s="23">
        <f t="shared" si="52"/>
        <v>300</v>
      </c>
      <c r="D1308" s="27" t="s">
        <v>247</v>
      </c>
      <c r="E1308" s="27" t="s">
        <v>247</v>
      </c>
      <c r="F1308" s="27" t="s">
        <v>247</v>
      </c>
      <c r="G1308" s="27" t="s">
        <v>248</v>
      </c>
      <c r="H1308" s="27" t="s">
        <v>248</v>
      </c>
      <c r="I1308" s="27" t="s">
        <v>248</v>
      </c>
      <c r="J1308" s="27" t="s">
        <v>248</v>
      </c>
      <c r="K1308" s="27" t="s">
        <v>248</v>
      </c>
      <c r="L1308" s="27" t="s">
        <v>248</v>
      </c>
    </row>
    <row r="1309" spans="1:12" x14ac:dyDescent="0.2">
      <c r="A1309" s="22" t="s">
        <v>31</v>
      </c>
      <c r="B1309" s="23">
        <v>32</v>
      </c>
      <c r="C1309" s="23">
        <v>32</v>
      </c>
      <c r="D1309" s="29">
        <v>31</v>
      </c>
      <c r="E1309" s="29">
        <v>36</v>
      </c>
      <c r="F1309" s="29">
        <v>64</v>
      </c>
      <c r="G1309" s="29">
        <v>45</v>
      </c>
      <c r="H1309" s="29">
        <v>30</v>
      </c>
      <c r="I1309" s="23">
        <v>21</v>
      </c>
      <c r="J1309" s="23">
        <v>25</v>
      </c>
      <c r="K1309" s="23">
        <v>22</v>
      </c>
      <c r="L1309" s="23"/>
    </row>
    <row r="1310" spans="1:12" x14ac:dyDescent="0.2">
      <c r="A1310" s="22" t="s">
        <v>32</v>
      </c>
      <c r="B1310" s="48">
        <f t="shared" ref="B1310:C1310" si="53">(B1307-B1309)</f>
        <v>268</v>
      </c>
      <c r="C1310" s="48">
        <f t="shared" si="53"/>
        <v>268</v>
      </c>
      <c r="D1310" s="29">
        <f>D1307-D1309</f>
        <v>269</v>
      </c>
      <c r="E1310" s="29">
        <f t="shared" ref="E1310:G1310" si="54">E1307-E1309</f>
        <v>264</v>
      </c>
      <c r="F1310" s="29">
        <f t="shared" si="54"/>
        <v>236</v>
      </c>
      <c r="G1310" s="29">
        <f t="shared" si="54"/>
        <v>235</v>
      </c>
      <c r="H1310" s="29">
        <f>H1307-H1309</f>
        <v>250</v>
      </c>
      <c r="I1310" s="29">
        <f>I1307-I1309</f>
        <v>259</v>
      </c>
      <c r="J1310" s="29">
        <f>J1307-J1309</f>
        <v>255</v>
      </c>
      <c r="K1310" s="29">
        <f>K1307-K1309</f>
        <v>258</v>
      </c>
      <c r="L1310" s="29"/>
    </row>
    <row r="1311" spans="1:12" ht="13.15" customHeight="1" x14ac:dyDescent="0.2">
      <c r="A1311" s="50" t="s">
        <v>33</v>
      </c>
      <c r="B1311" s="58">
        <v>2015</v>
      </c>
      <c r="C1311" s="58">
        <v>2016</v>
      </c>
      <c r="D1311" s="58">
        <v>2017</v>
      </c>
      <c r="E1311" s="58">
        <v>2018</v>
      </c>
      <c r="F1311" s="58">
        <v>2019</v>
      </c>
      <c r="G1311" s="116">
        <v>2020</v>
      </c>
      <c r="H1311" s="58">
        <v>2021</v>
      </c>
      <c r="I1311" s="58">
        <v>2022</v>
      </c>
      <c r="J1311" s="58">
        <v>2023</v>
      </c>
      <c r="K1311" s="58">
        <v>2024</v>
      </c>
      <c r="L1311" s="58">
        <v>2025</v>
      </c>
    </row>
    <row r="1312" spans="1:12" ht="13.15" customHeight="1" x14ac:dyDescent="0.2">
      <c r="A1312" s="50" t="s">
        <v>510</v>
      </c>
      <c r="B1312" s="82"/>
      <c r="C1312" s="82"/>
      <c r="D1312" s="82"/>
      <c r="E1312" s="82"/>
      <c r="F1312" s="82"/>
      <c r="G1312" s="82"/>
      <c r="H1312" s="82"/>
      <c r="I1312" s="82"/>
      <c r="J1312" s="82"/>
      <c r="K1312" s="83"/>
      <c r="L1312" s="83"/>
    </row>
    <row r="1313" spans="1:16" x14ac:dyDescent="0.2">
      <c r="A1313" s="32" t="s">
        <v>511</v>
      </c>
      <c r="B1313" s="166"/>
      <c r="C1313" s="166"/>
      <c r="D1313" s="166"/>
      <c r="E1313" s="166"/>
      <c r="F1313" s="166"/>
      <c r="G1313" s="166"/>
      <c r="H1313" s="166"/>
      <c r="I1313" s="166"/>
      <c r="J1313" s="166"/>
      <c r="K1313" s="267"/>
      <c r="L1313" s="267"/>
    </row>
    <row r="1315" spans="1:16" ht="15" x14ac:dyDescent="0.25">
      <c r="A1315" s="317" t="s">
        <v>14</v>
      </c>
      <c r="B1315" s="331" t="s">
        <v>664</v>
      </c>
      <c r="C1315" s="331" t="s">
        <v>26</v>
      </c>
      <c r="D1315" s="263"/>
      <c r="E1315" s="263"/>
      <c r="F1315" s="263"/>
      <c r="G1315" s="263"/>
      <c r="H1315" s="263"/>
      <c r="I1315" s="263"/>
      <c r="J1315" s="263"/>
      <c r="K1315" s="263"/>
      <c r="L1315" s="263"/>
      <c r="M1315" s="263"/>
      <c r="N1315" s="263"/>
      <c r="O1315" s="482"/>
      <c r="P1315" s="263"/>
    </row>
    <row r="1316" spans="1:16" x14ac:dyDescent="0.2">
      <c r="A1316" s="253" t="s">
        <v>27</v>
      </c>
      <c r="B1316" s="400">
        <v>2010</v>
      </c>
      <c r="C1316" s="254">
        <v>2011</v>
      </c>
      <c r="D1316" s="254">
        <v>2012</v>
      </c>
      <c r="E1316" s="254">
        <v>2013</v>
      </c>
      <c r="F1316" s="254">
        <v>2014</v>
      </c>
      <c r="G1316" s="254">
        <v>2015</v>
      </c>
      <c r="H1316" s="254">
        <v>2016</v>
      </c>
      <c r="I1316" s="483">
        <v>2017</v>
      </c>
      <c r="J1316" s="254">
        <v>2018</v>
      </c>
      <c r="K1316" s="254">
        <v>2019</v>
      </c>
      <c r="L1316" s="254">
        <v>2020</v>
      </c>
      <c r="M1316" s="254">
        <v>2021</v>
      </c>
      <c r="N1316" s="254">
        <v>2022</v>
      </c>
      <c r="O1316" s="254">
        <v>2023</v>
      </c>
      <c r="P1316" s="263"/>
    </row>
    <row r="1317" spans="1:16" x14ac:dyDescent="0.2">
      <c r="A1317" s="320" t="s">
        <v>28</v>
      </c>
      <c r="B1317" s="257">
        <v>95</v>
      </c>
      <c r="C1317" s="257">
        <v>95</v>
      </c>
      <c r="D1317" s="257">
        <v>95</v>
      </c>
      <c r="E1317" s="257">
        <v>95</v>
      </c>
      <c r="F1317" s="274">
        <v>95</v>
      </c>
      <c r="G1317" s="484">
        <v>108.98</v>
      </c>
      <c r="H1317" s="484">
        <v>108.98</v>
      </c>
      <c r="I1317" s="485">
        <v>108.98</v>
      </c>
      <c r="J1317" s="484">
        <v>128.44</v>
      </c>
      <c r="K1317" s="484">
        <v>128.44</v>
      </c>
      <c r="L1317" s="484">
        <v>128.44</v>
      </c>
      <c r="M1317" s="484">
        <v>128.44</v>
      </c>
      <c r="N1317" s="484">
        <v>149.34</v>
      </c>
      <c r="O1317" s="484">
        <v>149.34</v>
      </c>
      <c r="P1317" s="263"/>
    </row>
    <row r="1318" spans="1:16" x14ac:dyDescent="0.2">
      <c r="A1318" s="320" t="s">
        <v>29</v>
      </c>
      <c r="B1318" s="274">
        <f>(B1319)</f>
        <v>56</v>
      </c>
      <c r="C1318" s="274">
        <f t="shared" ref="C1318:J1318" si="55">(C1319)</f>
        <v>137</v>
      </c>
      <c r="D1318" s="274">
        <f t="shared" si="55"/>
        <v>103.5</v>
      </c>
      <c r="E1318" s="274">
        <f t="shared" si="55"/>
        <v>147.9</v>
      </c>
      <c r="F1318" s="274">
        <f t="shared" si="55"/>
        <v>103.5</v>
      </c>
      <c r="G1318" s="484">
        <f t="shared" si="55"/>
        <v>74.980000000000018</v>
      </c>
      <c r="H1318" s="484">
        <f t="shared" si="55"/>
        <v>78.980000000000047</v>
      </c>
      <c r="I1318" s="485">
        <f t="shared" si="55"/>
        <v>76.980000000000047</v>
      </c>
      <c r="J1318" s="484">
        <f t="shared" si="55"/>
        <v>97.44000000000004</v>
      </c>
      <c r="K1318" s="484">
        <f>K1319</f>
        <v>85.440000000000055</v>
      </c>
      <c r="L1318" s="257">
        <f>L1319</f>
        <v>95.440000000000055</v>
      </c>
      <c r="M1318" s="257">
        <f>M1319</f>
        <v>95.440000000000055</v>
      </c>
      <c r="N1318" s="257">
        <f>N1319</f>
        <v>122.78000000000006</v>
      </c>
      <c r="O1318" s="257">
        <f>O1319</f>
        <v>212.12000000000006</v>
      </c>
      <c r="P1318" s="263"/>
    </row>
    <row r="1319" spans="1:16" x14ac:dyDescent="0.2">
      <c r="A1319" s="320" t="s">
        <v>30</v>
      </c>
      <c r="B1319" s="484">
        <f>(B1317+47.5)-86.5</f>
        <v>56</v>
      </c>
      <c r="C1319" s="484">
        <f>(C1317+B1321)</f>
        <v>137</v>
      </c>
      <c r="D1319" s="484">
        <f>D1317+95-86.5</f>
        <v>103.5</v>
      </c>
      <c r="E1319" s="484">
        <f>E1317+D1321</f>
        <v>147.9</v>
      </c>
      <c r="F1319" s="484">
        <f>(F1317+95)-86.5</f>
        <v>103.5</v>
      </c>
      <c r="G1319" s="484">
        <f>(G1317+F1321)-86.5</f>
        <v>74.980000000000018</v>
      </c>
      <c r="H1319" s="484">
        <f>(H1317+G1321)-51.98</f>
        <v>78.980000000000047</v>
      </c>
      <c r="I1319" s="485">
        <f>(I1317+H1321)-55.98</f>
        <v>76.980000000000047</v>
      </c>
      <c r="J1319" s="484">
        <f>(J1317+I1321)-73.98</f>
        <v>97.44000000000004</v>
      </c>
      <c r="K1319" s="484">
        <f>K1317+J1321-60.44</f>
        <v>85.440000000000055</v>
      </c>
      <c r="L1319" s="257">
        <f>L1317+K1321-79.44</f>
        <v>95.440000000000055</v>
      </c>
      <c r="M1319" s="257">
        <f>M1317+L1321-100.44</f>
        <v>95.440000000000055</v>
      </c>
      <c r="N1319" s="257">
        <f>N1317+M1321-60</f>
        <v>122.78000000000006</v>
      </c>
      <c r="O1319" s="257">
        <f>O1317+N1321</f>
        <v>212.12000000000006</v>
      </c>
      <c r="P1319" s="263"/>
    </row>
    <row r="1320" spans="1:16" x14ac:dyDescent="0.2">
      <c r="A1320" s="320" t="s">
        <v>31</v>
      </c>
      <c r="B1320" s="274">
        <v>14</v>
      </c>
      <c r="C1320" s="274">
        <v>14</v>
      </c>
      <c r="D1320" s="274">
        <v>50.6</v>
      </c>
      <c r="E1320" s="274">
        <v>22</v>
      </c>
      <c r="F1320" s="274">
        <v>51</v>
      </c>
      <c r="G1320" s="274">
        <v>53</v>
      </c>
      <c r="H1320" s="274">
        <v>55</v>
      </c>
      <c r="I1320" s="486">
        <v>34</v>
      </c>
      <c r="J1320" s="274">
        <v>80</v>
      </c>
      <c r="K1320" s="274">
        <v>39</v>
      </c>
      <c r="L1320" s="257">
        <v>28</v>
      </c>
      <c r="M1320" s="257">
        <v>62</v>
      </c>
      <c r="N1320" s="257">
        <v>60</v>
      </c>
      <c r="O1320" s="257"/>
      <c r="P1320" s="263"/>
    </row>
    <row r="1321" spans="1:16" x14ac:dyDescent="0.2">
      <c r="A1321" s="320" t="s">
        <v>32</v>
      </c>
      <c r="B1321" s="274">
        <f>(B1318-B1320)</f>
        <v>42</v>
      </c>
      <c r="C1321" s="274">
        <f t="shared" ref="C1321:J1321" si="56">(C1318-C1320)</f>
        <v>123</v>
      </c>
      <c r="D1321" s="274">
        <f t="shared" si="56"/>
        <v>52.9</v>
      </c>
      <c r="E1321" s="274">
        <f t="shared" si="56"/>
        <v>125.9</v>
      </c>
      <c r="F1321" s="274">
        <f t="shared" si="56"/>
        <v>52.5</v>
      </c>
      <c r="G1321" s="274">
        <f t="shared" si="56"/>
        <v>21.980000000000018</v>
      </c>
      <c r="H1321" s="274">
        <f t="shared" si="56"/>
        <v>23.980000000000047</v>
      </c>
      <c r="I1321" s="486">
        <f t="shared" si="56"/>
        <v>42.980000000000047</v>
      </c>
      <c r="J1321" s="274">
        <f t="shared" si="56"/>
        <v>17.44000000000004</v>
      </c>
      <c r="K1321" s="274">
        <f>K1318-K1320</f>
        <v>46.440000000000055</v>
      </c>
      <c r="L1321" s="257">
        <f>L1318-L1320</f>
        <v>67.440000000000055</v>
      </c>
      <c r="M1321" s="257">
        <f>M1318-M1320</f>
        <v>33.440000000000055</v>
      </c>
      <c r="N1321" s="257">
        <f>N1318-N1320</f>
        <v>62.780000000000058</v>
      </c>
      <c r="O1321" s="257"/>
      <c r="P1321" s="263"/>
    </row>
    <row r="1322" spans="1:16" x14ac:dyDescent="0.2">
      <c r="A1322" s="260" t="s">
        <v>33</v>
      </c>
      <c r="B1322" s="292">
        <v>2011</v>
      </c>
      <c r="C1322" s="292">
        <v>2012</v>
      </c>
      <c r="D1322" s="292">
        <v>2013</v>
      </c>
      <c r="E1322" s="292">
        <v>2014</v>
      </c>
      <c r="F1322" s="292">
        <v>2015</v>
      </c>
      <c r="G1322" s="292">
        <v>2016</v>
      </c>
      <c r="H1322" s="292">
        <v>2017</v>
      </c>
      <c r="I1322" s="487">
        <v>2018</v>
      </c>
      <c r="J1322" s="292">
        <v>2019</v>
      </c>
      <c r="K1322" s="292">
        <v>2020</v>
      </c>
      <c r="L1322" s="292">
        <v>2021</v>
      </c>
      <c r="M1322" s="292">
        <v>2022</v>
      </c>
      <c r="N1322" s="292">
        <v>2023</v>
      </c>
      <c r="O1322" s="292">
        <v>2024</v>
      </c>
      <c r="P1322" s="263"/>
    </row>
    <row r="1323" spans="1:16" x14ac:dyDescent="0.2">
      <c r="A1323" s="260" t="s">
        <v>34</v>
      </c>
      <c r="B1323" s="261"/>
      <c r="C1323" s="261"/>
      <c r="D1323" s="261"/>
      <c r="E1323" s="261"/>
      <c r="F1323" s="261"/>
      <c r="G1323" s="261"/>
      <c r="H1323" s="261"/>
      <c r="I1323" s="261"/>
      <c r="J1323" s="261"/>
      <c r="K1323" s="261"/>
      <c r="L1323" s="261"/>
      <c r="M1323" s="261"/>
      <c r="N1323" s="261"/>
      <c r="O1323" s="259"/>
      <c r="P1323" s="263"/>
    </row>
    <row r="1324" spans="1:16" x14ac:dyDescent="0.2">
      <c r="A1324" s="328" t="s">
        <v>35</v>
      </c>
      <c r="B1324" s="263"/>
      <c r="C1324" s="263"/>
      <c r="D1324" s="263"/>
      <c r="E1324" s="263"/>
      <c r="F1324" s="263"/>
      <c r="G1324" s="263"/>
      <c r="H1324" s="263"/>
      <c r="I1324" s="263"/>
      <c r="J1324" s="263"/>
      <c r="K1324" s="263"/>
      <c r="L1324" s="263"/>
      <c r="M1324" s="263"/>
      <c r="N1324" s="263"/>
      <c r="O1324" s="264"/>
      <c r="P1324" s="263"/>
    </row>
    <row r="1325" spans="1:16" x14ac:dyDescent="0.2">
      <c r="A1325" s="328" t="s">
        <v>744</v>
      </c>
      <c r="B1325" s="263"/>
      <c r="C1325" s="263"/>
      <c r="D1325" s="263"/>
      <c r="E1325" s="263"/>
      <c r="F1325" s="263"/>
      <c r="G1325" s="263"/>
      <c r="H1325" s="263"/>
      <c r="I1325" s="263"/>
      <c r="J1325" s="263"/>
      <c r="K1325" s="263"/>
      <c r="L1325" s="263"/>
      <c r="M1325" s="263"/>
      <c r="N1325" s="263"/>
      <c r="O1325" s="264"/>
      <c r="P1325" s="263"/>
    </row>
    <row r="1326" spans="1:16" x14ac:dyDescent="0.2">
      <c r="A1326" s="328" t="s">
        <v>745</v>
      </c>
      <c r="B1326" s="263"/>
      <c r="C1326" s="263"/>
      <c r="D1326" s="263"/>
      <c r="E1326" s="263"/>
      <c r="F1326" s="263"/>
      <c r="G1326" s="263"/>
      <c r="H1326" s="263"/>
      <c r="I1326" s="263"/>
      <c r="J1326" s="263"/>
      <c r="K1326" s="263"/>
      <c r="L1326" s="263"/>
      <c r="M1326" s="263"/>
      <c r="N1326" s="263"/>
      <c r="O1326" s="264"/>
      <c r="P1326" s="263"/>
    </row>
    <row r="1327" spans="1:16" x14ac:dyDescent="0.2">
      <c r="A1327" s="328" t="s">
        <v>746</v>
      </c>
      <c r="B1327" s="263"/>
      <c r="C1327" s="263"/>
      <c r="D1327" s="263"/>
      <c r="E1327" s="263"/>
      <c r="F1327" s="263"/>
      <c r="G1327" s="263"/>
      <c r="H1327" s="263"/>
      <c r="I1327" s="263"/>
      <c r="J1327" s="263"/>
      <c r="K1327" s="263"/>
      <c r="L1327" s="263"/>
      <c r="M1327" s="263"/>
      <c r="N1327" s="263"/>
      <c r="O1327" s="264"/>
      <c r="P1327" s="263"/>
    </row>
    <row r="1328" spans="1:16" x14ac:dyDescent="0.2">
      <c r="A1328" s="328" t="s">
        <v>747</v>
      </c>
      <c r="B1328" s="263"/>
      <c r="C1328" s="263"/>
      <c r="D1328" s="263"/>
      <c r="E1328" s="263"/>
      <c r="F1328" s="263"/>
      <c r="G1328" s="263"/>
      <c r="H1328" s="263"/>
      <c r="I1328" s="263"/>
      <c r="J1328" s="263"/>
      <c r="K1328" s="263"/>
      <c r="L1328" s="263"/>
      <c r="M1328" s="263"/>
      <c r="N1328" s="263"/>
      <c r="O1328" s="264"/>
      <c r="P1328" s="263"/>
    </row>
    <row r="1329" spans="1:16" x14ac:dyDescent="0.2">
      <c r="A1329" s="262" t="s">
        <v>748</v>
      </c>
      <c r="B1329" s="263"/>
      <c r="C1329" s="263"/>
      <c r="D1329" s="263"/>
      <c r="E1329" s="263"/>
      <c r="F1329" s="263"/>
      <c r="G1329" s="263"/>
      <c r="H1329" s="263"/>
      <c r="I1329" s="263"/>
      <c r="J1329" s="263"/>
      <c r="K1329" s="263"/>
      <c r="L1329" s="263"/>
      <c r="M1329" s="263"/>
      <c r="N1329" s="263"/>
      <c r="O1329" s="264"/>
      <c r="P1329" s="263"/>
    </row>
    <row r="1330" spans="1:16" x14ac:dyDescent="0.2">
      <c r="A1330" s="262" t="s">
        <v>749</v>
      </c>
      <c r="B1330" s="263"/>
      <c r="C1330" s="263"/>
      <c r="D1330" s="263"/>
      <c r="E1330" s="263"/>
      <c r="F1330" s="263"/>
      <c r="G1330" s="263"/>
      <c r="H1330" s="263"/>
      <c r="I1330" s="263"/>
      <c r="J1330" s="263"/>
      <c r="K1330" s="263"/>
      <c r="L1330" s="263"/>
      <c r="M1330" s="263"/>
      <c r="N1330" s="263"/>
      <c r="O1330" s="264"/>
      <c r="P1330" s="263"/>
    </row>
    <row r="1331" spans="1:16" x14ac:dyDescent="0.2">
      <c r="A1331" s="262" t="s">
        <v>750</v>
      </c>
      <c r="B1331" s="263"/>
      <c r="C1331" s="263"/>
      <c r="D1331" s="263"/>
      <c r="E1331" s="263"/>
      <c r="F1331" s="263"/>
      <c r="G1331" s="263"/>
      <c r="H1331" s="263"/>
      <c r="I1331" s="263"/>
      <c r="J1331" s="263"/>
      <c r="K1331" s="263"/>
      <c r="L1331" s="263"/>
      <c r="M1331" s="263"/>
      <c r="N1331" s="263"/>
      <c r="O1331" s="264"/>
      <c r="P1331" s="263"/>
    </row>
    <row r="1332" spans="1:16" x14ac:dyDescent="0.2">
      <c r="A1332" s="262" t="s">
        <v>751</v>
      </c>
      <c r="B1332" s="263"/>
      <c r="C1332" s="263"/>
      <c r="D1332" s="263"/>
      <c r="E1332" s="263"/>
      <c r="F1332" s="263"/>
      <c r="G1332" s="263"/>
      <c r="H1332" s="263"/>
      <c r="I1332" s="263"/>
      <c r="J1332" s="263"/>
      <c r="K1332" s="263"/>
      <c r="L1332" s="263"/>
      <c r="M1332" s="263"/>
      <c r="N1332" s="263"/>
      <c r="O1332" s="264"/>
      <c r="P1332" s="263"/>
    </row>
    <row r="1333" spans="1:16" x14ac:dyDescent="0.2">
      <c r="A1333" s="262" t="s">
        <v>752</v>
      </c>
      <c r="B1333" s="263"/>
      <c r="C1333" s="263"/>
      <c r="D1333" s="263"/>
      <c r="E1333" s="263"/>
      <c r="F1333" s="263"/>
      <c r="G1333" s="263"/>
      <c r="H1333" s="263"/>
      <c r="I1333" s="263"/>
      <c r="J1333" s="263"/>
      <c r="K1333" s="263"/>
      <c r="L1333" s="263"/>
      <c r="M1333" s="263"/>
      <c r="N1333" s="263"/>
      <c r="O1333" s="264"/>
      <c r="P1333" s="263"/>
    </row>
    <row r="1334" spans="1:16" x14ac:dyDescent="0.2">
      <c r="A1334" s="262" t="s">
        <v>753</v>
      </c>
      <c r="B1334" s="263"/>
      <c r="C1334" s="263"/>
      <c r="D1334" s="263"/>
      <c r="E1334" s="263"/>
      <c r="F1334" s="263"/>
      <c r="G1334" s="263"/>
      <c r="H1334" s="263"/>
      <c r="I1334" s="263"/>
      <c r="J1334" s="263"/>
      <c r="K1334" s="263"/>
      <c r="L1334" s="263"/>
      <c r="M1334" s="263"/>
      <c r="N1334" s="263"/>
      <c r="O1334" s="264"/>
      <c r="P1334" s="263"/>
    </row>
    <row r="1335" spans="1:16" x14ac:dyDescent="0.2">
      <c r="A1335" s="262" t="s">
        <v>754</v>
      </c>
      <c r="B1335" s="263"/>
      <c r="C1335" s="263"/>
      <c r="D1335" s="263"/>
      <c r="E1335" s="263"/>
      <c r="F1335" s="263"/>
      <c r="G1335" s="263"/>
      <c r="H1335" s="263"/>
      <c r="I1335" s="263"/>
      <c r="J1335" s="263"/>
      <c r="K1335" s="263"/>
      <c r="L1335" s="263"/>
      <c r="M1335" s="263"/>
      <c r="N1335" s="263"/>
      <c r="O1335" s="264"/>
      <c r="P1335" s="263"/>
    </row>
    <row r="1336" spans="1:16" x14ac:dyDescent="0.2">
      <c r="A1336" s="262" t="s">
        <v>868</v>
      </c>
      <c r="B1336" s="263"/>
      <c r="C1336" s="263"/>
      <c r="D1336" s="263"/>
      <c r="E1336" s="263"/>
      <c r="F1336" s="263"/>
      <c r="G1336" s="263"/>
      <c r="H1336" s="263"/>
      <c r="I1336" s="263"/>
      <c r="J1336" s="263"/>
      <c r="K1336" s="263"/>
      <c r="L1336" s="263"/>
      <c r="M1336" s="263"/>
      <c r="N1336" s="263"/>
      <c r="O1336" s="264"/>
      <c r="P1336" s="263"/>
    </row>
    <row r="1337" spans="1:16" x14ac:dyDescent="0.2">
      <c r="A1337" s="253" t="s">
        <v>869</v>
      </c>
      <c r="B1337" s="265"/>
      <c r="C1337" s="265"/>
      <c r="D1337" s="265"/>
      <c r="E1337" s="265"/>
      <c r="F1337" s="265"/>
      <c r="G1337" s="265"/>
      <c r="H1337" s="265"/>
      <c r="I1337" s="265"/>
      <c r="J1337" s="265"/>
      <c r="K1337" s="265"/>
      <c r="L1337" s="265"/>
      <c r="M1337" s="265"/>
      <c r="N1337" s="265"/>
      <c r="O1337" s="266"/>
      <c r="P1337" s="263"/>
    </row>
    <row r="1339" spans="1:16" x14ac:dyDescent="0.2">
      <c r="A1339" s="96" t="s">
        <v>14</v>
      </c>
      <c r="B1339" s="56" t="s">
        <v>74</v>
      </c>
      <c r="C1339" s="56" t="s">
        <v>26</v>
      </c>
    </row>
    <row r="1340" spans="1:16" x14ac:dyDescent="0.2">
      <c r="A1340" s="32" t="s">
        <v>27</v>
      </c>
      <c r="B1340" s="108">
        <v>2013</v>
      </c>
      <c r="C1340" s="52">
        <v>2014</v>
      </c>
      <c r="D1340" s="52">
        <v>2015</v>
      </c>
      <c r="E1340" s="66">
        <v>2016</v>
      </c>
      <c r="F1340" s="52">
        <v>2017</v>
      </c>
      <c r="G1340" s="66">
        <v>2018</v>
      </c>
      <c r="H1340" s="52">
        <v>2019</v>
      </c>
      <c r="I1340" s="52">
        <v>2020</v>
      </c>
      <c r="J1340" s="52">
        <v>2021</v>
      </c>
      <c r="K1340" s="52">
        <v>2022</v>
      </c>
      <c r="L1340" s="52">
        <v>2023</v>
      </c>
    </row>
    <row r="1341" spans="1:16" x14ac:dyDescent="0.2">
      <c r="A1341" s="47" t="s">
        <v>28</v>
      </c>
      <c r="B1341" s="23">
        <v>70</v>
      </c>
      <c r="C1341" s="23">
        <v>70</v>
      </c>
      <c r="D1341" s="23">
        <v>70</v>
      </c>
      <c r="E1341" s="23">
        <v>70</v>
      </c>
      <c r="F1341" s="48">
        <v>70</v>
      </c>
      <c r="G1341" s="48">
        <v>70</v>
      </c>
      <c r="H1341" s="48">
        <v>70</v>
      </c>
      <c r="I1341" s="23">
        <v>58.9</v>
      </c>
      <c r="J1341" s="23">
        <v>58.9</v>
      </c>
      <c r="K1341" s="23">
        <v>58.9</v>
      </c>
      <c r="L1341" s="23">
        <v>58.9</v>
      </c>
    </row>
    <row r="1342" spans="1:16" x14ac:dyDescent="0.2">
      <c r="A1342" s="47" t="s">
        <v>29</v>
      </c>
      <c r="B1342" s="23">
        <f>(B1343)</f>
        <v>-15</v>
      </c>
      <c r="C1342" s="23">
        <f t="shared" ref="C1342:H1342" si="57">(C1343)</f>
        <v>3</v>
      </c>
      <c r="D1342" s="23">
        <v>55</v>
      </c>
      <c r="E1342" s="23">
        <f t="shared" si="57"/>
        <v>56</v>
      </c>
      <c r="F1342" s="23">
        <f t="shared" si="57"/>
        <v>61</v>
      </c>
      <c r="G1342" s="48">
        <f t="shared" si="57"/>
        <v>71</v>
      </c>
      <c r="H1342" s="48">
        <f t="shared" si="57"/>
        <v>73</v>
      </c>
      <c r="I1342" s="23">
        <v>65.900000000000006</v>
      </c>
      <c r="J1342" s="23"/>
      <c r="K1342" s="23"/>
      <c r="L1342" s="23"/>
    </row>
    <row r="1343" spans="1:16" x14ac:dyDescent="0.2">
      <c r="A1343" s="47" t="s">
        <v>30</v>
      </c>
      <c r="B1343" s="48">
        <f>(B1341-B1344)</f>
        <v>-15</v>
      </c>
      <c r="C1343" s="48">
        <f>(C1341-C1344)</f>
        <v>3</v>
      </c>
      <c r="D1343" s="48">
        <f>D1341+B1345</f>
        <v>55</v>
      </c>
      <c r="E1343" s="48">
        <f>E1341+D1345+C1345</f>
        <v>56</v>
      </c>
      <c r="F1343" s="48">
        <f>F1341+E1345</f>
        <v>61</v>
      </c>
      <c r="G1343" s="48">
        <f>G1341+F1345</f>
        <v>71</v>
      </c>
      <c r="H1343" s="48">
        <f>H1341+G1345</f>
        <v>73</v>
      </c>
      <c r="I1343" s="23">
        <f>I1341+0.1*H1341</f>
        <v>65.900000000000006</v>
      </c>
      <c r="J1343" s="23"/>
      <c r="K1343" s="23"/>
      <c r="L1343" s="23"/>
    </row>
    <row r="1344" spans="1:16" x14ac:dyDescent="0.2">
      <c r="A1344" s="47" t="s">
        <v>36</v>
      </c>
      <c r="B1344" s="48">
        <v>85</v>
      </c>
      <c r="C1344" s="48">
        <v>67</v>
      </c>
      <c r="D1344" s="48">
        <v>72</v>
      </c>
      <c r="E1344" s="48">
        <v>65</v>
      </c>
      <c r="F1344" s="48">
        <v>60</v>
      </c>
      <c r="G1344" s="48">
        <v>68</v>
      </c>
      <c r="H1344" s="48">
        <v>51</v>
      </c>
      <c r="I1344" s="23">
        <v>39</v>
      </c>
      <c r="J1344" s="23">
        <v>43</v>
      </c>
      <c r="K1344" s="23">
        <v>29</v>
      </c>
      <c r="L1344" s="23"/>
    </row>
    <row r="1345" spans="1:12" x14ac:dyDescent="0.2">
      <c r="A1345" s="47" t="s">
        <v>37</v>
      </c>
      <c r="B1345" s="23">
        <f>(B1343)</f>
        <v>-15</v>
      </c>
      <c r="C1345" s="23">
        <f>(C1343)</f>
        <v>3</v>
      </c>
      <c r="D1345" s="23">
        <f t="shared" ref="D1345:I1345" si="58">D1342-D1344</f>
        <v>-17</v>
      </c>
      <c r="E1345" s="23">
        <f t="shared" si="58"/>
        <v>-9</v>
      </c>
      <c r="F1345" s="23">
        <f t="shared" si="58"/>
        <v>1</v>
      </c>
      <c r="G1345" s="48">
        <f t="shared" si="58"/>
        <v>3</v>
      </c>
      <c r="H1345" s="48">
        <f t="shared" si="58"/>
        <v>22</v>
      </c>
      <c r="I1345" s="23">
        <f t="shared" si="58"/>
        <v>26.900000000000006</v>
      </c>
      <c r="J1345" s="23">
        <f>J1341-J1344</f>
        <v>15.899999999999999</v>
      </c>
      <c r="K1345" s="23">
        <f>K1341-K1344</f>
        <v>29.9</v>
      </c>
      <c r="L1345" s="23"/>
    </row>
    <row r="1346" spans="1:12" x14ac:dyDescent="0.2">
      <c r="A1346" s="50" t="s">
        <v>33</v>
      </c>
      <c r="B1346" s="71">
        <v>2015</v>
      </c>
      <c r="C1346" s="71">
        <v>2016</v>
      </c>
      <c r="D1346" s="71">
        <v>2016</v>
      </c>
      <c r="E1346" s="71">
        <v>2017</v>
      </c>
      <c r="F1346" s="71">
        <v>2018</v>
      </c>
      <c r="G1346" s="71">
        <v>2019</v>
      </c>
      <c r="H1346" s="71">
        <v>2020</v>
      </c>
      <c r="I1346" s="58"/>
      <c r="J1346" s="58"/>
      <c r="K1346" s="58"/>
      <c r="L1346" s="58"/>
    </row>
    <row r="1347" spans="1:12" x14ac:dyDescent="0.2">
      <c r="A1347" s="50" t="s">
        <v>34</v>
      </c>
      <c r="B1347" s="30"/>
      <c r="C1347" s="30"/>
      <c r="D1347" s="30"/>
      <c r="E1347" s="30"/>
      <c r="F1347" s="30"/>
      <c r="G1347" s="30"/>
      <c r="H1347" s="30"/>
      <c r="I1347" s="30"/>
      <c r="J1347" s="30"/>
      <c r="K1347" s="31"/>
      <c r="L1347" s="31"/>
    </row>
    <row r="1348" spans="1:12" x14ac:dyDescent="0.2">
      <c r="A1348" s="1" t="s">
        <v>312</v>
      </c>
      <c r="B1348" s="30"/>
      <c r="C1348" s="30"/>
      <c r="D1348" s="30"/>
      <c r="E1348" s="30"/>
      <c r="F1348" s="30"/>
      <c r="G1348" s="30"/>
      <c r="H1348" s="30"/>
      <c r="I1348" s="30"/>
      <c r="J1348" s="30"/>
      <c r="K1348" s="30"/>
      <c r="L1348" s="31"/>
    </row>
    <row r="1349" spans="1:12" x14ac:dyDescent="0.2">
      <c r="A1349" s="20" t="s">
        <v>313</v>
      </c>
      <c r="L1349" s="21"/>
    </row>
    <row r="1350" spans="1:12" x14ac:dyDescent="0.2">
      <c r="A1350" s="5" t="s">
        <v>314</v>
      </c>
      <c r="L1350" s="21"/>
    </row>
    <row r="1351" spans="1:12" x14ac:dyDescent="0.2">
      <c r="A1351" s="5" t="s">
        <v>315</v>
      </c>
      <c r="L1351" s="21"/>
    </row>
    <row r="1352" spans="1:12" x14ac:dyDescent="0.2">
      <c r="A1352" s="20" t="s">
        <v>306</v>
      </c>
      <c r="L1352" s="21"/>
    </row>
    <row r="1353" spans="1:12" x14ac:dyDescent="0.2">
      <c r="A1353" s="32" t="s">
        <v>411</v>
      </c>
      <c r="B1353" s="33"/>
      <c r="C1353" s="33"/>
      <c r="D1353" s="33"/>
      <c r="E1353" s="33"/>
      <c r="F1353" s="33"/>
      <c r="G1353" s="33"/>
      <c r="H1353" s="33"/>
      <c r="I1353" s="33"/>
      <c r="J1353" s="33"/>
      <c r="K1353" s="33"/>
      <c r="L1353" s="34"/>
    </row>
    <row r="1355" spans="1:12" x14ac:dyDescent="0.2">
      <c r="A1355" s="96" t="s">
        <v>14</v>
      </c>
      <c r="B1355" s="56" t="s">
        <v>79</v>
      </c>
      <c r="C1355" s="56" t="s">
        <v>26</v>
      </c>
    </row>
    <row r="1356" spans="1:12" x14ac:dyDescent="0.2">
      <c r="A1356" s="53" t="s">
        <v>27</v>
      </c>
      <c r="B1356" s="108">
        <v>2013</v>
      </c>
      <c r="C1356" s="52">
        <v>2014</v>
      </c>
      <c r="D1356" s="52">
        <v>2015</v>
      </c>
      <c r="E1356" s="52">
        <v>2016</v>
      </c>
      <c r="F1356" s="52">
        <v>2017</v>
      </c>
      <c r="G1356" s="66">
        <v>2018</v>
      </c>
      <c r="H1356" s="66">
        <v>2019</v>
      </c>
      <c r="I1356" s="52">
        <v>2020</v>
      </c>
      <c r="J1356" s="52">
        <v>2021</v>
      </c>
      <c r="K1356" s="52">
        <v>2022</v>
      </c>
      <c r="L1356" s="52">
        <v>2023</v>
      </c>
    </row>
    <row r="1357" spans="1:12" x14ac:dyDescent="0.2">
      <c r="A1357" s="22" t="s">
        <v>28</v>
      </c>
      <c r="B1357" s="23">
        <v>25</v>
      </c>
      <c r="C1357" s="23">
        <v>25</v>
      </c>
      <c r="D1357" s="23">
        <v>25</v>
      </c>
      <c r="E1357" s="23">
        <v>25</v>
      </c>
      <c r="F1357" s="48">
        <v>25</v>
      </c>
      <c r="G1357" s="224">
        <v>25</v>
      </c>
      <c r="H1357" s="224">
        <v>25</v>
      </c>
      <c r="I1357" s="23">
        <v>25</v>
      </c>
      <c r="J1357" s="23">
        <v>25</v>
      </c>
      <c r="K1357" s="23">
        <v>25</v>
      </c>
      <c r="L1357" s="23">
        <v>25</v>
      </c>
    </row>
    <row r="1358" spans="1:12" x14ac:dyDescent="0.2">
      <c r="A1358" s="22" t="s">
        <v>29</v>
      </c>
      <c r="B1358" s="23">
        <f>(B1359)</f>
        <v>-5</v>
      </c>
      <c r="C1358" s="23">
        <v>25</v>
      </c>
      <c r="D1358" s="23">
        <f t="shared" ref="D1358:E1358" si="59">(D1359)</f>
        <v>25</v>
      </c>
      <c r="E1358" s="23">
        <f t="shared" si="59"/>
        <v>24</v>
      </c>
      <c r="F1358" s="23">
        <f>F1357</f>
        <v>25</v>
      </c>
      <c r="G1358" s="224">
        <v>29</v>
      </c>
      <c r="H1358" s="224">
        <f>H1357+5</f>
        <v>30</v>
      </c>
      <c r="I1358" s="23">
        <f>I1359</f>
        <v>30</v>
      </c>
      <c r="J1358" s="23">
        <f>J1359</f>
        <v>30</v>
      </c>
      <c r="K1358" s="23"/>
      <c r="L1358" s="23"/>
    </row>
    <row r="1359" spans="1:12" x14ac:dyDescent="0.2">
      <c r="A1359" s="22" t="s">
        <v>30</v>
      </c>
      <c r="B1359" s="48">
        <f>(B1357-B1360)</f>
        <v>-5</v>
      </c>
      <c r="C1359" s="48">
        <v>25</v>
      </c>
      <c r="D1359" s="48">
        <f>D1357+B1361+C1361</f>
        <v>25</v>
      </c>
      <c r="E1359" s="48">
        <f>E1357+D1361</f>
        <v>24</v>
      </c>
      <c r="F1359" s="48">
        <v>25</v>
      </c>
      <c r="G1359" s="224">
        <v>29</v>
      </c>
      <c r="H1359" s="224">
        <f>H1357+5</f>
        <v>30</v>
      </c>
      <c r="I1359" s="23">
        <f>I1357+0.2*G1357</f>
        <v>30</v>
      </c>
      <c r="J1359" s="23">
        <f>J1357+0.2*H1357</f>
        <v>30</v>
      </c>
      <c r="K1359" s="23"/>
      <c r="L1359" s="23"/>
    </row>
    <row r="1360" spans="1:12" x14ac:dyDescent="0.2">
      <c r="A1360" s="22" t="s">
        <v>36</v>
      </c>
      <c r="B1360" s="48">
        <v>30</v>
      </c>
      <c r="C1360" s="48">
        <v>20</v>
      </c>
      <c r="D1360" s="48">
        <v>26</v>
      </c>
      <c r="E1360" s="48">
        <v>20</v>
      </c>
      <c r="F1360" s="48">
        <v>12</v>
      </c>
      <c r="G1360" s="224">
        <v>15.89</v>
      </c>
      <c r="H1360" s="224">
        <v>9</v>
      </c>
      <c r="I1360" s="23">
        <v>10</v>
      </c>
      <c r="J1360" s="23">
        <v>12</v>
      </c>
      <c r="K1360" s="23">
        <v>8</v>
      </c>
      <c r="L1360" s="23"/>
    </row>
    <row r="1361" spans="1:12" x14ac:dyDescent="0.2">
      <c r="A1361" s="22" t="s">
        <v>37</v>
      </c>
      <c r="B1361" s="23">
        <v>-5</v>
      </c>
      <c r="C1361" s="23">
        <v>5</v>
      </c>
      <c r="D1361" s="23">
        <f>D1358-D1360</f>
        <v>-1</v>
      </c>
      <c r="E1361" s="161">
        <f>E1358-E1360</f>
        <v>4</v>
      </c>
      <c r="F1361" s="23">
        <f>F1358-F1360</f>
        <v>13</v>
      </c>
      <c r="G1361" s="224">
        <v>13.11</v>
      </c>
      <c r="H1361" s="224">
        <f>H1358-H1360</f>
        <v>21</v>
      </c>
      <c r="I1361" s="224">
        <f>I1358-I1360</f>
        <v>20</v>
      </c>
      <c r="J1361" s="23">
        <f>J1358-J1360</f>
        <v>18</v>
      </c>
      <c r="K1361" s="23">
        <f>K1357-K1360</f>
        <v>17</v>
      </c>
      <c r="L1361" s="23"/>
    </row>
    <row r="1362" spans="1:12" x14ac:dyDescent="0.2">
      <c r="A1362" s="36" t="s">
        <v>33</v>
      </c>
      <c r="B1362" s="71">
        <v>2015</v>
      </c>
      <c r="C1362" s="71">
        <v>2016</v>
      </c>
      <c r="D1362" s="71">
        <v>2017</v>
      </c>
      <c r="E1362" s="71">
        <v>2018</v>
      </c>
      <c r="F1362" s="58">
        <v>2019</v>
      </c>
      <c r="G1362" s="58">
        <v>2020</v>
      </c>
      <c r="H1362" s="116">
        <v>2021</v>
      </c>
      <c r="I1362" s="58"/>
      <c r="J1362" s="58"/>
      <c r="K1362" s="58"/>
      <c r="L1362" s="58"/>
    </row>
    <row r="1363" spans="1:12" x14ac:dyDescent="0.2">
      <c r="A1363" s="50" t="s">
        <v>34</v>
      </c>
      <c r="B1363" s="30"/>
      <c r="C1363" s="30"/>
      <c r="D1363" s="30"/>
      <c r="E1363" s="30"/>
      <c r="F1363" s="30"/>
      <c r="G1363" s="30"/>
      <c r="H1363" s="30"/>
      <c r="I1363" s="30"/>
      <c r="J1363" s="30"/>
      <c r="K1363" s="31"/>
      <c r="L1363" s="31"/>
    </row>
    <row r="1364" spans="1:12" x14ac:dyDescent="0.2">
      <c r="A1364" s="1" t="s">
        <v>307</v>
      </c>
      <c r="B1364" s="30"/>
      <c r="C1364" s="30"/>
      <c r="D1364" s="30"/>
      <c r="E1364" s="30"/>
      <c r="F1364" s="30"/>
      <c r="G1364" s="30"/>
      <c r="H1364" s="30"/>
      <c r="I1364" s="30"/>
      <c r="J1364" s="30"/>
      <c r="K1364" s="30"/>
      <c r="L1364" s="31"/>
    </row>
    <row r="1365" spans="1:12" x14ac:dyDescent="0.2">
      <c r="A1365" s="20" t="s">
        <v>308</v>
      </c>
      <c r="L1365" s="21"/>
    </row>
    <row r="1366" spans="1:12" x14ac:dyDescent="0.2">
      <c r="A1366" s="5" t="s">
        <v>309</v>
      </c>
      <c r="L1366" s="21"/>
    </row>
    <row r="1367" spans="1:12" x14ac:dyDescent="0.2">
      <c r="A1367" s="5" t="s">
        <v>310</v>
      </c>
      <c r="L1367" s="21"/>
    </row>
    <row r="1368" spans="1:12" x14ac:dyDescent="0.2">
      <c r="A1368" s="20" t="s">
        <v>311</v>
      </c>
      <c r="L1368" s="21"/>
    </row>
    <row r="1369" spans="1:12" x14ac:dyDescent="0.2">
      <c r="A1369" s="20" t="s">
        <v>412</v>
      </c>
      <c r="L1369" s="21"/>
    </row>
    <row r="1370" spans="1:12" x14ac:dyDescent="0.2">
      <c r="A1370" s="32" t="s">
        <v>413</v>
      </c>
      <c r="B1370" s="33"/>
      <c r="C1370" s="33"/>
      <c r="D1370" s="33"/>
      <c r="E1370" s="33"/>
      <c r="F1370" s="33"/>
      <c r="G1370" s="33"/>
      <c r="H1370" s="33"/>
      <c r="I1370" s="33"/>
      <c r="J1370" s="33"/>
      <c r="K1370" s="33"/>
      <c r="L1370" s="34"/>
    </row>
    <row r="1373" spans="1:12" x14ac:dyDescent="0.2">
      <c r="A1373" s="137" t="s">
        <v>12</v>
      </c>
      <c r="B1373" s="681" t="s">
        <v>460</v>
      </c>
      <c r="C1373" s="7">
        <f>0.3*C1376</f>
        <v>350.4</v>
      </c>
      <c r="D1373" s="7">
        <f>D1376*0.2</f>
        <v>233.60000000000002</v>
      </c>
      <c r="E1373" s="7"/>
      <c r="F1373" s="7"/>
      <c r="G1373" s="7"/>
    </row>
    <row r="1374" spans="1:12" x14ac:dyDescent="0.2">
      <c r="A1374" s="688" t="s">
        <v>14</v>
      </c>
      <c r="B1374" s="689" t="s">
        <v>660</v>
      </c>
      <c r="C1374" s="307" t="s">
        <v>15</v>
      </c>
      <c r="D1374" s="309"/>
      <c r="E1374" s="309"/>
      <c r="F1374" s="309"/>
      <c r="G1374" s="309"/>
      <c r="H1374" s="263"/>
      <c r="I1374" s="263"/>
    </row>
    <row r="1375" spans="1:12" x14ac:dyDescent="0.2">
      <c r="A1375" s="378" t="s">
        <v>16</v>
      </c>
      <c r="B1375" s="379"/>
      <c r="C1375" s="394">
        <v>2016</v>
      </c>
      <c r="D1375" s="270">
        <v>2017</v>
      </c>
      <c r="E1375" s="270">
        <v>2018</v>
      </c>
      <c r="F1375" s="270">
        <v>2019</v>
      </c>
      <c r="G1375" s="270">
        <v>2020</v>
      </c>
      <c r="H1375" s="270">
        <v>2021</v>
      </c>
      <c r="I1375" s="270">
        <v>2022</v>
      </c>
      <c r="J1375" s="270">
        <v>2023</v>
      </c>
    </row>
    <row r="1376" spans="1:12" x14ac:dyDescent="0.2">
      <c r="A1376" s="310" t="s">
        <v>17</v>
      </c>
      <c r="B1376" s="381"/>
      <c r="C1376" s="382">
        <v>1168</v>
      </c>
      <c r="D1376" s="488">
        <v>1168</v>
      </c>
      <c r="E1376" s="488">
        <v>1168</v>
      </c>
      <c r="F1376" s="488">
        <v>1168</v>
      </c>
      <c r="G1376" s="488">
        <v>1168</v>
      </c>
      <c r="H1376" s="488">
        <v>1168</v>
      </c>
      <c r="I1376" s="488">
        <v>1168</v>
      </c>
      <c r="J1376" s="488">
        <v>1168</v>
      </c>
    </row>
    <row r="1377" spans="1:12" x14ac:dyDescent="0.2">
      <c r="A1377" s="310" t="s">
        <v>18</v>
      </c>
      <c r="B1377" s="381"/>
      <c r="C1377" s="489">
        <f>C1376+0.3*C1376+50+50+50</f>
        <v>1668.4</v>
      </c>
      <c r="D1377" s="489">
        <f t="shared" ref="D1377" si="60">D1376+0.3*D1376+50+50+50</f>
        <v>1668.4</v>
      </c>
      <c r="E1377" s="489">
        <f>E1376+0.2*E1376+50+50+50</f>
        <v>1551.6</v>
      </c>
      <c r="F1377" s="489">
        <f t="shared" ref="F1377:G1377" si="61">F1376+0.2*F1376+50+50+50</f>
        <v>1551.6</v>
      </c>
      <c r="G1377" s="489">
        <f t="shared" si="61"/>
        <v>1551.6</v>
      </c>
      <c r="H1377" s="489">
        <f>H1376+0.2*H1376+50+50</f>
        <v>1501.6</v>
      </c>
      <c r="I1377" s="489">
        <f>I1376+0.2*G1376+50</f>
        <v>1451.6</v>
      </c>
      <c r="J1377" s="489">
        <f>J1376+0.1*H1376+50</f>
        <v>1334.8</v>
      </c>
    </row>
    <row r="1378" spans="1:12" x14ac:dyDescent="0.2">
      <c r="A1378" s="310" t="s">
        <v>19</v>
      </c>
      <c r="B1378" s="490"/>
      <c r="C1378" s="489" t="s">
        <v>463</v>
      </c>
      <c r="D1378" s="489" t="s">
        <v>463</v>
      </c>
      <c r="E1378" s="489" t="s">
        <v>466</v>
      </c>
      <c r="F1378" s="489" t="s">
        <v>466</v>
      </c>
      <c r="G1378" s="489" t="s">
        <v>466</v>
      </c>
      <c r="H1378" s="489" t="s">
        <v>691</v>
      </c>
      <c r="I1378" s="489" t="s">
        <v>904</v>
      </c>
      <c r="J1378" s="489" t="s">
        <v>905</v>
      </c>
    </row>
    <row r="1379" spans="1:12" x14ac:dyDescent="0.2">
      <c r="A1379" s="310" t="s">
        <v>20</v>
      </c>
      <c r="B1379" s="381"/>
      <c r="C1379" s="382">
        <v>466</v>
      </c>
      <c r="D1379" s="488">
        <v>717</v>
      </c>
      <c r="E1379" s="488">
        <v>881</v>
      </c>
      <c r="F1379" s="488">
        <v>811.28</v>
      </c>
      <c r="G1379" s="488">
        <v>789.23699999999997</v>
      </c>
      <c r="H1379" s="488">
        <v>252.99</v>
      </c>
      <c r="I1379" s="488">
        <v>1083</v>
      </c>
      <c r="J1379" s="488"/>
    </row>
    <row r="1380" spans="1:12" x14ac:dyDescent="0.2">
      <c r="A1380" s="310" t="s">
        <v>21</v>
      </c>
      <c r="B1380" s="381"/>
      <c r="C1380" s="382">
        <f>C1377-C1379</f>
        <v>1202.4000000000001</v>
      </c>
      <c r="D1380" s="382">
        <f t="shared" ref="D1380:I1380" si="62">D1377-D1379</f>
        <v>951.40000000000009</v>
      </c>
      <c r="E1380" s="382">
        <f t="shared" si="62"/>
        <v>670.59999999999991</v>
      </c>
      <c r="F1380" s="382">
        <f t="shared" si="62"/>
        <v>740.31999999999994</v>
      </c>
      <c r="G1380" s="382">
        <f t="shared" si="62"/>
        <v>762.36299999999994</v>
      </c>
      <c r="H1380" s="382">
        <f t="shared" si="62"/>
        <v>1248.6099999999999</v>
      </c>
      <c r="I1380" s="382">
        <f t="shared" si="62"/>
        <v>368.59999999999991</v>
      </c>
      <c r="J1380" s="382"/>
    </row>
    <row r="1381" spans="1:12" x14ac:dyDescent="0.2">
      <c r="A1381" s="310" t="s">
        <v>22</v>
      </c>
      <c r="B1381" s="381"/>
      <c r="C1381" s="380">
        <v>2018</v>
      </c>
      <c r="D1381" s="380">
        <v>2019</v>
      </c>
      <c r="E1381" s="380">
        <v>2020</v>
      </c>
      <c r="F1381" s="380">
        <v>2021</v>
      </c>
      <c r="G1381" s="380">
        <v>2022</v>
      </c>
      <c r="H1381" s="380">
        <v>2023</v>
      </c>
      <c r="I1381" s="380">
        <v>2023</v>
      </c>
      <c r="J1381" s="380">
        <v>2025</v>
      </c>
    </row>
    <row r="1382" spans="1:12" x14ac:dyDescent="0.2">
      <c r="A1382" s="709" t="s">
        <v>23</v>
      </c>
      <c r="B1382" s="710"/>
      <c r="C1382" s="710"/>
      <c r="D1382" s="710"/>
      <c r="E1382" s="710"/>
      <c r="F1382" s="315"/>
      <c r="G1382" s="316"/>
      <c r="H1382" s="316"/>
      <c r="I1382" s="316"/>
      <c r="J1382" s="316"/>
    </row>
    <row r="1383" spans="1:12" x14ac:dyDescent="0.2">
      <c r="A1383" s="491" t="s">
        <v>462</v>
      </c>
      <c r="B1383" s="492"/>
      <c r="C1383" s="492"/>
      <c r="D1383" s="492"/>
      <c r="E1383" s="492"/>
      <c r="F1383" s="315"/>
      <c r="G1383" s="315"/>
      <c r="H1383" s="259"/>
      <c r="I1383" s="259"/>
      <c r="J1383" s="259"/>
    </row>
    <row r="1384" spans="1:12" x14ac:dyDescent="0.2">
      <c r="A1384" s="262" t="s">
        <v>461</v>
      </c>
      <c r="B1384" s="263"/>
      <c r="C1384" s="263"/>
      <c r="D1384" s="263"/>
      <c r="E1384" s="263"/>
      <c r="F1384" s="263"/>
      <c r="G1384" s="263"/>
      <c r="H1384" s="264"/>
      <c r="I1384" s="264"/>
      <c r="J1384" s="264"/>
    </row>
    <row r="1385" spans="1:12" x14ac:dyDescent="0.2">
      <c r="A1385" s="244" t="s">
        <v>906</v>
      </c>
      <c r="B1385" s="263"/>
      <c r="C1385" s="263"/>
      <c r="D1385" s="263"/>
      <c r="E1385" s="263"/>
      <c r="F1385" s="263"/>
      <c r="G1385" s="263"/>
      <c r="H1385" s="264"/>
      <c r="I1385" s="264"/>
      <c r="J1385" s="264"/>
    </row>
    <row r="1386" spans="1:12" x14ac:dyDescent="0.2">
      <c r="A1386" s="244" t="s">
        <v>903</v>
      </c>
      <c r="B1386" s="263"/>
      <c r="C1386" s="263"/>
      <c r="D1386" s="263"/>
      <c r="E1386" s="263"/>
      <c r="F1386" s="263"/>
      <c r="G1386" s="263"/>
      <c r="H1386" s="264"/>
      <c r="I1386" s="264"/>
      <c r="J1386" s="264"/>
    </row>
    <row r="1387" spans="1:12" x14ac:dyDescent="0.2">
      <c r="A1387" s="262" t="s">
        <v>464</v>
      </c>
      <c r="B1387" s="263"/>
      <c r="C1387" s="263"/>
      <c r="D1387" s="263"/>
      <c r="E1387" s="263"/>
      <c r="F1387" s="263"/>
      <c r="G1387" s="263"/>
      <c r="H1387" s="264"/>
      <c r="I1387" s="264"/>
      <c r="J1387" s="264"/>
    </row>
    <row r="1388" spans="1:12" x14ac:dyDescent="0.2">
      <c r="A1388" s="253" t="s">
        <v>465</v>
      </c>
      <c r="B1388" s="265"/>
      <c r="C1388" s="265"/>
      <c r="D1388" s="265"/>
      <c r="E1388" s="265"/>
      <c r="F1388" s="265"/>
      <c r="G1388" s="265"/>
      <c r="H1388" s="266"/>
      <c r="I1388" s="266"/>
      <c r="J1388" s="266"/>
    </row>
    <row r="1389" spans="1:12" x14ac:dyDescent="0.2">
      <c r="A1389" s="263"/>
      <c r="B1389" s="263"/>
      <c r="C1389" s="263"/>
      <c r="D1389" s="263"/>
      <c r="E1389" s="263"/>
      <c r="F1389" s="263"/>
      <c r="G1389" s="263"/>
      <c r="H1389" s="263"/>
      <c r="I1389" s="263"/>
    </row>
    <row r="1390" spans="1:12" x14ac:dyDescent="0.2">
      <c r="A1390" s="616" t="s">
        <v>14</v>
      </c>
      <c r="B1390" s="617" t="s">
        <v>657</v>
      </c>
      <c r="C1390" s="617" t="s">
        <v>15</v>
      </c>
      <c r="D1390" s="618"/>
      <c r="E1390" s="618"/>
      <c r="F1390" s="618"/>
      <c r="G1390" s="618"/>
      <c r="H1390" s="237"/>
      <c r="I1390" s="237"/>
      <c r="J1390" s="237"/>
      <c r="K1390" s="237"/>
      <c r="L1390" s="237"/>
    </row>
    <row r="1391" spans="1:12" x14ac:dyDescent="0.2">
      <c r="A1391" s="619" t="s">
        <v>16</v>
      </c>
      <c r="B1391" s="620"/>
      <c r="C1391" s="621">
        <v>2016</v>
      </c>
      <c r="D1391" s="622">
        <v>2017</v>
      </c>
      <c r="E1391" s="622">
        <v>2018</v>
      </c>
      <c r="F1391" s="622">
        <v>2019</v>
      </c>
      <c r="G1391" s="622">
        <v>2020</v>
      </c>
      <c r="H1391" s="622">
        <v>2021</v>
      </c>
      <c r="I1391" s="622">
        <v>2022</v>
      </c>
      <c r="J1391" s="622" t="s">
        <v>909</v>
      </c>
      <c r="K1391" s="622" t="s">
        <v>910</v>
      </c>
      <c r="L1391" s="622" t="s">
        <v>911</v>
      </c>
    </row>
    <row r="1392" spans="1:12" x14ac:dyDescent="0.2">
      <c r="A1392" s="623" t="s">
        <v>17</v>
      </c>
      <c r="B1392" s="624"/>
      <c r="C1392" s="242">
        <v>3600</v>
      </c>
      <c r="D1392" s="249">
        <v>3600</v>
      </c>
      <c r="E1392" s="249">
        <v>3600</v>
      </c>
      <c r="F1392" s="249">
        <v>3600</v>
      </c>
      <c r="G1392" s="249">
        <v>3600</v>
      </c>
      <c r="H1392" s="249">
        <v>3600</v>
      </c>
      <c r="I1392" s="249">
        <v>3600</v>
      </c>
      <c r="J1392" s="249">
        <v>4320</v>
      </c>
      <c r="K1392" s="249">
        <v>4320</v>
      </c>
      <c r="L1392" s="249">
        <v>4320</v>
      </c>
    </row>
    <row r="1393" spans="1:12" x14ac:dyDescent="0.2">
      <c r="A1393" s="623" t="s">
        <v>18</v>
      </c>
      <c r="B1393" s="624"/>
      <c r="C1393" s="625">
        <f>C1392+0.25*C1392</f>
        <v>4500</v>
      </c>
      <c r="D1393" s="625">
        <v>4477</v>
      </c>
      <c r="E1393" s="625">
        <f>E1392+0.25*E1392</f>
        <v>4500</v>
      </c>
      <c r="F1393" s="625">
        <f t="shared" ref="F1393:I1393" si="63">F1392+0.25*F1392</f>
        <v>4500</v>
      </c>
      <c r="G1393" s="625">
        <f t="shared" si="63"/>
        <v>4500</v>
      </c>
      <c r="H1393" s="625">
        <f t="shared" si="63"/>
        <v>4500</v>
      </c>
      <c r="I1393" s="625">
        <f t="shared" si="63"/>
        <v>4500</v>
      </c>
      <c r="J1393" s="625">
        <f>J1392+0.25*H1392</f>
        <v>5220</v>
      </c>
      <c r="K1393" s="625">
        <f>K1392+I1396</f>
        <v>2075</v>
      </c>
      <c r="L1393" s="625">
        <f>L1392</f>
        <v>4320</v>
      </c>
    </row>
    <row r="1394" spans="1:12" ht="38.25" x14ac:dyDescent="0.2">
      <c r="A1394" s="623" t="s">
        <v>19</v>
      </c>
      <c r="B1394" s="626"/>
      <c r="C1394" s="625" t="s">
        <v>907</v>
      </c>
      <c r="D1394" s="625" t="s">
        <v>907</v>
      </c>
      <c r="E1394" s="625" t="s">
        <v>907</v>
      </c>
      <c r="F1394" s="625" t="s">
        <v>907</v>
      </c>
      <c r="G1394" s="625" t="s">
        <v>907</v>
      </c>
      <c r="H1394" s="625" t="s">
        <v>907</v>
      </c>
      <c r="I1394" s="625" t="s">
        <v>907</v>
      </c>
      <c r="J1394" s="625" t="s">
        <v>908</v>
      </c>
      <c r="K1394" s="627" t="s">
        <v>913</v>
      </c>
      <c r="L1394" s="627" t="s">
        <v>914</v>
      </c>
    </row>
    <row r="1395" spans="1:12" x14ac:dyDescent="0.2">
      <c r="A1395" s="623" t="s">
        <v>20</v>
      </c>
      <c r="B1395" s="624"/>
      <c r="C1395" s="242">
        <v>994</v>
      </c>
      <c r="D1395" s="249">
        <v>365.62</v>
      </c>
      <c r="E1395" s="249">
        <v>888.8</v>
      </c>
      <c r="F1395" s="249">
        <v>966.50400000000002</v>
      </c>
      <c r="G1395" s="249">
        <v>2165.75</v>
      </c>
      <c r="H1395" s="249">
        <v>3412.63</v>
      </c>
      <c r="I1395" s="249">
        <v>6745</v>
      </c>
      <c r="J1395" s="249"/>
      <c r="K1395" s="249"/>
      <c r="L1395" s="249"/>
    </row>
    <row r="1396" spans="1:12" x14ac:dyDescent="0.2">
      <c r="A1396" s="623" t="s">
        <v>21</v>
      </c>
      <c r="B1396" s="624"/>
      <c r="C1396" s="242">
        <f>C1393-C1395</f>
        <v>3506</v>
      </c>
      <c r="D1396" s="242">
        <f t="shared" ref="D1396:I1396" si="64">D1393-D1395</f>
        <v>4111.38</v>
      </c>
      <c r="E1396" s="242">
        <f t="shared" si="64"/>
        <v>3611.2</v>
      </c>
      <c r="F1396" s="242">
        <f t="shared" si="64"/>
        <v>3533.4960000000001</v>
      </c>
      <c r="G1396" s="242">
        <f t="shared" si="64"/>
        <v>2334.25</v>
      </c>
      <c r="H1396" s="242">
        <f t="shared" si="64"/>
        <v>1087.3699999999999</v>
      </c>
      <c r="I1396" s="242">
        <f t="shared" si="64"/>
        <v>-2245</v>
      </c>
      <c r="J1396" s="242"/>
      <c r="K1396" s="242"/>
      <c r="L1396" s="242"/>
    </row>
    <row r="1397" spans="1:12" x14ac:dyDescent="0.2">
      <c r="A1397" s="623" t="s">
        <v>22</v>
      </c>
      <c r="B1397" s="624"/>
      <c r="C1397" s="628">
        <v>2018</v>
      </c>
      <c r="D1397" s="628">
        <v>2019</v>
      </c>
      <c r="E1397" s="628">
        <v>2020</v>
      </c>
      <c r="F1397" s="628">
        <v>2021</v>
      </c>
      <c r="G1397" s="628">
        <v>2022</v>
      </c>
      <c r="H1397" s="628">
        <v>2023</v>
      </c>
      <c r="I1397" s="628">
        <v>2024</v>
      </c>
      <c r="J1397" s="628">
        <v>2025</v>
      </c>
      <c r="K1397" s="628">
        <v>2026</v>
      </c>
      <c r="L1397" s="628">
        <v>2027</v>
      </c>
    </row>
    <row r="1398" spans="1:12" x14ac:dyDescent="0.2">
      <c r="A1398" s="732" t="s">
        <v>23</v>
      </c>
      <c r="B1398" s="733"/>
      <c r="C1398" s="733"/>
      <c r="D1398" s="733"/>
      <c r="E1398" s="733"/>
      <c r="F1398" s="629"/>
      <c r="G1398" s="630"/>
      <c r="H1398" s="630"/>
      <c r="I1398" s="630"/>
      <c r="J1398" s="630"/>
      <c r="K1398" s="630"/>
      <c r="L1398" s="630"/>
    </row>
    <row r="1399" spans="1:12" x14ac:dyDescent="0.2">
      <c r="A1399" s="631" t="s">
        <v>912</v>
      </c>
      <c r="B1399" s="632"/>
      <c r="C1399" s="632"/>
      <c r="D1399" s="632"/>
      <c r="E1399" s="632"/>
      <c r="F1399" s="633"/>
      <c r="G1399" s="633"/>
      <c r="H1399" s="634"/>
      <c r="I1399" s="634"/>
      <c r="J1399" s="634"/>
      <c r="K1399" s="634"/>
      <c r="L1399" s="634"/>
    </row>
    <row r="1400" spans="1:12" x14ac:dyDescent="0.2">
      <c r="A1400" s="263"/>
      <c r="B1400" s="263"/>
      <c r="C1400" s="263"/>
      <c r="D1400" s="263"/>
      <c r="E1400" s="263"/>
      <c r="F1400" s="263"/>
      <c r="G1400" s="263"/>
      <c r="H1400" s="263"/>
      <c r="I1400" s="263"/>
    </row>
    <row r="1402" spans="1:12" x14ac:dyDescent="0.2">
      <c r="A1402" s="137" t="s">
        <v>12</v>
      </c>
      <c r="B1402" s="681" t="s">
        <v>261</v>
      </c>
      <c r="C1402" s="7"/>
      <c r="D1402" s="7"/>
      <c r="E1402" s="7"/>
      <c r="F1402" s="7"/>
      <c r="G1402" s="7"/>
    </row>
    <row r="1403" spans="1:12" x14ac:dyDescent="0.2">
      <c r="A1403" s="694" t="s">
        <v>14</v>
      </c>
      <c r="B1403" s="699" t="s">
        <v>661</v>
      </c>
      <c r="C1403" s="13" t="s">
        <v>15</v>
      </c>
      <c r="D1403" s="7"/>
      <c r="E1403" s="7"/>
      <c r="F1403" s="7"/>
      <c r="G1403" s="7"/>
    </row>
    <row r="1404" spans="1:12" x14ac:dyDescent="0.2">
      <c r="A1404" s="14" t="s">
        <v>16</v>
      </c>
      <c r="B1404" s="107"/>
      <c r="C1404" s="9"/>
      <c r="D1404" s="80">
        <v>2019</v>
      </c>
      <c r="E1404" s="80">
        <v>2020</v>
      </c>
      <c r="F1404" s="80">
        <v>2021</v>
      </c>
      <c r="G1404" s="80">
        <v>2022</v>
      </c>
      <c r="H1404" s="80">
        <v>2023</v>
      </c>
    </row>
    <row r="1405" spans="1:12" x14ac:dyDescent="0.2">
      <c r="A1405" s="8" t="s">
        <v>17</v>
      </c>
      <c r="B1405" s="9"/>
      <c r="C1405" s="9"/>
      <c r="D1405" s="43">
        <v>239</v>
      </c>
      <c r="E1405" s="43">
        <v>300</v>
      </c>
      <c r="F1405" s="43">
        <v>300</v>
      </c>
      <c r="G1405" s="43">
        <v>300</v>
      </c>
      <c r="H1405" s="43">
        <v>368</v>
      </c>
    </row>
    <row r="1406" spans="1:12" x14ac:dyDescent="0.2">
      <c r="A1406" s="8" t="s">
        <v>18</v>
      </c>
      <c r="B1406" s="9"/>
      <c r="C1406" s="9"/>
      <c r="D1406" s="43">
        <v>239</v>
      </c>
      <c r="E1406" s="43">
        <f>E1405+0.05*D1405</f>
        <v>311.95</v>
      </c>
      <c r="F1406" s="43">
        <f>F1405+0.05*E1405</f>
        <v>315</v>
      </c>
      <c r="G1406" s="43">
        <f>G1405+0.05*F1405</f>
        <v>315</v>
      </c>
      <c r="H1406" s="43">
        <f>H1405+0.05*G1405</f>
        <v>383</v>
      </c>
    </row>
    <row r="1407" spans="1:12" x14ac:dyDescent="0.2">
      <c r="A1407" s="8" t="s">
        <v>19</v>
      </c>
      <c r="B1407" s="11"/>
      <c r="C1407" s="12"/>
      <c r="D1407" s="8" t="s">
        <v>262</v>
      </c>
      <c r="E1407" s="10"/>
      <c r="F1407" s="10"/>
      <c r="G1407" s="10"/>
      <c r="H1407" s="10"/>
    </row>
    <row r="1408" spans="1:12" x14ac:dyDescent="0.2">
      <c r="A1408" s="8" t="s">
        <v>20</v>
      </c>
      <c r="B1408" s="9"/>
      <c r="C1408" s="9"/>
      <c r="D1408" s="10">
        <v>49.3</v>
      </c>
      <c r="E1408" s="10">
        <v>194.39</v>
      </c>
      <c r="F1408" s="10">
        <v>157.68</v>
      </c>
      <c r="G1408" s="10">
        <v>123.17</v>
      </c>
      <c r="H1408" s="10"/>
    </row>
    <row r="1409" spans="1:8" x14ac:dyDescent="0.2">
      <c r="A1409" s="8" t="s">
        <v>21</v>
      </c>
      <c r="B1409" s="9"/>
      <c r="C1409" s="9"/>
      <c r="D1409" s="10">
        <f>D1406-D1408</f>
        <v>189.7</v>
      </c>
      <c r="E1409" s="10">
        <f>E1406-E1408</f>
        <v>117.56</v>
      </c>
      <c r="F1409" s="10">
        <f>F1406-F1408</f>
        <v>157.32</v>
      </c>
      <c r="G1409" s="10">
        <f>G1406-G1408</f>
        <v>191.82999999999998</v>
      </c>
      <c r="H1409" s="10"/>
    </row>
    <row r="1410" spans="1:8" x14ac:dyDescent="0.2">
      <c r="A1410" s="37" t="s">
        <v>22</v>
      </c>
      <c r="B1410" s="38"/>
      <c r="C1410" s="38"/>
      <c r="D1410" s="39">
        <v>2020</v>
      </c>
      <c r="E1410" s="39">
        <v>2021</v>
      </c>
      <c r="F1410" s="39">
        <v>2022</v>
      </c>
      <c r="G1410" s="39">
        <v>2023</v>
      </c>
      <c r="H1410" s="39">
        <v>2024</v>
      </c>
    </row>
    <row r="1411" spans="1:8" x14ac:dyDescent="0.2">
      <c r="A1411" s="122" t="s">
        <v>23</v>
      </c>
      <c r="B1411" s="122"/>
      <c r="C1411" s="123"/>
      <c r="D1411" s="123"/>
      <c r="E1411" s="123"/>
      <c r="F1411" s="123"/>
      <c r="G1411" s="123"/>
      <c r="H1411" s="272"/>
    </row>
    <row r="1412" spans="1:8" ht="39.6" customHeight="1" x14ac:dyDescent="0.2">
      <c r="A1412" s="730" t="s">
        <v>263</v>
      </c>
      <c r="B1412" s="731"/>
      <c r="C1412" s="731"/>
      <c r="D1412" s="731"/>
      <c r="E1412" s="731"/>
      <c r="F1412" s="731"/>
      <c r="G1412" s="731"/>
      <c r="H1412" s="731"/>
    </row>
    <row r="1413" spans="1:8" ht="49.15" customHeight="1" x14ac:dyDescent="0.2">
      <c r="A1413" s="730" t="s">
        <v>794</v>
      </c>
      <c r="B1413" s="730"/>
      <c r="C1413" s="730"/>
      <c r="D1413" s="730"/>
      <c r="E1413" s="730"/>
      <c r="F1413" s="730"/>
      <c r="G1413" s="730"/>
      <c r="H1413" s="730"/>
    </row>
    <row r="1414" spans="1:8" ht="49.15" customHeight="1" x14ac:dyDescent="0.2">
      <c r="A1414" s="730" t="s">
        <v>793</v>
      </c>
      <c r="B1414" s="730"/>
      <c r="C1414" s="730"/>
      <c r="D1414" s="730"/>
      <c r="E1414" s="730"/>
      <c r="F1414" s="730"/>
      <c r="G1414" s="730"/>
      <c r="H1414" s="730"/>
    </row>
    <row r="1415" spans="1:8" x14ac:dyDescent="0.2">
      <c r="A1415" s="263"/>
      <c r="B1415" s="263"/>
      <c r="C1415" s="263"/>
      <c r="D1415" s="263"/>
      <c r="E1415" s="263"/>
    </row>
    <row r="1416" spans="1:8" x14ac:dyDescent="0.2">
      <c r="A1416" s="690" t="s">
        <v>24</v>
      </c>
      <c r="B1416" s="682" t="s">
        <v>603</v>
      </c>
      <c r="C1416" s="263"/>
      <c r="D1416" s="263"/>
      <c r="E1416" s="263"/>
    </row>
    <row r="1417" spans="1:8" x14ac:dyDescent="0.2">
      <c r="A1417" s="419" t="s">
        <v>14</v>
      </c>
      <c r="B1417" s="420" t="s">
        <v>657</v>
      </c>
      <c r="C1417" s="493" t="s">
        <v>26</v>
      </c>
      <c r="D1417" s="263"/>
      <c r="E1417" s="263"/>
    </row>
    <row r="1418" spans="1:8" x14ac:dyDescent="0.2">
      <c r="A1418" s="494" t="s">
        <v>27</v>
      </c>
      <c r="B1418" s="254">
        <v>2020</v>
      </c>
      <c r="C1418" s="254">
        <v>2021</v>
      </c>
      <c r="D1418" s="254">
        <v>2022</v>
      </c>
      <c r="E1418" s="263"/>
    </row>
    <row r="1419" spans="1:8" x14ac:dyDescent="0.2">
      <c r="A1419" s="268" t="s">
        <v>28</v>
      </c>
      <c r="B1419" s="382">
        <v>25</v>
      </c>
      <c r="C1419" s="257">
        <v>25</v>
      </c>
      <c r="D1419" s="257">
        <v>25</v>
      </c>
      <c r="E1419" s="263"/>
    </row>
    <row r="1420" spans="1:8" x14ac:dyDescent="0.2">
      <c r="A1420" s="268" t="s">
        <v>29</v>
      </c>
      <c r="B1420" s="382"/>
      <c r="C1420" s="382">
        <v>18.66</v>
      </c>
      <c r="D1420" s="382"/>
      <c r="E1420" s="263"/>
    </row>
    <row r="1421" spans="1:8" x14ac:dyDescent="0.2">
      <c r="A1421" s="268" t="s">
        <v>30</v>
      </c>
      <c r="B1421" s="495"/>
      <c r="C1421" s="495" t="s">
        <v>552</v>
      </c>
      <c r="D1421" s="495"/>
      <c r="E1421" s="263"/>
    </row>
    <row r="1422" spans="1:8" x14ac:dyDescent="0.2">
      <c r="A1422" s="268" t="s">
        <v>31</v>
      </c>
      <c r="B1422" s="382">
        <v>31.341000000000001</v>
      </c>
      <c r="C1422" s="257">
        <v>17.22</v>
      </c>
      <c r="D1422" s="257">
        <v>12.476000000000001</v>
      </c>
      <c r="E1422" s="263"/>
    </row>
    <row r="1423" spans="1:8" x14ac:dyDescent="0.2">
      <c r="A1423" s="268" t="s">
        <v>32</v>
      </c>
      <c r="B1423" s="382">
        <v>-6.3410000000000011</v>
      </c>
      <c r="C1423" s="382">
        <f>C1420-C1422</f>
        <v>1.4400000000000013</v>
      </c>
      <c r="D1423" s="382">
        <f>D1419-D1422</f>
        <v>12.523999999999999</v>
      </c>
      <c r="E1423" s="263"/>
    </row>
    <row r="1424" spans="1:8" x14ac:dyDescent="0.2">
      <c r="A1424" s="260" t="s">
        <v>33</v>
      </c>
      <c r="B1424" s="292">
        <v>2021</v>
      </c>
      <c r="C1424" s="292"/>
      <c r="D1424" s="292"/>
      <c r="E1424" s="263"/>
    </row>
    <row r="1425" spans="1:8" x14ac:dyDescent="0.2">
      <c r="A1425" s="260" t="s">
        <v>604</v>
      </c>
      <c r="B1425" s="337"/>
      <c r="C1425" s="337"/>
      <c r="D1425" s="293"/>
      <c r="E1425" s="496"/>
      <c r="F1425" s="113"/>
    </row>
    <row r="1426" spans="1:8" x14ac:dyDescent="0.2">
      <c r="A1426" s="262"/>
      <c r="B1426" s="496"/>
      <c r="C1426" s="496"/>
      <c r="D1426" s="497"/>
      <c r="E1426" s="496"/>
      <c r="F1426" s="113"/>
    </row>
    <row r="1427" spans="1:8" ht="63" customHeight="1" x14ac:dyDescent="0.2">
      <c r="A1427" s="707" t="s">
        <v>743</v>
      </c>
      <c r="B1427" s="708"/>
      <c r="C1427" s="708"/>
      <c r="D1427" s="740"/>
      <c r="E1427" s="496"/>
      <c r="F1427" s="113"/>
    </row>
    <row r="1428" spans="1:8" x14ac:dyDescent="0.2">
      <c r="A1428" s="262"/>
      <c r="B1428" s="496"/>
      <c r="C1428" s="496"/>
      <c r="D1428" s="497"/>
      <c r="E1428" s="496"/>
      <c r="F1428" s="113"/>
    </row>
    <row r="1429" spans="1:8" x14ac:dyDescent="0.2">
      <c r="A1429" s="244"/>
      <c r="B1429" s="245"/>
      <c r="C1429" s="245"/>
      <c r="D1429" s="246"/>
      <c r="E1429" s="113"/>
      <c r="F1429" s="113"/>
    </row>
    <row r="1430" spans="1:8" x14ac:dyDescent="0.2">
      <c r="A1430" s="236"/>
      <c r="B1430" s="247"/>
      <c r="C1430" s="247"/>
      <c r="D1430" s="248"/>
      <c r="E1430" s="113"/>
      <c r="F1430" s="113"/>
    </row>
    <row r="1433" spans="1:8" x14ac:dyDescent="0.2">
      <c r="A1433" s="125" t="s">
        <v>12</v>
      </c>
      <c r="B1433" s="680" t="s">
        <v>378</v>
      </c>
    </row>
    <row r="1434" spans="1:8" x14ac:dyDescent="0.2">
      <c r="A1434" s="96" t="s">
        <v>14</v>
      </c>
      <c r="B1434" s="56" t="s">
        <v>66</v>
      </c>
      <c r="C1434" s="225" t="s">
        <v>15</v>
      </c>
    </row>
    <row r="1435" spans="1:8" x14ac:dyDescent="0.2">
      <c r="A1435" s="47" t="s">
        <v>16</v>
      </c>
      <c r="B1435" s="22"/>
      <c r="C1435" s="88">
        <v>2015</v>
      </c>
      <c r="D1435" s="52">
        <v>2016</v>
      </c>
      <c r="E1435" s="109">
        <v>2017</v>
      </c>
      <c r="F1435" s="109">
        <v>2018</v>
      </c>
      <c r="G1435" s="109">
        <v>2019</v>
      </c>
      <c r="H1435" s="109">
        <v>2020</v>
      </c>
    </row>
    <row r="1436" spans="1:8" x14ac:dyDescent="0.2">
      <c r="A1436" s="47" t="s">
        <v>17</v>
      </c>
      <c r="B1436" s="22"/>
      <c r="C1436" s="23">
        <v>2100</v>
      </c>
      <c r="D1436" s="226">
        <v>1575</v>
      </c>
      <c r="E1436" s="226">
        <v>1575</v>
      </c>
      <c r="F1436" s="226">
        <v>1575</v>
      </c>
      <c r="G1436" s="226">
        <v>1575</v>
      </c>
      <c r="H1436" s="226">
        <v>0</v>
      </c>
    </row>
    <row r="1437" spans="1:8" x14ac:dyDescent="0.2">
      <c r="A1437" s="47" t="s">
        <v>18</v>
      </c>
      <c r="B1437" s="22"/>
      <c r="C1437" s="94">
        <v>2100</v>
      </c>
      <c r="D1437" s="226">
        <v>1575</v>
      </c>
      <c r="E1437" s="226">
        <v>1575</v>
      </c>
      <c r="F1437" s="226">
        <v>1575</v>
      </c>
      <c r="G1437" s="226">
        <v>1575</v>
      </c>
      <c r="H1437" s="226"/>
    </row>
    <row r="1438" spans="1:8" x14ac:dyDescent="0.2">
      <c r="A1438" s="47" t="s">
        <v>19</v>
      </c>
      <c r="B1438" s="22"/>
      <c r="C1438" s="97"/>
      <c r="D1438" s="23"/>
      <c r="E1438" s="98"/>
      <c r="F1438" s="98"/>
      <c r="G1438" s="98"/>
      <c r="H1438" s="98"/>
    </row>
    <row r="1439" spans="1:8" x14ac:dyDescent="0.2">
      <c r="A1439" s="47" t="s">
        <v>20</v>
      </c>
      <c r="B1439" s="22"/>
      <c r="C1439" s="226">
        <v>0</v>
      </c>
      <c r="D1439" s="226">
        <v>0</v>
      </c>
      <c r="E1439" s="226">
        <v>0</v>
      </c>
      <c r="F1439" s="226">
        <v>0</v>
      </c>
      <c r="G1439" s="226">
        <v>0</v>
      </c>
      <c r="H1439" s="226">
        <v>0</v>
      </c>
    </row>
    <row r="1440" spans="1:8" ht="27.75" customHeight="1" x14ac:dyDescent="0.2">
      <c r="A1440" s="47" t="s">
        <v>21</v>
      </c>
      <c r="B1440" s="22"/>
      <c r="C1440" s="94">
        <v>2100</v>
      </c>
      <c r="D1440" s="226">
        <v>1575</v>
      </c>
      <c r="E1440" s="226">
        <v>1575</v>
      </c>
      <c r="F1440" s="226">
        <v>1575</v>
      </c>
      <c r="G1440" s="226">
        <v>1575</v>
      </c>
      <c r="H1440" s="226">
        <v>1575</v>
      </c>
    </row>
    <row r="1441" spans="1:10" x14ac:dyDescent="0.2">
      <c r="A1441" s="50" t="s">
        <v>22</v>
      </c>
      <c r="B1441" s="36"/>
      <c r="C1441" s="58">
        <v>2016</v>
      </c>
      <c r="D1441" s="58">
        <v>2017</v>
      </c>
      <c r="E1441" s="83">
        <v>2018</v>
      </c>
      <c r="F1441" s="83">
        <v>2019</v>
      </c>
      <c r="G1441" s="83">
        <v>2020</v>
      </c>
      <c r="H1441" s="83">
        <v>2021</v>
      </c>
    </row>
    <row r="1442" spans="1:10" x14ac:dyDescent="0.2">
      <c r="A1442" s="47" t="s">
        <v>23</v>
      </c>
      <c r="B1442" s="59"/>
      <c r="C1442" s="59"/>
      <c r="D1442" s="59"/>
      <c r="E1442" s="59"/>
      <c r="F1442" s="59"/>
      <c r="G1442" s="59"/>
      <c r="H1442" s="57"/>
    </row>
    <row r="1445" spans="1:10" ht="25.5" x14ac:dyDescent="0.2">
      <c r="A1445" s="125" t="s">
        <v>12</v>
      </c>
      <c r="B1445" s="684" t="s">
        <v>383</v>
      </c>
    </row>
    <row r="1446" spans="1:10" x14ac:dyDescent="0.2">
      <c r="A1446" s="96" t="s">
        <v>14</v>
      </c>
      <c r="B1446" s="56" t="s">
        <v>638</v>
      </c>
      <c r="C1446" s="41" t="s">
        <v>15</v>
      </c>
    </row>
    <row r="1447" spans="1:10" x14ac:dyDescent="0.2">
      <c r="A1447" s="47" t="s">
        <v>16</v>
      </c>
      <c r="B1447" s="52">
        <v>2015</v>
      </c>
      <c r="C1447" s="93">
        <v>2016</v>
      </c>
      <c r="D1447" s="52">
        <v>2017</v>
      </c>
      <c r="E1447" s="109">
        <v>2018</v>
      </c>
      <c r="F1447" s="109">
        <v>2019</v>
      </c>
      <c r="G1447" s="52">
        <v>2020</v>
      </c>
      <c r="H1447" s="52">
        <v>2021</v>
      </c>
      <c r="I1447" s="52">
        <v>2022</v>
      </c>
      <c r="J1447" s="52">
        <v>2023</v>
      </c>
    </row>
    <row r="1448" spans="1:10" x14ac:dyDescent="0.2">
      <c r="A1448" s="47" t="s">
        <v>17</v>
      </c>
      <c r="B1448" s="48">
        <v>200</v>
      </c>
      <c r="C1448" s="94">
        <v>200</v>
      </c>
      <c r="D1448" s="48">
        <v>200</v>
      </c>
      <c r="E1448" s="95">
        <v>200</v>
      </c>
      <c r="F1448" s="95">
        <v>215</v>
      </c>
      <c r="G1448" s="48">
        <v>215</v>
      </c>
      <c r="H1448" s="23">
        <v>242</v>
      </c>
      <c r="I1448" s="23">
        <v>242</v>
      </c>
      <c r="J1448" s="23">
        <v>242</v>
      </c>
    </row>
    <row r="1449" spans="1:10" x14ac:dyDescent="0.2">
      <c r="A1449" s="47" t="s">
        <v>18</v>
      </c>
      <c r="B1449" s="48">
        <v>303.49</v>
      </c>
      <c r="C1449" s="94">
        <f>C1448+B1452+100</f>
        <v>298.49</v>
      </c>
      <c r="D1449" s="48">
        <f>D1448+100</f>
        <v>300</v>
      </c>
      <c r="E1449" s="95">
        <f>E1448+C1452+100</f>
        <v>306.89</v>
      </c>
      <c r="F1449" s="95">
        <v>218.8</v>
      </c>
      <c r="G1449" s="95">
        <v>265</v>
      </c>
      <c r="H1449" s="23">
        <f>H1448+F1452</f>
        <v>280.35000000000002</v>
      </c>
      <c r="I1449" s="23">
        <f>I1448+G1452</f>
        <v>255.27</v>
      </c>
      <c r="J1449" s="23">
        <f>J1448+0.25*H1448</f>
        <v>302.5</v>
      </c>
    </row>
    <row r="1450" spans="1:10" ht="25.5" x14ac:dyDescent="0.2">
      <c r="A1450" s="47" t="s">
        <v>19</v>
      </c>
      <c r="B1450" s="155"/>
      <c r="C1450" s="155" t="s">
        <v>384</v>
      </c>
      <c r="D1450" s="155" t="s">
        <v>385</v>
      </c>
      <c r="E1450" s="155" t="s">
        <v>386</v>
      </c>
      <c r="F1450" s="155" t="s">
        <v>399</v>
      </c>
      <c r="G1450" s="155" t="s">
        <v>400</v>
      </c>
      <c r="H1450" s="69" t="s">
        <v>723</v>
      </c>
      <c r="I1450" s="69" t="s">
        <v>722</v>
      </c>
      <c r="J1450" s="69" t="s">
        <v>850</v>
      </c>
    </row>
    <row r="1451" spans="1:10" x14ac:dyDescent="0.2">
      <c r="A1451" s="47" t="s">
        <v>20</v>
      </c>
      <c r="B1451" s="48">
        <v>305</v>
      </c>
      <c r="C1451" s="94">
        <v>291.60000000000002</v>
      </c>
      <c r="D1451" s="48">
        <v>296.2</v>
      </c>
      <c r="E1451" s="48">
        <v>173.26</v>
      </c>
      <c r="F1451" s="95">
        <v>180.45</v>
      </c>
      <c r="G1451" s="48">
        <v>251.73</v>
      </c>
      <c r="H1451" s="23">
        <v>0</v>
      </c>
      <c r="I1451" s="23">
        <v>0.97</v>
      </c>
      <c r="J1451" s="23"/>
    </row>
    <row r="1452" spans="1:10" x14ac:dyDescent="0.2">
      <c r="A1452" s="47" t="s">
        <v>21</v>
      </c>
      <c r="B1452" s="48">
        <v>-1.5099999999999909</v>
      </c>
      <c r="C1452" s="48">
        <f>C1449-C1451</f>
        <v>6.8899999999999864</v>
      </c>
      <c r="D1452" s="48">
        <f t="shared" ref="D1452:E1452" si="65">D1449-D1451</f>
        <v>3.8000000000000114</v>
      </c>
      <c r="E1452" s="48">
        <f t="shared" si="65"/>
        <v>133.63</v>
      </c>
      <c r="F1452" s="48">
        <v>38.350000000000023</v>
      </c>
      <c r="G1452" s="48">
        <f>G1449-G1451</f>
        <v>13.27000000000001</v>
      </c>
      <c r="H1452" s="23">
        <f>H1449-H1451</f>
        <v>280.35000000000002</v>
      </c>
      <c r="I1452" s="23">
        <f>I1449-I1451</f>
        <v>254.3</v>
      </c>
      <c r="J1452" s="23"/>
    </row>
    <row r="1453" spans="1:10" x14ac:dyDescent="0.2">
      <c r="A1453" s="50" t="s">
        <v>22</v>
      </c>
      <c r="B1453" s="58">
        <v>2016</v>
      </c>
      <c r="C1453" s="82">
        <v>2018</v>
      </c>
      <c r="D1453" s="58">
        <v>2019</v>
      </c>
      <c r="E1453" s="83">
        <v>2020</v>
      </c>
      <c r="F1453" s="83">
        <v>2021</v>
      </c>
      <c r="G1453" s="58">
        <v>2022</v>
      </c>
      <c r="H1453" s="58">
        <v>2023</v>
      </c>
      <c r="I1453" s="58">
        <v>2024</v>
      </c>
      <c r="J1453" s="58">
        <v>2024</v>
      </c>
    </row>
    <row r="1454" spans="1:10" x14ac:dyDescent="0.2">
      <c r="A1454" s="50" t="s">
        <v>23</v>
      </c>
      <c r="B1454" s="30"/>
      <c r="C1454" s="30"/>
      <c r="D1454" s="30"/>
      <c r="E1454" s="30"/>
      <c r="F1454" s="30"/>
      <c r="G1454" s="30"/>
      <c r="H1454" s="31"/>
      <c r="I1454" s="31"/>
      <c r="J1454" s="31"/>
    </row>
    <row r="1455" spans="1:10" x14ac:dyDescent="0.2">
      <c r="A1455" s="20" t="s">
        <v>387</v>
      </c>
      <c r="H1455" s="21"/>
      <c r="I1455" s="21"/>
      <c r="J1455" s="21"/>
    </row>
    <row r="1456" spans="1:10" ht="13.15" customHeight="1" x14ac:dyDescent="0.2">
      <c r="A1456" s="715" t="s">
        <v>401</v>
      </c>
      <c r="B1456" s="716"/>
      <c r="C1456" s="716"/>
      <c r="D1456" s="716"/>
      <c r="E1456" s="716"/>
      <c r="F1456" s="716"/>
      <c r="G1456" s="716"/>
      <c r="H1456" s="34"/>
      <c r="I1456" s="34"/>
      <c r="J1456" s="34"/>
    </row>
    <row r="1457" spans="1:8" x14ac:dyDescent="0.2">
      <c r="A1457" s="115"/>
      <c r="B1457" s="115"/>
      <c r="C1457" s="115"/>
      <c r="D1457" s="115"/>
      <c r="E1457" s="115"/>
      <c r="F1457" s="115"/>
      <c r="G1457" s="115"/>
    </row>
    <row r="1459" spans="1:8" x14ac:dyDescent="0.2">
      <c r="A1459" s="125" t="s">
        <v>11</v>
      </c>
      <c r="B1459" s="680" t="s">
        <v>217</v>
      </c>
      <c r="C1459" s="7"/>
    </row>
    <row r="1460" spans="1:8" x14ac:dyDescent="0.2">
      <c r="A1460" s="96" t="s">
        <v>1</v>
      </c>
      <c r="B1460" s="56" t="s">
        <v>637</v>
      </c>
      <c r="C1460" s="225" t="s">
        <v>2</v>
      </c>
    </row>
    <row r="1461" spans="1:8" x14ac:dyDescent="0.2">
      <c r="A1461" s="47" t="s">
        <v>3</v>
      </c>
      <c r="B1461" s="22"/>
      <c r="C1461" s="52">
        <v>2018</v>
      </c>
      <c r="D1461" s="93">
        <v>2019</v>
      </c>
      <c r="E1461" s="52">
        <v>2020</v>
      </c>
      <c r="F1461" s="52">
        <v>2021</v>
      </c>
      <c r="G1461" s="52">
        <v>2022</v>
      </c>
      <c r="H1461" s="52">
        <v>2023</v>
      </c>
    </row>
    <row r="1462" spans="1:8" x14ac:dyDescent="0.2">
      <c r="A1462" s="47" t="s">
        <v>4</v>
      </c>
      <c r="B1462" s="22"/>
      <c r="C1462" s="23">
        <v>250</v>
      </c>
      <c r="D1462" s="97">
        <v>250</v>
      </c>
      <c r="E1462" s="23">
        <v>250</v>
      </c>
      <c r="F1462" s="98">
        <v>250</v>
      </c>
      <c r="G1462" s="98">
        <v>250</v>
      </c>
      <c r="H1462" s="98">
        <v>250</v>
      </c>
    </row>
    <row r="1463" spans="1:8" x14ac:dyDescent="0.2">
      <c r="A1463" s="47" t="s">
        <v>5</v>
      </c>
      <c r="B1463" s="22"/>
      <c r="C1463" s="23">
        <v>200</v>
      </c>
      <c r="D1463" s="23">
        <v>225</v>
      </c>
      <c r="E1463" s="23">
        <f>E1464</f>
        <v>225</v>
      </c>
      <c r="F1463" s="98">
        <f>F1464</f>
        <v>200</v>
      </c>
      <c r="G1463" s="98">
        <f>G1464</f>
        <v>200</v>
      </c>
      <c r="H1463" s="98">
        <f>H1464</f>
        <v>225</v>
      </c>
    </row>
    <row r="1464" spans="1:8" x14ac:dyDescent="0.2">
      <c r="A1464" s="47" t="s">
        <v>6</v>
      </c>
      <c r="B1464" s="22"/>
      <c r="C1464" s="23">
        <v>200</v>
      </c>
      <c r="D1464" s="23">
        <v>225</v>
      </c>
      <c r="E1464" s="23">
        <f>1.4*E1462-125</f>
        <v>225</v>
      </c>
      <c r="F1464" s="98">
        <f>F1462+0.4*E1462-150</f>
        <v>200</v>
      </c>
      <c r="G1464" s="98">
        <f>G1462+0.4*F1462-150</f>
        <v>200</v>
      </c>
      <c r="H1464" s="98">
        <f>H1462+0.4*G1462-125</f>
        <v>225</v>
      </c>
    </row>
    <row r="1465" spans="1:8" x14ac:dyDescent="0.2">
      <c r="A1465" s="47" t="s">
        <v>7</v>
      </c>
      <c r="B1465" s="22"/>
      <c r="C1465" s="23">
        <v>43.54</v>
      </c>
      <c r="D1465" s="23">
        <v>13.63</v>
      </c>
      <c r="E1465" s="23">
        <v>10</v>
      </c>
      <c r="F1465" s="98">
        <v>20</v>
      </c>
      <c r="G1465" s="98">
        <v>0</v>
      </c>
      <c r="H1465" s="98"/>
    </row>
    <row r="1466" spans="1:8" x14ac:dyDescent="0.2">
      <c r="A1466" s="47" t="s">
        <v>8</v>
      </c>
      <c r="B1466" s="22"/>
      <c r="C1466" s="23">
        <v>156.46</v>
      </c>
      <c r="D1466" s="97">
        <v>211.37</v>
      </c>
      <c r="E1466" s="23">
        <f>E1463-E1465</f>
        <v>215</v>
      </c>
      <c r="F1466" s="98">
        <f>F1463-F1465</f>
        <v>180</v>
      </c>
      <c r="G1466" s="98">
        <f>G1463-G1465</f>
        <v>200</v>
      </c>
      <c r="H1466" s="98"/>
    </row>
    <row r="1467" spans="1:8" x14ac:dyDescent="0.2">
      <c r="A1467" s="50" t="s">
        <v>9</v>
      </c>
      <c r="B1467" s="36"/>
      <c r="C1467" s="58">
        <v>2019</v>
      </c>
      <c r="D1467" s="82">
        <v>2020</v>
      </c>
      <c r="E1467" s="58">
        <v>2021</v>
      </c>
      <c r="F1467" s="31">
        <v>2022</v>
      </c>
      <c r="G1467" s="31">
        <v>2023</v>
      </c>
      <c r="H1467" s="31">
        <v>2024</v>
      </c>
    </row>
    <row r="1468" spans="1:8" x14ac:dyDescent="0.2">
      <c r="A1468" s="50" t="s">
        <v>164</v>
      </c>
      <c r="B1468" s="30"/>
      <c r="C1468" s="30"/>
      <c r="D1468" s="30"/>
      <c r="E1468" s="30"/>
      <c r="F1468" s="30"/>
      <c r="G1468" s="30"/>
      <c r="H1468" s="31"/>
    </row>
    <row r="1469" spans="1:8" x14ac:dyDescent="0.2">
      <c r="A1469" s="20" t="s">
        <v>218</v>
      </c>
      <c r="H1469" s="21"/>
    </row>
    <row r="1470" spans="1:8" x14ac:dyDescent="0.2">
      <c r="A1470" s="20" t="s">
        <v>521</v>
      </c>
      <c r="H1470" s="21"/>
    </row>
    <row r="1471" spans="1:8" ht="13.15" customHeight="1" x14ac:dyDescent="0.2">
      <c r="A1471" s="78" t="s">
        <v>522</v>
      </c>
      <c r="B1471" s="51"/>
      <c r="C1471" s="51"/>
      <c r="D1471" s="51"/>
      <c r="E1471" s="51"/>
      <c r="F1471" s="51"/>
      <c r="G1471" s="51"/>
      <c r="H1471" s="295"/>
    </row>
    <row r="1472" spans="1:8" x14ac:dyDescent="0.2">
      <c r="A1472" s="78" t="s">
        <v>523</v>
      </c>
      <c r="B1472" s="115"/>
      <c r="C1472" s="115"/>
      <c r="D1472" s="115"/>
      <c r="E1472" s="115"/>
      <c r="F1472" s="115"/>
      <c r="G1472" s="115"/>
      <c r="H1472" s="119"/>
    </row>
    <row r="1473" spans="1:8" x14ac:dyDescent="0.2">
      <c r="A1473" s="20" t="s">
        <v>524</v>
      </c>
      <c r="B1473" s="115"/>
      <c r="C1473" s="115"/>
      <c r="D1473" s="115"/>
      <c r="E1473" s="115"/>
      <c r="F1473" s="115"/>
      <c r="G1473" s="115"/>
      <c r="H1473" s="119"/>
    </row>
    <row r="1474" spans="1:8" x14ac:dyDescent="0.2">
      <c r="A1474" s="20" t="s">
        <v>916</v>
      </c>
      <c r="B1474" s="115"/>
      <c r="C1474" s="115"/>
      <c r="D1474" s="115"/>
      <c r="E1474" s="115"/>
      <c r="F1474" s="115"/>
      <c r="G1474" s="115"/>
      <c r="H1474" s="119"/>
    </row>
    <row r="1475" spans="1:8" ht="13.15" customHeight="1" x14ac:dyDescent="0.2">
      <c r="A1475" s="32" t="s">
        <v>917</v>
      </c>
      <c r="B1475" s="33"/>
      <c r="C1475" s="33"/>
      <c r="D1475" s="33"/>
      <c r="E1475" s="33"/>
      <c r="F1475" s="33"/>
      <c r="G1475" s="33"/>
      <c r="H1475" s="34"/>
    </row>
    <row r="1477" spans="1:8" x14ac:dyDescent="0.2">
      <c r="A1477" s="96" t="s">
        <v>1</v>
      </c>
      <c r="B1477" s="56" t="s">
        <v>660</v>
      </c>
      <c r="C1477" s="225" t="s">
        <v>2</v>
      </c>
    </row>
    <row r="1478" spans="1:8" x14ac:dyDescent="0.2">
      <c r="A1478" s="47" t="s">
        <v>3</v>
      </c>
      <c r="B1478" s="22"/>
      <c r="C1478" s="52">
        <v>2018</v>
      </c>
      <c r="D1478" s="93">
        <v>2019</v>
      </c>
      <c r="E1478" s="52">
        <v>2020</v>
      </c>
      <c r="F1478" s="52">
        <v>2021</v>
      </c>
      <c r="G1478" s="52">
        <v>2022</v>
      </c>
      <c r="H1478" s="52">
        <v>2023</v>
      </c>
    </row>
    <row r="1479" spans="1:8" x14ac:dyDescent="0.2">
      <c r="A1479" s="47" t="s">
        <v>4</v>
      </c>
      <c r="B1479" s="22"/>
      <c r="C1479" s="23">
        <v>417</v>
      </c>
      <c r="D1479" s="23">
        <v>417</v>
      </c>
      <c r="E1479" s="23">
        <v>417</v>
      </c>
      <c r="F1479" s="23">
        <v>417</v>
      </c>
      <c r="G1479" s="23">
        <v>417</v>
      </c>
      <c r="H1479" s="23">
        <v>417</v>
      </c>
    </row>
    <row r="1480" spans="1:8" x14ac:dyDescent="0.2">
      <c r="A1480" s="47" t="s">
        <v>5</v>
      </c>
      <c r="B1480" s="22"/>
      <c r="C1480" s="23">
        <v>500.4</v>
      </c>
      <c r="D1480" s="23">
        <v>500.4</v>
      </c>
      <c r="E1480" s="23">
        <f>E1481</f>
        <v>500.4</v>
      </c>
      <c r="F1480" s="23">
        <v>500.4</v>
      </c>
      <c r="G1480" s="23">
        <v>500.4</v>
      </c>
      <c r="H1480" s="23">
        <v>500.4</v>
      </c>
    </row>
    <row r="1481" spans="1:8" x14ac:dyDescent="0.2">
      <c r="A1481" s="47" t="s">
        <v>6</v>
      </c>
      <c r="B1481" s="22"/>
      <c r="C1481" s="23">
        <v>500.4</v>
      </c>
      <c r="D1481" s="23">
        <v>500.4</v>
      </c>
      <c r="E1481" s="23">
        <f>1.2*E1479</f>
        <v>500.4</v>
      </c>
      <c r="F1481" s="23">
        <v>500.4</v>
      </c>
      <c r="G1481" s="23">
        <v>500.4</v>
      </c>
      <c r="H1481" s="23">
        <f>H1479+0.1*G1479</f>
        <v>458.7</v>
      </c>
    </row>
    <row r="1482" spans="1:8" x14ac:dyDescent="0.2">
      <c r="A1482" s="47" t="s">
        <v>7</v>
      </c>
      <c r="B1482" s="22"/>
      <c r="C1482" s="23">
        <v>92.8</v>
      </c>
      <c r="D1482" s="23">
        <v>166.9</v>
      </c>
      <c r="E1482" s="23">
        <v>0</v>
      </c>
      <c r="F1482" s="23">
        <v>0</v>
      </c>
      <c r="G1482" s="23">
        <v>0</v>
      </c>
      <c r="H1482" s="23"/>
    </row>
    <row r="1483" spans="1:8" x14ac:dyDescent="0.2">
      <c r="A1483" s="47" t="s">
        <v>8</v>
      </c>
      <c r="B1483" s="22"/>
      <c r="C1483" s="23">
        <v>407.59999999999997</v>
      </c>
      <c r="D1483" s="23">
        <f>D1480-D1482</f>
        <v>333.5</v>
      </c>
      <c r="E1483" s="23">
        <f t="shared" ref="E1483:G1483" si="66">E1480-E1482</f>
        <v>500.4</v>
      </c>
      <c r="F1483" s="23">
        <f t="shared" si="66"/>
        <v>500.4</v>
      </c>
      <c r="G1483" s="23">
        <f t="shared" si="66"/>
        <v>500.4</v>
      </c>
      <c r="H1483" s="23"/>
    </row>
    <row r="1484" spans="1:8" x14ac:dyDescent="0.2">
      <c r="A1484" s="50" t="s">
        <v>9</v>
      </c>
      <c r="B1484" s="36"/>
      <c r="C1484" s="58">
        <v>2019</v>
      </c>
      <c r="D1484" s="82">
        <v>2020</v>
      </c>
      <c r="E1484" s="58">
        <v>2021</v>
      </c>
      <c r="F1484" s="83">
        <v>2022</v>
      </c>
      <c r="G1484" s="83">
        <v>2023</v>
      </c>
      <c r="H1484" s="83">
        <v>2024</v>
      </c>
    </row>
    <row r="1485" spans="1:8" x14ac:dyDescent="0.2">
      <c r="A1485" s="50" t="s">
        <v>164</v>
      </c>
      <c r="B1485" s="30"/>
      <c r="C1485" s="30"/>
      <c r="D1485" s="30"/>
      <c r="E1485" s="30"/>
      <c r="F1485" s="30"/>
      <c r="G1485" s="30"/>
      <c r="H1485" s="31"/>
    </row>
    <row r="1486" spans="1:8" x14ac:dyDescent="0.2">
      <c r="A1486" s="20" t="s">
        <v>218</v>
      </c>
      <c r="H1486" s="21"/>
    </row>
    <row r="1487" spans="1:8" s="51" customFormat="1" x14ac:dyDescent="0.2">
      <c r="A1487" s="724" t="s">
        <v>219</v>
      </c>
      <c r="B1487" s="706"/>
      <c r="C1487" s="706"/>
      <c r="D1487" s="706"/>
      <c r="E1487" s="706"/>
      <c r="F1487" s="706"/>
      <c r="H1487" s="295"/>
    </row>
    <row r="1488" spans="1:8" s="51" customFormat="1" x14ac:dyDescent="0.2">
      <c r="A1488" s="724" t="s">
        <v>316</v>
      </c>
      <c r="B1488" s="706"/>
      <c r="C1488" s="706"/>
      <c r="D1488" s="706"/>
      <c r="E1488" s="706"/>
      <c r="F1488" s="706"/>
      <c r="H1488" s="295"/>
    </row>
    <row r="1489" spans="1:15" s="51" customFormat="1" x14ac:dyDescent="0.2">
      <c r="A1489" s="724" t="s">
        <v>725</v>
      </c>
      <c r="B1489" s="706"/>
      <c r="C1489" s="706"/>
      <c r="D1489" s="706"/>
      <c r="E1489" s="706"/>
      <c r="F1489" s="706"/>
      <c r="H1489" s="295"/>
    </row>
    <row r="1490" spans="1:15" s="51" customFormat="1" x14ac:dyDescent="0.2">
      <c r="A1490" s="724" t="s">
        <v>724</v>
      </c>
      <c r="B1490" s="706"/>
      <c r="C1490" s="706"/>
      <c r="D1490" s="706"/>
      <c r="E1490" s="706"/>
      <c r="F1490" s="706"/>
      <c r="H1490" s="295"/>
    </row>
    <row r="1491" spans="1:15" s="51" customFormat="1" x14ac:dyDescent="0.2">
      <c r="A1491" s="715" t="s">
        <v>918</v>
      </c>
      <c r="B1491" s="716"/>
      <c r="C1491" s="716"/>
      <c r="D1491" s="716"/>
      <c r="E1491" s="716"/>
      <c r="F1491" s="716"/>
      <c r="G1491" s="635"/>
      <c r="H1491" s="296"/>
    </row>
    <row r="1493" spans="1:15" x14ac:dyDescent="0.2">
      <c r="A1493" s="306" t="s">
        <v>14</v>
      </c>
      <c r="B1493" s="307" t="s">
        <v>66</v>
      </c>
      <c r="C1493" s="308" t="s">
        <v>15</v>
      </c>
      <c r="D1493" s="309"/>
      <c r="E1493" s="309"/>
      <c r="F1493" s="309"/>
    </row>
    <row r="1494" spans="1:15" x14ac:dyDescent="0.2">
      <c r="A1494" s="310" t="s">
        <v>16</v>
      </c>
      <c r="B1494" s="381"/>
      <c r="C1494" s="254">
        <v>2020</v>
      </c>
      <c r="D1494" s="254">
        <v>2021</v>
      </c>
      <c r="E1494" s="239">
        <v>2022</v>
      </c>
      <c r="F1494" s="239">
        <v>2023</v>
      </c>
      <c r="G1494" s="239">
        <v>2024</v>
      </c>
      <c r="H1494" s="239">
        <v>2025</v>
      </c>
      <c r="I1494" s="239">
        <v>2026</v>
      </c>
      <c r="J1494" s="239">
        <v>2027</v>
      </c>
      <c r="K1494" s="239">
        <v>2028</v>
      </c>
      <c r="L1494" s="239">
        <v>2029</v>
      </c>
      <c r="M1494" s="239">
        <v>2030</v>
      </c>
      <c r="N1494" s="239">
        <v>2031</v>
      </c>
      <c r="O1494" s="239">
        <v>2032</v>
      </c>
    </row>
    <row r="1495" spans="1:15" x14ac:dyDescent="0.2">
      <c r="A1495" s="310" t="s">
        <v>17</v>
      </c>
      <c r="B1495" s="382"/>
      <c r="C1495" s="257">
        <v>1322.73</v>
      </c>
      <c r="D1495" s="257">
        <v>1301.5663200000001</v>
      </c>
      <c r="E1495" s="46">
        <v>1312.14816</v>
      </c>
      <c r="F1495" s="46">
        <v>1312.14816</v>
      </c>
      <c r="G1495" s="46">
        <v>1312.14816</v>
      </c>
      <c r="H1495" s="46">
        <v>1312.14816</v>
      </c>
      <c r="I1495" s="46">
        <v>1312.14816</v>
      </c>
      <c r="J1495" s="46">
        <v>1312.14816</v>
      </c>
      <c r="K1495" s="46">
        <v>1312.14816</v>
      </c>
      <c r="L1495" s="46">
        <v>1312.14816</v>
      </c>
      <c r="M1495" s="46">
        <v>1312.14816</v>
      </c>
      <c r="N1495" s="46">
        <v>1312.14816</v>
      </c>
      <c r="O1495" s="46">
        <v>1312.14816</v>
      </c>
    </row>
    <row r="1496" spans="1:15" x14ac:dyDescent="0.2">
      <c r="A1496" s="310" t="s">
        <v>18</v>
      </c>
      <c r="B1496" s="382"/>
      <c r="C1496" s="257"/>
      <c r="D1496" s="257"/>
      <c r="E1496" s="46"/>
      <c r="F1496" s="46">
        <f>F1495-137.77</f>
        <v>1174.37816</v>
      </c>
      <c r="G1496" s="46">
        <f t="shared" ref="G1496:O1496" si="67">G1495-137.77</f>
        <v>1174.37816</v>
      </c>
      <c r="H1496" s="46">
        <f t="shared" si="67"/>
        <v>1174.37816</v>
      </c>
      <c r="I1496" s="46">
        <f t="shared" si="67"/>
        <v>1174.37816</v>
      </c>
      <c r="J1496" s="46">
        <f t="shared" si="67"/>
        <v>1174.37816</v>
      </c>
      <c r="K1496" s="46">
        <f t="shared" si="67"/>
        <v>1174.37816</v>
      </c>
      <c r="L1496" s="46">
        <f t="shared" si="67"/>
        <v>1174.37816</v>
      </c>
      <c r="M1496" s="46">
        <f t="shared" si="67"/>
        <v>1174.37816</v>
      </c>
      <c r="N1496" s="46">
        <f t="shared" si="67"/>
        <v>1174.37816</v>
      </c>
      <c r="O1496" s="46">
        <f t="shared" si="67"/>
        <v>1174.37816</v>
      </c>
    </row>
    <row r="1497" spans="1:15" x14ac:dyDescent="0.2">
      <c r="A1497" s="310" t="s">
        <v>19</v>
      </c>
      <c r="B1497" s="382"/>
      <c r="C1497" s="257"/>
      <c r="D1497" s="498"/>
      <c r="E1497" s="636" t="s">
        <v>540</v>
      </c>
      <c r="F1497" s="636" t="s">
        <v>540</v>
      </c>
      <c r="G1497" s="636" t="s">
        <v>540</v>
      </c>
      <c r="H1497" s="636" t="s">
        <v>540</v>
      </c>
      <c r="I1497" s="636" t="s">
        <v>540</v>
      </c>
      <c r="J1497" s="636" t="s">
        <v>540</v>
      </c>
      <c r="K1497" s="636" t="s">
        <v>540</v>
      </c>
      <c r="L1497" s="636" t="s">
        <v>540</v>
      </c>
      <c r="M1497" s="636" t="s">
        <v>540</v>
      </c>
      <c r="N1497" s="636" t="s">
        <v>540</v>
      </c>
      <c r="O1497" s="636" t="s">
        <v>540</v>
      </c>
    </row>
    <row r="1498" spans="1:15" x14ac:dyDescent="0.2">
      <c r="A1498" s="310" t="s">
        <v>20</v>
      </c>
      <c r="B1498" s="382"/>
      <c r="C1498" s="257">
        <v>2700.5</v>
      </c>
      <c r="D1498" s="257">
        <v>702.1</v>
      </c>
      <c r="E1498" s="46">
        <v>764.67</v>
      </c>
      <c r="F1498" s="46"/>
      <c r="G1498" s="46"/>
      <c r="H1498" s="46"/>
      <c r="I1498" s="46"/>
      <c r="J1498" s="46"/>
      <c r="K1498" s="46"/>
      <c r="L1498" s="46"/>
      <c r="M1498" s="46"/>
      <c r="N1498" s="46"/>
      <c r="O1498" s="46"/>
    </row>
    <row r="1499" spans="1:15" x14ac:dyDescent="0.2">
      <c r="A1499" s="310" t="s">
        <v>21</v>
      </c>
      <c r="B1499" s="499"/>
      <c r="C1499" s="257">
        <f>C1495-C1498</f>
        <v>-1377.77</v>
      </c>
      <c r="D1499" s="257">
        <f>D1495-D1498</f>
        <v>599.46632000000011</v>
      </c>
      <c r="E1499" s="257">
        <f>E1495-E1498</f>
        <v>547.47816</v>
      </c>
      <c r="F1499" s="257"/>
      <c r="G1499" s="257"/>
      <c r="H1499" s="257"/>
      <c r="I1499" s="257"/>
      <c r="J1499" s="257"/>
      <c r="K1499" s="257"/>
      <c r="L1499" s="257"/>
      <c r="M1499" s="257"/>
      <c r="N1499" s="257"/>
      <c r="O1499" s="257"/>
    </row>
    <row r="1500" spans="1:15" x14ac:dyDescent="0.2">
      <c r="A1500" s="313" t="s">
        <v>22</v>
      </c>
      <c r="B1500" s="500"/>
      <c r="C1500" s="269">
        <v>2022</v>
      </c>
      <c r="D1500" s="269">
        <v>2023</v>
      </c>
      <c r="E1500" s="269"/>
      <c r="F1500" s="269"/>
      <c r="G1500" s="269"/>
      <c r="H1500" s="269"/>
      <c r="I1500" s="269"/>
      <c r="J1500" s="269"/>
      <c r="K1500" s="269"/>
      <c r="L1500" s="269"/>
      <c r="M1500" s="269"/>
      <c r="N1500" s="269"/>
      <c r="O1500" s="269"/>
    </row>
    <row r="1501" spans="1:15" ht="12.75" customHeight="1" x14ac:dyDescent="0.2">
      <c r="A1501" s="501" t="s">
        <v>573</v>
      </c>
      <c r="B1501" s="502"/>
      <c r="C1501" s="502"/>
      <c r="D1501" s="502"/>
      <c r="E1501" s="502"/>
      <c r="F1501" s="502"/>
      <c r="G1501" s="502"/>
      <c r="H1501" s="502"/>
      <c r="I1501" s="502"/>
      <c r="J1501" s="502"/>
      <c r="K1501" s="502"/>
      <c r="L1501" s="502"/>
      <c r="M1501" s="502"/>
      <c r="N1501" s="502"/>
      <c r="O1501" s="503"/>
    </row>
    <row r="1502" spans="1:15" x14ac:dyDescent="0.2">
      <c r="A1502" s="236" t="s">
        <v>919</v>
      </c>
      <c r="B1502" s="265"/>
      <c r="C1502" s="265"/>
      <c r="D1502" s="265"/>
      <c r="E1502" s="265"/>
      <c r="F1502" s="265"/>
      <c r="G1502" s="569"/>
      <c r="H1502" s="569"/>
      <c r="I1502" s="33"/>
      <c r="J1502" s="33"/>
      <c r="K1502" s="33"/>
      <c r="L1502" s="33"/>
      <c r="M1502" s="33"/>
      <c r="N1502" s="33"/>
      <c r="O1502" s="34"/>
    </row>
    <row r="1503" spans="1:15" x14ac:dyDescent="0.2">
      <c r="A1503" s="263"/>
      <c r="B1503" s="263"/>
      <c r="C1503" s="504"/>
      <c r="D1503" s="263"/>
      <c r="E1503" s="263"/>
      <c r="F1503" s="263"/>
    </row>
    <row r="1505" spans="1:12" x14ac:dyDescent="0.2">
      <c r="A1505" s="125" t="s">
        <v>204</v>
      </c>
      <c r="B1505" s="680" t="s">
        <v>205</v>
      </c>
    </row>
    <row r="1506" spans="1:12" x14ac:dyDescent="0.2">
      <c r="A1506" s="96" t="s">
        <v>203</v>
      </c>
      <c r="B1506" s="56" t="s">
        <v>657</v>
      </c>
      <c r="C1506" s="41" t="s">
        <v>15</v>
      </c>
    </row>
    <row r="1507" spans="1:12" x14ac:dyDescent="0.2">
      <c r="A1507" s="22" t="s">
        <v>16</v>
      </c>
      <c r="B1507" s="22"/>
      <c r="C1507" s="22"/>
      <c r="D1507" s="52">
        <v>2018</v>
      </c>
      <c r="E1507" s="52">
        <v>2019</v>
      </c>
      <c r="F1507" s="52">
        <v>2020</v>
      </c>
      <c r="G1507" s="52">
        <v>2021</v>
      </c>
      <c r="H1507" s="52">
        <v>2022</v>
      </c>
      <c r="I1507" s="52">
        <v>2023</v>
      </c>
      <c r="J1507" s="85"/>
    </row>
    <row r="1508" spans="1:12" x14ac:dyDescent="0.2">
      <c r="A1508" s="22" t="s">
        <v>17</v>
      </c>
      <c r="B1508" s="23"/>
      <c r="C1508" s="23"/>
      <c r="D1508" s="23">
        <v>4400</v>
      </c>
      <c r="E1508" s="23">
        <v>4400</v>
      </c>
      <c r="F1508" s="23">
        <v>4400</v>
      </c>
      <c r="G1508" s="23">
        <v>4400</v>
      </c>
      <c r="H1508" s="23">
        <v>4400</v>
      </c>
      <c r="I1508" s="46">
        <v>5280</v>
      </c>
      <c r="J1508" s="610"/>
    </row>
    <row r="1509" spans="1:12" x14ac:dyDescent="0.2">
      <c r="A1509" s="22" t="s">
        <v>18</v>
      </c>
      <c r="B1509" s="23"/>
      <c r="C1509" s="23"/>
      <c r="D1509" s="23">
        <v>5500</v>
      </c>
      <c r="E1509" s="23">
        <f>E1508*1.25-900</f>
        <v>4600</v>
      </c>
      <c r="F1509" s="23">
        <f>F1508*1.25-600</f>
        <v>4900</v>
      </c>
      <c r="G1509" s="23">
        <f>G1508+E1512</f>
        <v>4597.134</v>
      </c>
      <c r="H1509" s="23">
        <f>H1508+F1512</f>
        <v>5274.0761000000002</v>
      </c>
      <c r="I1509" s="46">
        <f>I1508+G1512-100</f>
        <v>5854.6139999999996</v>
      </c>
      <c r="J1509" s="610"/>
    </row>
    <row r="1510" spans="1:12" x14ac:dyDescent="0.2">
      <c r="A1510" s="47" t="s">
        <v>19</v>
      </c>
      <c r="B1510" s="90"/>
      <c r="C1510" s="23"/>
      <c r="D1510" s="23"/>
      <c r="E1510" s="23"/>
      <c r="F1510" s="23"/>
      <c r="G1510" s="23"/>
      <c r="H1510" s="23"/>
      <c r="I1510" s="23"/>
      <c r="J1510" s="42"/>
    </row>
    <row r="1511" spans="1:12" x14ac:dyDescent="0.2">
      <c r="A1511" s="47" t="s">
        <v>20</v>
      </c>
      <c r="B1511" s="23"/>
      <c r="C1511" s="23"/>
      <c r="D1511" s="23">
        <v>2572.5</v>
      </c>
      <c r="E1511" s="23">
        <v>4402.866</v>
      </c>
      <c r="F1511" s="23">
        <v>4025.9238999999998</v>
      </c>
      <c r="G1511" s="23">
        <v>3922.52</v>
      </c>
      <c r="H1511" s="23">
        <v>5430.4960000000001</v>
      </c>
      <c r="I1511" s="23"/>
      <c r="J1511" s="42"/>
    </row>
    <row r="1512" spans="1:12" x14ac:dyDescent="0.2">
      <c r="A1512" s="47" t="s">
        <v>21</v>
      </c>
      <c r="B1512" s="23"/>
      <c r="C1512" s="23"/>
      <c r="D1512" s="23">
        <f>D1509-D1511</f>
        <v>2927.5</v>
      </c>
      <c r="E1512" s="23">
        <f>E1509-E1511</f>
        <v>197.13400000000001</v>
      </c>
      <c r="F1512" s="23">
        <f>F1509-F1511</f>
        <v>874.07610000000022</v>
      </c>
      <c r="G1512" s="23">
        <f>G1509-G1511</f>
        <v>674.61400000000003</v>
      </c>
      <c r="H1512" s="23">
        <f>H1509-H1511</f>
        <v>-156.41989999999987</v>
      </c>
      <c r="I1512" s="23"/>
      <c r="J1512" s="42"/>
    </row>
    <row r="1513" spans="1:12" x14ac:dyDescent="0.2">
      <c r="A1513" s="50" t="s">
        <v>22</v>
      </c>
      <c r="B1513" s="36"/>
      <c r="C1513" s="36"/>
      <c r="D1513" s="58">
        <v>2020</v>
      </c>
      <c r="E1513" s="58">
        <v>2021</v>
      </c>
      <c r="F1513" s="58">
        <v>2022</v>
      </c>
      <c r="G1513" s="58">
        <v>2023</v>
      </c>
      <c r="H1513" s="58">
        <v>2024</v>
      </c>
      <c r="I1513" s="58">
        <v>2025</v>
      </c>
      <c r="J1513" s="113"/>
    </row>
    <row r="1514" spans="1:12" x14ac:dyDescent="0.2">
      <c r="A1514" s="50" t="s">
        <v>23</v>
      </c>
      <c r="B1514" s="30"/>
      <c r="C1514" s="30"/>
      <c r="D1514" s="82"/>
      <c r="E1514" s="82"/>
      <c r="F1514" s="82"/>
      <c r="G1514" s="83"/>
      <c r="H1514" s="83"/>
      <c r="I1514" s="83"/>
      <c r="J1514" s="113"/>
    </row>
    <row r="1515" spans="1:12" x14ac:dyDescent="0.2">
      <c r="A1515" s="50" t="s">
        <v>115</v>
      </c>
      <c r="B1515" s="30"/>
      <c r="C1515" s="30"/>
      <c r="D1515" s="30"/>
      <c r="E1515" s="30"/>
      <c r="F1515" s="30"/>
      <c r="G1515" s="30"/>
      <c r="H1515" s="30"/>
      <c r="I1515" s="31"/>
    </row>
    <row r="1516" spans="1:12" x14ac:dyDescent="0.2">
      <c r="A1516" s="262" t="s">
        <v>327</v>
      </c>
      <c r="B1516" s="263"/>
      <c r="C1516" s="263"/>
      <c r="D1516" s="263"/>
      <c r="E1516" s="263"/>
      <c r="F1516" s="263"/>
      <c r="G1516" s="263"/>
      <c r="H1516" s="263"/>
      <c r="I1516" s="264"/>
      <c r="J1516" s="263"/>
      <c r="K1516" s="263"/>
      <c r="L1516" s="263"/>
    </row>
    <row r="1517" spans="1:12" x14ac:dyDescent="0.2">
      <c r="A1517" s="262" t="s">
        <v>328</v>
      </c>
      <c r="B1517" s="263"/>
      <c r="C1517" s="263"/>
      <c r="D1517" s="263"/>
      <c r="E1517" s="263"/>
      <c r="F1517" s="263"/>
      <c r="G1517" s="263"/>
      <c r="H1517" s="263"/>
      <c r="I1517" s="264"/>
      <c r="J1517" s="263"/>
      <c r="K1517" s="263"/>
      <c r="L1517" s="263"/>
    </row>
    <row r="1518" spans="1:12" x14ac:dyDescent="0.2">
      <c r="A1518" s="262" t="s">
        <v>473</v>
      </c>
      <c r="B1518" s="263"/>
      <c r="C1518" s="263"/>
      <c r="D1518" s="263"/>
      <c r="E1518" s="263"/>
      <c r="F1518" s="263"/>
      <c r="G1518" s="263"/>
      <c r="H1518" s="263"/>
      <c r="I1518" s="264"/>
      <c r="J1518" s="263"/>
      <c r="K1518" s="263"/>
      <c r="L1518" s="263"/>
    </row>
    <row r="1519" spans="1:12" x14ac:dyDescent="0.2">
      <c r="A1519" s="244" t="s">
        <v>883</v>
      </c>
      <c r="B1519" s="263"/>
      <c r="C1519" s="263"/>
      <c r="D1519" s="263"/>
      <c r="E1519" s="263"/>
      <c r="F1519" s="263"/>
      <c r="G1519" s="263"/>
      <c r="H1519" s="263"/>
      <c r="I1519" s="264"/>
      <c r="J1519" s="263"/>
      <c r="K1519" s="263"/>
      <c r="L1519" s="263"/>
    </row>
    <row r="1520" spans="1:12" x14ac:dyDescent="0.2">
      <c r="A1520" s="253" t="s">
        <v>884</v>
      </c>
      <c r="B1520" s="265"/>
      <c r="C1520" s="265"/>
      <c r="D1520" s="265"/>
      <c r="E1520" s="265"/>
      <c r="F1520" s="265"/>
      <c r="G1520" s="265"/>
      <c r="H1520" s="265"/>
      <c r="I1520" s="266"/>
      <c r="J1520" s="263"/>
      <c r="K1520" s="263"/>
      <c r="L1520" s="263"/>
    </row>
    <row r="1521" spans="1:12" x14ac:dyDescent="0.2">
      <c r="A1521" s="263"/>
      <c r="B1521" s="263"/>
      <c r="C1521" s="263"/>
      <c r="D1521" s="263"/>
      <c r="E1521" s="263"/>
      <c r="F1521" s="263"/>
      <c r="G1521" s="263"/>
      <c r="H1521" s="263"/>
      <c r="I1521" s="263"/>
      <c r="J1521" s="263"/>
      <c r="K1521" s="263"/>
      <c r="L1521" s="263"/>
    </row>
    <row r="1522" spans="1:12" x14ac:dyDescent="0.2">
      <c r="A1522" s="317" t="s">
        <v>203</v>
      </c>
      <c r="B1522" s="331" t="s">
        <v>660</v>
      </c>
      <c r="C1522" s="319" t="s">
        <v>15</v>
      </c>
      <c r="D1522" s="263"/>
      <c r="E1522" s="263"/>
      <c r="F1522" s="263"/>
      <c r="G1522" s="263"/>
      <c r="H1522" s="263"/>
      <c r="I1522" s="263"/>
      <c r="J1522" s="263"/>
      <c r="K1522" s="263"/>
      <c r="L1522" s="263"/>
    </row>
    <row r="1523" spans="1:12" x14ac:dyDescent="0.2">
      <c r="A1523" s="268" t="s">
        <v>16</v>
      </c>
      <c r="B1523" s="268"/>
      <c r="C1523" s="254">
        <v>2016</v>
      </c>
      <c r="D1523" s="254">
        <v>2017</v>
      </c>
      <c r="E1523" s="254">
        <v>2018</v>
      </c>
      <c r="F1523" s="254">
        <v>2019</v>
      </c>
      <c r="G1523" s="254">
        <v>2020</v>
      </c>
      <c r="H1523" s="254">
        <v>2021</v>
      </c>
      <c r="I1523" s="254">
        <v>2022</v>
      </c>
      <c r="J1523" s="254">
        <v>2023</v>
      </c>
      <c r="K1523" s="263"/>
      <c r="L1523" s="263"/>
    </row>
    <row r="1524" spans="1:12" x14ac:dyDescent="0.2">
      <c r="A1524" s="268" t="s">
        <v>17</v>
      </c>
      <c r="B1524" s="257"/>
      <c r="C1524" s="257">
        <v>1001</v>
      </c>
      <c r="D1524" s="257">
        <v>1001</v>
      </c>
      <c r="E1524" s="257">
        <v>1001</v>
      </c>
      <c r="F1524" s="257">
        <v>1001</v>
      </c>
      <c r="G1524" s="257">
        <v>1001</v>
      </c>
      <c r="H1524" s="257">
        <v>1001</v>
      </c>
      <c r="I1524" s="257">
        <v>1001</v>
      </c>
      <c r="J1524" s="257">
        <v>1001</v>
      </c>
      <c r="K1524" s="263"/>
      <c r="L1524" s="263"/>
    </row>
    <row r="1525" spans="1:12" x14ac:dyDescent="0.2">
      <c r="A1525" s="268" t="s">
        <v>18</v>
      </c>
      <c r="B1525" s="257"/>
      <c r="C1525" s="257">
        <f>C1524*1.3-50</f>
        <v>1251.3</v>
      </c>
      <c r="D1525" s="257">
        <f>D1524*1.3-50</f>
        <v>1251.3</v>
      </c>
      <c r="E1525" s="257">
        <f>E1524*1.2-50</f>
        <v>1151.2</v>
      </c>
      <c r="F1525" s="257">
        <f t="shared" ref="F1525:G1525" si="68">F1524*1.2-50</f>
        <v>1151.2</v>
      </c>
      <c r="G1525" s="257">
        <f t="shared" si="68"/>
        <v>1151.2</v>
      </c>
      <c r="H1525" s="257">
        <f>H1524*1.2</f>
        <v>1201.2</v>
      </c>
      <c r="I1525" s="257">
        <f>I1524*1.2</f>
        <v>1201.2</v>
      </c>
      <c r="J1525" s="257">
        <f>J1524*1.2</f>
        <v>1201.2</v>
      </c>
      <c r="K1525" s="263"/>
      <c r="L1525" s="263"/>
    </row>
    <row r="1526" spans="1:12" x14ac:dyDescent="0.2">
      <c r="A1526" s="320" t="s">
        <v>19</v>
      </c>
      <c r="B1526" s="430"/>
      <c r="C1526" s="489" t="s">
        <v>474</v>
      </c>
      <c r="D1526" s="489" t="s">
        <v>474</v>
      </c>
      <c r="E1526" s="489" t="s">
        <v>475</v>
      </c>
      <c r="F1526" s="489" t="s">
        <v>475</v>
      </c>
      <c r="G1526" s="489" t="s">
        <v>475</v>
      </c>
      <c r="H1526" s="489" t="s">
        <v>683</v>
      </c>
      <c r="I1526" s="489" t="s">
        <v>683</v>
      </c>
      <c r="J1526" s="489" t="s">
        <v>683</v>
      </c>
      <c r="K1526" s="263"/>
      <c r="L1526" s="263"/>
    </row>
    <row r="1527" spans="1:12" x14ac:dyDescent="0.2">
      <c r="A1527" s="320" t="s">
        <v>20</v>
      </c>
      <c r="B1527" s="257"/>
      <c r="C1527" s="257">
        <v>124.4</v>
      </c>
      <c r="D1527" s="257">
        <v>159</v>
      </c>
      <c r="E1527" s="257">
        <v>188.7</v>
      </c>
      <c r="F1527" s="257">
        <v>288.56359999999995</v>
      </c>
      <c r="G1527" s="257">
        <v>149.46553</v>
      </c>
      <c r="H1527" s="268">
        <v>228.99</v>
      </c>
      <c r="I1527" s="268">
        <v>160.58000000000001</v>
      </c>
      <c r="J1527" s="268"/>
      <c r="K1527" s="263"/>
      <c r="L1527" s="263"/>
    </row>
    <row r="1528" spans="1:12" x14ac:dyDescent="0.2">
      <c r="A1528" s="320" t="s">
        <v>21</v>
      </c>
      <c r="B1528" s="257"/>
      <c r="C1528" s="257">
        <f>C1525-C1527</f>
        <v>1126.8999999999999</v>
      </c>
      <c r="D1528" s="257">
        <f t="shared" ref="D1528:G1528" si="69">D1525-D1527</f>
        <v>1092.3</v>
      </c>
      <c r="E1528" s="257">
        <f t="shared" si="69"/>
        <v>962.5</v>
      </c>
      <c r="F1528" s="257">
        <f t="shared" si="69"/>
        <v>862.63640000000009</v>
      </c>
      <c r="G1528" s="257">
        <f t="shared" si="69"/>
        <v>1001.7344700000001</v>
      </c>
      <c r="H1528" s="257">
        <f>H1525-H1527</f>
        <v>972.21</v>
      </c>
      <c r="I1528" s="257">
        <f>I1525-I1527</f>
        <v>1040.6200000000001</v>
      </c>
      <c r="J1528" s="257"/>
      <c r="K1528" s="263"/>
      <c r="L1528" s="263"/>
    </row>
    <row r="1529" spans="1:12" x14ac:dyDescent="0.2">
      <c r="A1529" s="260" t="s">
        <v>22</v>
      </c>
      <c r="B1529" s="269"/>
      <c r="C1529" s="292">
        <v>2018</v>
      </c>
      <c r="D1529" s="292">
        <v>2019</v>
      </c>
      <c r="E1529" s="292">
        <v>2020</v>
      </c>
      <c r="F1529" s="292">
        <v>2021</v>
      </c>
      <c r="G1529" s="292">
        <v>2022</v>
      </c>
      <c r="H1529" s="292">
        <v>2023</v>
      </c>
      <c r="I1529" s="292">
        <v>2024</v>
      </c>
      <c r="J1529" s="292">
        <v>2025</v>
      </c>
      <c r="K1529" s="263"/>
      <c r="L1529" s="263"/>
    </row>
    <row r="1530" spans="1:12" x14ac:dyDescent="0.2">
      <c r="A1530" s="269" t="s">
        <v>23</v>
      </c>
      <c r="B1530" s="260"/>
      <c r="C1530" s="261"/>
      <c r="D1530" s="261"/>
      <c r="E1530" s="261"/>
      <c r="F1530" s="261"/>
      <c r="G1530" s="261"/>
      <c r="H1530" s="259"/>
      <c r="I1530" s="259"/>
      <c r="J1530" s="259"/>
      <c r="K1530" s="263"/>
      <c r="L1530" s="263"/>
    </row>
    <row r="1531" spans="1:12" x14ac:dyDescent="0.2">
      <c r="A1531" s="491" t="s">
        <v>462</v>
      </c>
      <c r="B1531" s="492"/>
      <c r="C1531" s="492"/>
      <c r="D1531" s="492"/>
      <c r="E1531" s="492"/>
      <c r="F1531" s="315"/>
      <c r="G1531" s="315"/>
      <c r="H1531" s="261"/>
      <c r="I1531" s="261"/>
      <c r="J1531" s="259"/>
      <c r="K1531" s="263"/>
      <c r="L1531" s="263"/>
    </row>
    <row r="1532" spans="1:12" x14ac:dyDescent="0.2">
      <c r="A1532" s="20" t="s">
        <v>461</v>
      </c>
      <c r="J1532" s="21"/>
    </row>
    <row r="1533" spans="1:12" x14ac:dyDescent="0.2">
      <c r="A1533" s="32" t="s">
        <v>476</v>
      </c>
      <c r="B1533" s="33"/>
      <c r="C1533" s="33"/>
      <c r="D1533" s="33"/>
      <c r="E1533" s="33"/>
      <c r="F1533" s="33"/>
      <c r="G1533" s="33"/>
      <c r="H1533" s="33"/>
      <c r="I1533" s="33"/>
      <c r="J1533" s="34"/>
    </row>
    <row r="1536" spans="1:12" x14ac:dyDescent="0.2">
      <c r="A1536" s="125" t="s">
        <v>12</v>
      </c>
      <c r="B1536" s="680" t="s">
        <v>13</v>
      </c>
    </row>
    <row r="1537" spans="1:11" x14ac:dyDescent="0.2">
      <c r="A1537" s="96" t="s">
        <v>14</v>
      </c>
      <c r="B1537" s="56" t="s">
        <v>661</v>
      </c>
      <c r="C1537" s="41" t="s">
        <v>15</v>
      </c>
    </row>
    <row r="1538" spans="1:11" x14ac:dyDescent="0.2">
      <c r="A1538" s="47" t="s">
        <v>16</v>
      </c>
      <c r="B1538" s="22"/>
      <c r="C1538" s="227">
        <v>2016</v>
      </c>
      <c r="D1538" s="228">
        <v>2017</v>
      </c>
      <c r="E1538" s="227">
        <v>2018</v>
      </c>
      <c r="F1538" s="229">
        <v>2019</v>
      </c>
      <c r="G1538" s="229">
        <v>2020</v>
      </c>
      <c r="H1538" s="229">
        <v>2021</v>
      </c>
      <c r="I1538" s="229">
        <v>2022</v>
      </c>
    </row>
    <row r="1539" spans="1:11" x14ac:dyDescent="0.2">
      <c r="A1539" s="47" t="s">
        <v>17</v>
      </c>
      <c r="B1539" s="22"/>
      <c r="C1539" s="23">
        <v>47.4</v>
      </c>
      <c r="D1539" s="97">
        <v>56.91</v>
      </c>
      <c r="E1539" s="23">
        <v>66</v>
      </c>
      <c r="F1539" s="98">
        <v>73</v>
      </c>
      <c r="G1539" s="98">
        <v>80</v>
      </c>
      <c r="H1539" s="98">
        <v>80</v>
      </c>
      <c r="I1539" s="98">
        <v>80</v>
      </c>
    </row>
    <row r="1540" spans="1:11" x14ac:dyDescent="0.2">
      <c r="A1540" s="47" t="s">
        <v>18</v>
      </c>
      <c r="B1540" s="22"/>
      <c r="C1540" s="23">
        <v>47.4</v>
      </c>
      <c r="D1540" s="97">
        <v>56.91</v>
      </c>
      <c r="E1540" s="23">
        <v>66</v>
      </c>
      <c r="F1540" s="98">
        <v>73</v>
      </c>
      <c r="G1540" s="98">
        <v>80</v>
      </c>
      <c r="H1540" s="98">
        <v>0.8</v>
      </c>
      <c r="I1540" s="98">
        <v>80</v>
      </c>
    </row>
    <row r="1541" spans="1:11" x14ac:dyDescent="0.2">
      <c r="A1541" s="47" t="s">
        <v>19</v>
      </c>
      <c r="B1541" s="22"/>
      <c r="C1541" s="23"/>
      <c r="D1541" s="97"/>
      <c r="E1541" s="23"/>
      <c r="F1541" s="98"/>
      <c r="G1541" s="98"/>
      <c r="H1541" s="230" t="s">
        <v>540</v>
      </c>
      <c r="I1541" s="230" t="s">
        <v>540</v>
      </c>
    </row>
    <row r="1542" spans="1:11" x14ac:dyDescent="0.2">
      <c r="A1542" s="47" t="s">
        <v>20</v>
      </c>
      <c r="B1542" s="22"/>
      <c r="C1542" s="23">
        <v>47.393000000000001</v>
      </c>
      <c r="D1542" s="97">
        <v>56.905999999999999</v>
      </c>
      <c r="E1542" s="23">
        <v>66</v>
      </c>
      <c r="F1542" s="98">
        <v>71.97</v>
      </c>
      <c r="G1542" s="98">
        <v>79.2</v>
      </c>
      <c r="H1542" s="98"/>
      <c r="I1542" s="98">
        <v>79.2</v>
      </c>
    </row>
    <row r="1543" spans="1:11" x14ac:dyDescent="0.2">
      <c r="A1543" s="47" t="s">
        <v>21</v>
      </c>
      <c r="B1543" s="22"/>
      <c r="C1543" s="23">
        <f>C1540-C1542</f>
        <v>6.9999999999978968E-3</v>
      </c>
      <c r="D1543" s="23">
        <f t="shared" ref="D1543:F1543" si="70">D1540-D1542</f>
        <v>3.9999999999977831E-3</v>
      </c>
      <c r="E1543" s="23">
        <f t="shared" si="70"/>
        <v>0</v>
      </c>
      <c r="F1543" s="23">
        <f t="shared" si="70"/>
        <v>1.0300000000000011</v>
      </c>
      <c r="G1543" s="98">
        <f>G1540-G1542</f>
        <v>0.79999999999999716</v>
      </c>
      <c r="H1543" s="98"/>
      <c r="I1543" s="98">
        <v>0.79999999999999716</v>
      </c>
    </row>
    <row r="1544" spans="1:11" x14ac:dyDescent="0.2">
      <c r="A1544" s="50" t="s">
        <v>22</v>
      </c>
      <c r="B1544" s="36"/>
      <c r="C1544" s="36"/>
      <c r="D1544" s="30"/>
      <c r="E1544" s="36"/>
      <c r="F1544" s="31"/>
      <c r="G1544" s="36"/>
      <c r="H1544" s="36"/>
      <c r="I1544" s="36"/>
    </row>
    <row r="1545" spans="1:11" x14ac:dyDescent="0.2">
      <c r="A1545" s="50" t="s">
        <v>23</v>
      </c>
      <c r="B1545" s="30"/>
      <c r="C1545" s="30"/>
      <c r="D1545" s="30"/>
      <c r="E1545" s="30"/>
      <c r="F1545" s="30"/>
      <c r="G1545" s="30"/>
      <c r="H1545" s="30"/>
      <c r="I1545" s="31"/>
    </row>
    <row r="1546" spans="1:11" x14ac:dyDescent="0.2">
      <c r="A1546" s="47" t="s">
        <v>539</v>
      </c>
      <c r="B1546" s="59"/>
      <c r="C1546" s="59"/>
      <c r="D1546" s="59"/>
      <c r="E1546" s="59"/>
      <c r="F1546" s="59"/>
      <c r="G1546" s="59"/>
      <c r="H1546" s="59"/>
      <c r="I1546" s="57"/>
    </row>
    <row r="1549" spans="1:11" x14ac:dyDescent="0.2">
      <c r="A1549" s="125" t="s">
        <v>12</v>
      </c>
      <c r="B1549" s="680" t="s">
        <v>172</v>
      </c>
    </row>
    <row r="1550" spans="1:11" x14ac:dyDescent="0.2">
      <c r="A1550" s="96" t="s">
        <v>14</v>
      </c>
      <c r="B1550" s="231" t="s">
        <v>637</v>
      </c>
      <c r="C1550" s="232" t="s">
        <v>15</v>
      </c>
    </row>
    <row r="1551" spans="1:11" x14ac:dyDescent="0.2">
      <c r="A1551" s="47" t="s">
        <v>16</v>
      </c>
      <c r="B1551" s="22"/>
      <c r="C1551" s="22"/>
      <c r="D1551" s="22"/>
      <c r="E1551" s="22"/>
      <c r="F1551" s="52">
        <v>2018</v>
      </c>
      <c r="G1551" s="52">
        <v>2019</v>
      </c>
      <c r="H1551" s="52">
        <v>2020</v>
      </c>
      <c r="I1551" s="52">
        <v>2021</v>
      </c>
      <c r="J1551" s="52">
        <v>2022</v>
      </c>
      <c r="K1551" s="52">
        <v>2023</v>
      </c>
    </row>
    <row r="1552" spans="1:11" x14ac:dyDescent="0.2">
      <c r="A1552" s="47" t="s">
        <v>17</v>
      </c>
      <c r="B1552" s="22"/>
      <c r="C1552" s="23"/>
      <c r="D1552" s="23"/>
      <c r="E1552" s="23"/>
      <c r="F1552" s="23">
        <v>125</v>
      </c>
      <c r="G1552" s="23">
        <v>125</v>
      </c>
      <c r="H1552" s="23">
        <v>125</v>
      </c>
      <c r="I1552" s="23">
        <v>125</v>
      </c>
      <c r="J1552" s="23">
        <v>125</v>
      </c>
      <c r="K1552" s="23">
        <v>125</v>
      </c>
    </row>
    <row r="1553" spans="1:11" x14ac:dyDescent="0.2">
      <c r="A1553" s="47" t="s">
        <v>18</v>
      </c>
      <c r="B1553" s="22"/>
      <c r="C1553" s="23"/>
      <c r="D1553" s="23"/>
      <c r="E1553" s="23"/>
      <c r="F1553" s="23">
        <v>100</v>
      </c>
      <c r="G1553" s="23">
        <v>100</v>
      </c>
      <c r="H1553" s="23">
        <f>H1552*1.4-100</f>
        <v>75</v>
      </c>
      <c r="I1553" s="23">
        <v>75</v>
      </c>
      <c r="J1553" s="23">
        <v>75</v>
      </c>
      <c r="K1553" s="23">
        <v>75</v>
      </c>
    </row>
    <row r="1554" spans="1:11" x14ac:dyDescent="0.2">
      <c r="A1554" s="47" t="s">
        <v>19</v>
      </c>
      <c r="B1554" s="22"/>
      <c r="C1554" s="23"/>
      <c r="D1554" s="23"/>
      <c r="E1554" s="23"/>
      <c r="F1554" s="23">
        <f>F1552*1.4-(75)</f>
        <v>100</v>
      </c>
      <c r="G1554" s="23">
        <f>G1552*1.4-(75)</f>
        <v>100</v>
      </c>
      <c r="H1554" s="23">
        <v>75</v>
      </c>
      <c r="I1554" s="23">
        <v>75</v>
      </c>
      <c r="J1554" s="23">
        <v>75</v>
      </c>
      <c r="K1554" s="23">
        <v>75</v>
      </c>
    </row>
    <row r="1555" spans="1:11" x14ac:dyDescent="0.2">
      <c r="A1555" s="47" t="s">
        <v>20</v>
      </c>
      <c r="B1555" s="22"/>
      <c r="C1555" s="23"/>
      <c r="D1555" s="23"/>
      <c r="E1555" s="23"/>
      <c r="F1555" s="23">
        <v>3</v>
      </c>
      <c r="G1555" s="23">
        <v>5.91</v>
      </c>
      <c r="H1555" s="23">
        <v>7.76</v>
      </c>
      <c r="I1555" s="23">
        <v>6.2</v>
      </c>
      <c r="J1555" s="23">
        <v>6.06</v>
      </c>
      <c r="K1555" s="23"/>
    </row>
    <row r="1556" spans="1:11" x14ac:dyDescent="0.2">
      <c r="A1556" s="47" t="s">
        <v>21</v>
      </c>
      <c r="B1556" s="22"/>
      <c r="C1556" s="23"/>
      <c r="D1556" s="23"/>
      <c r="E1556" s="23"/>
      <c r="F1556" s="23">
        <f>F1553-F1555</f>
        <v>97</v>
      </c>
      <c r="G1556" s="23">
        <f>G1553-G1555</f>
        <v>94.09</v>
      </c>
      <c r="H1556" s="23">
        <v>67.239999999999995</v>
      </c>
      <c r="I1556" s="23">
        <f>I1553-I1555</f>
        <v>68.8</v>
      </c>
      <c r="J1556" s="23">
        <f>J1553-J1555</f>
        <v>68.94</v>
      </c>
      <c r="K1556" s="23"/>
    </row>
    <row r="1557" spans="1:11" x14ac:dyDescent="0.2">
      <c r="A1557" s="50" t="s">
        <v>22</v>
      </c>
      <c r="B1557" s="36"/>
      <c r="C1557" s="36"/>
      <c r="D1557" s="36"/>
      <c r="E1557" s="36"/>
      <c r="F1557" s="58">
        <v>2019</v>
      </c>
      <c r="G1557" s="58">
        <v>2020</v>
      </c>
      <c r="H1557" s="58">
        <v>2021</v>
      </c>
      <c r="I1557" s="58">
        <v>2022</v>
      </c>
      <c r="J1557" s="58">
        <v>2023</v>
      </c>
      <c r="K1557" s="58">
        <v>2024</v>
      </c>
    </row>
    <row r="1558" spans="1:11" ht="25.9" customHeight="1" x14ac:dyDescent="0.2">
      <c r="A1558" s="77" t="s">
        <v>685</v>
      </c>
      <c r="B1558" s="117"/>
      <c r="C1558" s="117"/>
      <c r="D1558" s="117"/>
      <c r="E1558" s="117"/>
      <c r="F1558" s="117"/>
      <c r="G1558" s="117"/>
      <c r="H1558" s="117"/>
      <c r="I1558" s="117"/>
      <c r="J1558" s="30"/>
      <c r="K1558" s="31"/>
    </row>
    <row r="1559" spans="1:11" ht="34.15" customHeight="1" x14ac:dyDescent="0.2">
      <c r="A1559" s="78" t="s">
        <v>260</v>
      </c>
      <c r="B1559" s="68"/>
      <c r="C1559" s="68"/>
      <c r="D1559" s="68"/>
      <c r="E1559" s="68"/>
      <c r="F1559" s="68"/>
      <c r="G1559" s="68"/>
      <c r="H1559" s="68"/>
      <c r="I1559" s="68"/>
      <c r="K1559" s="21"/>
    </row>
    <row r="1560" spans="1:11" ht="27.6" customHeight="1" x14ac:dyDescent="0.2">
      <c r="A1560" s="78" t="s">
        <v>529</v>
      </c>
      <c r="B1560" s="68"/>
      <c r="C1560" s="68"/>
      <c r="D1560" s="68"/>
      <c r="E1560" s="68"/>
      <c r="F1560" s="68"/>
      <c r="G1560" s="68"/>
      <c r="H1560" s="68"/>
      <c r="I1560" s="68"/>
      <c r="K1560" s="21"/>
    </row>
    <row r="1561" spans="1:11" ht="27.6" customHeight="1" x14ac:dyDescent="0.2">
      <c r="A1561" s="78" t="s">
        <v>530</v>
      </c>
      <c r="B1561" s="68"/>
      <c r="C1561" s="68"/>
      <c r="D1561" s="68"/>
      <c r="E1561" s="68"/>
      <c r="F1561" s="68"/>
      <c r="G1561" s="68"/>
      <c r="H1561" s="68"/>
      <c r="I1561" s="68"/>
      <c r="K1561" s="21"/>
    </row>
    <row r="1562" spans="1:11" ht="27.6" customHeight="1" x14ac:dyDescent="0.2">
      <c r="A1562" s="78" t="s">
        <v>684</v>
      </c>
      <c r="K1562" s="21"/>
    </row>
    <row r="1563" spans="1:11" ht="30" customHeight="1" x14ac:dyDescent="0.2">
      <c r="A1563" s="60" t="s">
        <v>920</v>
      </c>
      <c r="B1563" s="33"/>
      <c r="C1563" s="33"/>
      <c r="D1563" s="33"/>
      <c r="E1563" s="33"/>
      <c r="F1563" s="33"/>
      <c r="G1563" s="33"/>
      <c r="H1563" s="33"/>
      <c r="I1563" s="33"/>
      <c r="J1563" s="33"/>
      <c r="K1563" s="34"/>
    </row>
    <row r="1565" spans="1:11" x14ac:dyDescent="0.2">
      <c r="A1565" s="317" t="s">
        <v>14</v>
      </c>
      <c r="B1565" s="493" t="s">
        <v>74</v>
      </c>
      <c r="C1565" s="331" t="s">
        <v>15</v>
      </c>
      <c r="D1565" s="263"/>
      <c r="E1565" s="263"/>
      <c r="F1565" s="263"/>
      <c r="G1565" s="263"/>
      <c r="H1565" s="263"/>
      <c r="I1565" s="263"/>
      <c r="J1565" s="263"/>
      <c r="K1565" s="263"/>
    </row>
    <row r="1566" spans="1:11" x14ac:dyDescent="0.2">
      <c r="A1566" s="253" t="s">
        <v>16</v>
      </c>
      <c r="B1566" s="505"/>
      <c r="C1566" s="254">
        <v>2015</v>
      </c>
      <c r="D1566" s="254">
        <v>2016</v>
      </c>
      <c r="E1566" s="254">
        <v>2017</v>
      </c>
      <c r="F1566" s="254">
        <v>2018</v>
      </c>
      <c r="G1566" s="254">
        <v>2019</v>
      </c>
      <c r="H1566" s="254">
        <v>2020</v>
      </c>
      <c r="I1566" s="254">
        <v>2021</v>
      </c>
      <c r="J1566" s="254">
        <v>2022</v>
      </c>
      <c r="K1566" s="254">
        <v>2023</v>
      </c>
    </row>
    <row r="1567" spans="1:11" x14ac:dyDescent="0.2">
      <c r="A1567" s="320" t="s">
        <v>17</v>
      </c>
      <c r="B1567" s="401"/>
      <c r="C1567" s="401">
        <v>20</v>
      </c>
      <c r="D1567" s="401">
        <v>20</v>
      </c>
      <c r="E1567" s="401">
        <v>20</v>
      </c>
      <c r="F1567" s="401">
        <v>20</v>
      </c>
      <c r="G1567" s="401">
        <v>20</v>
      </c>
      <c r="H1567" s="409">
        <v>16.8</v>
      </c>
      <c r="I1567" s="268">
        <v>16.8</v>
      </c>
      <c r="J1567" s="268">
        <v>16.8</v>
      </c>
      <c r="K1567" s="268">
        <v>16.8</v>
      </c>
    </row>
    <row r="1568" spans="1:11" x14ac:dyDescent="0.2">
      <c r="A1568" s="320" t="s">
        <v>18</v>
      </c>
      <c r="B1568" s="401"/>
      <c r="C1568" s="401"/>
      <c r="D1568" s="401">
        <v>-64.900000000000006</v>
      </c>
      <c r="E1568" s="401">
        <v>-63.600000000000009</v>
      </c>
      <c r="F1568" s="401">
        <v>-43.600000000000009</v>
      </c>
      <c r="G1568" s="401">
        <v>-23.600000000000009</v>
      </c>
      <c r="H1568" s="401">
        <f>G1571+H1567+2</f>
        <v>-4.8000000000000078</v>
      </c>
      <c r="I1568" s="257">
        <f>I1567+H1571+2</f>
        <v>13.999999999999993</v>
      </c>
      <c r="J1568" s="257">
        <f>J1567+2</f>
        <v>18.8</v>
      </c>
      <c r="K1568" s="257">
        <f>K1567+2</f>
        <v>18.8</v>
      </c>
    </row>
    <row r="1569" spans="1:11" x14ac:dyDescent="0.2">
      <c r="A1569" s="320" t="s">
        <v>19</v>
      </c>
      <c r="B1569" s="403"/>
      <c r="C1569" s="403"/>
      <c r="D1569" s="404">
        <v>1</v>
      </c>
      <c r="E1569" s="404">
        <v>2</v>
      </c>
      <c r="F1569" s="404">
        <v>3</v>
      </c>
      <c r="G1569" s="404">
        <v>4</v>
      </c>
      <c r="H1569" s="404">
        <v>5</v>
      </c>
      <c r="I1569" s="344">
        <v>6</v>
      </c>
      <c r="J1569" s="344">
        <v>7</v>
      </c>
      <c r="K1569" s="344">
        <v>8</v>
      </c>
    </row>
    <row r="1570" spans="1:11" x14ac:dyDescent="0.2">
      <c r="A1570" s="320" t="s">
        <v>20</v>
      </c>
      <c r="B1570" s="257"/>
      <c r="C1570" s="257">
        <v>34.9</v>
      </c>
      <c r="D1570" s="257">
        <v>18.7</v>
      </c>
      <c r="E1570" s="257">
        <v>0</v>
      </c>
      <c r="F1570" s="257">
        <v>0</v>
      </c>
      <c r="G1570" s="257">
        <v>0</v>
      </c>
      <c r="H1570" s="257">
        <v>0</v>
      </c>
      <c r="I1570" s="268">
        <v>0.6</v>
      </c>
      <c r="J1570" s="268">
        <v>0</v>
      </c>
      <c r="K1570" s="268"/>
    </row>
    <row r="1571" spans="1:11" x14ac:dyDescent="0.2">
      <c r="A1571" s="320" t="s">
        <v>21</v>
      </c>
      <c r="B1571" s="257"/>
      <c r="C1571" s="257">
        <v>-84.9</v>
      </c>
      <c r="D1571" s="257">
        <v>-83.600000000000009</v>
      </c>
      <c r="E1571" s="257">
        <v>-63.600000000000009</v>
      </c>
      <c r="F1571" s="257">
        <v>-43.600000000000009</v>
      </c>
      <c r="G1571" s="257">
        <f>G1568-G1570</f>
        <v>-23.600000000000009</v>
      </c>
      <c r="H1571" s="257">
        <f>H1568-H1570</f>
        <v>-4.8000000000000078</v>
      </c>
      <c r="I1571" s="257">
        <f>I1568-I1570</f>
        <v>13.399999999999993</v>
      </c>
      <c r="J1571" s="257">
        <f>J1568-J1570</f>
        <v>18.8</v>
      </c>
      <c r="K1571" s="268"/>
    </row>
    <row r="1572" spans="1:11" x14ac:dyDescent="0.2">
      <c r="A1572" s="260" t="s">
        <v>22</v>
      </c>
      <c r="B1572" s="506"/>
      <c r="C1572" s="292">
        <v>2016</v>
      </c>
      <c r="D1572" s="292">
        <v>2017</v>
      </c>
      <c r="E1572" s="292">
        <v>2018</v>
      </c>
      <c r="F1572" s="292">
        <v>2019</v>
      </c>
      <c r="G1572" s="292">
        <v>2020</v>
      </c>
      <c r="H1572" s="292">
        <v>2021</v>
      </c>
      <c r="I1572" s="292"/>
      <c r="J1572" s="292"/>
      <c r="K1572" s="292"/>
    </row>
    <row r="1573" spans="1:11" x14ac:dyDescent="0.2">
      <c r="A1573" s="260" t="s">
        <v>531</v>
      </c>
      <c r="B1573" s="507"/>
      <c r="C1573" s="507"/>
      <c r="D1573" s="507"/>
      <c r="E1573" s="507"/>
      <c r="F1573" s="508"/>
      <c r="G1573" s="508"/>
      <c r="H1573" s="508"/>
      <c r="I1573" s="261"/>
      <c r="J1573" s="261"/>
      <c r="K1573" s="259"/>
    </row>
    <row r="1574" spans="1:11" x14ac:dyDescent="0.2">
      <c r="A1574" s="262" t="s">
        <v>532</v>
      </c>
      <c r="B1574" s="418"/>
      <c r="C1574" s="418"/>
      <c r="D1574" s="418"/>
      <c r="E1574" s="418"/>
      <c r="F1574" s="637"/>
      <c r="G1574" s="637"/>
      <c r="H1574" s="637"/>
      <c r="I1574" s="263"/>
      <c r="J1574" s="263"/>
      <c r="K1574" s="264"/>
    </row>
    <row r="1575" spans="1:11" x14ac:dyDescent="0.2">
      <c r="A1575" s="262" t="s">
        <v>533</v>
      </c>
      <c r="B1575" s="418"/>
      <c r="C1575" s="418"/>
      <c r="D1575" s="418"/>
      <c r="E1575" s="418"/>
      <c r="F1575" s="637"/>
      <c r="G1575" s="637"/>
      <c r="H1575" s="637"/>
      <c r="I1575" s="263"/>
      <c r="J1575" s="263"/>
      <c r="K1575" s="264"/>
    </row>
    <row r="1576" spans="1:11" x14ac:dyDescent="0.2">
      <c r="A1576" s="262" t="s">
        <v>534</v>
      </c>
      <c r="B1576" s="418"/>
      <c r="C1576" s="418"/>
      <c r="D1576" s="418"/>
      <c r="E1576" s="418"/>
      <c r="F1576" s="637"/>
      <c r="G1576" s="637"/>
      <c r="H1576" s="637"/>
      <c r="I1576" s="263"/>
      <c r="J1576" s="263"/>
      <c r="K1576" s="264"/>
    </row>
    <row r="1577" spans="1:11" x14ac:dyDescent="0.2">
      <c r="A1577" s="262" t="s">
        <v>535</v>
      </c>
      <c r="B1577" s="418"/>
      <c r="C1577" s="418"/>
      <c r="D1577" s="418"/>
      <c r="E1577" s="418"/>
      <c r="F1577" s="637"/>
      <c r="G1577" s="637"/>
      <c r="H1577" s="637"/>
      <c r="I1577" s="263"/>
      <c r="J1577" s="263"/>
      <c r="K1577" s="264"/>
    </row>
    <row r="1578" spans="1:11" x14ac:dyDescent="0.2">
      <c r="A1578" s="262" t="s">
        <v>687</v>
      </c>
      <c r="B1578" s="418"/>
      <c r="C1578" s="418"/>
      <c r="D1578" s="418"/>
      <c r="E1578" s="418"/>
      <c r="F1578" s="637"/>
      <c r="G1578" s="637"/>
      <c r="H1578" s="637"/>
      <c r="I1578" s="263"/>
      <c r="J1578" s="263"/>
      <c r="K1578" s="264"/>
    </row>
    <row r="1579" spans="1:11" x14ac:dyDescent="0.2">
      <c r="A1579" s="262" t="s">
        <v>686</v>
      </c>
      <c r="B1579" s="418"/>
      <c r="C1579" s="418"/>
      <c r="D1579" s="418"/>
      <c r="E1579" s="418"/>
      <c r="F1579" s="637"/>
      <c r="G1579" s="637"/>
      <c r="H1579" s="637"/>
      <c r="I1579" s="263"/>
      <c r="J1579" s="263"/>
      <c r="K1579" s="264"/>
    </row>
    <row r="1580" spans="1:11" x14ac:dyDescent="0.2">
      <c r="A1580" s="253" t="s">
        <v>921</v>
      </c>
      <c r="B1580" s="509"/>
      <c r="C1580" s="509"/>
      <c r="D1580" s="509"/>
      <c r="E1580" s="509"/>
      <c r="F1580" s="510"/>
      <c r="G1580" s="510"/>
      <c r="H1580" s="510"/>
      <c r="I1580" s="265"/>
      <c r="J1580" s="265"/>
      <c r="K1580" s="266"/>
    </row>
    <row r="1581" spans="1:11" x14ac:dyDescent="0.2">
      <c r="A1581" s="263"/>
      <c r="B1581" s="263"/>
      <c r="C1581" s="263"/>
      <c r="D1581" s="263"/>
      <c r="E1581" s="263"/>
      <c r="F1581" s="263"/>
      <c r="G1581" s="263"/>
      <c r="H1581" s="263"/>
      <c r="I1581" s="263"/>
      <c r="J1581" s="263"/>
      <c r="K1581" s="263"/>
    </row>
    <row r="1582" spans="1:11" x14ac:dyDescent="0.2">
      <c r="A1582" s="317" t="s">
        <v>14</v>
      </c>
      <c r="B1582" s="493" t="s">
        <v>79</v>
      </c>
      <c r="C1582" s="331" t="s">
        <v>15</v>
      </c>
      <c r="D1582" s="263"/>
      <c r="E1582" s="263"/>
      <c r="F1582" s="263"/>
      <c r="G1582" s="263"/>
      <c r="H1582" s="263"/>
      <c r="I1582" s="263"/>
      <c r="J1582" s="263"/>
      <c r="K1582" s="263"/>
    </row>
    <row r="1583" spans="1:11" x14ac:dyDescent="0.2">
      <c r="A1583" s="253" t="s">
        <v>16</v>
      </c>
      <c r="B1583" s="505"/>
      <c r="C1583" s="319">
        <v>2015</v>
      </c>
      <c r="D1583" s="319">
        <v>2016</v>
      </c>
      <c r="E1583" s="319">
        <v>2017</v>
      </c>
      <c r="F1583" s="319">
        <v>2018</v>
      </c>
      <c r="G1583" s="319">
        <v>2019</v>
      </c>
      <c r="H1583" s="319">
        <v>2020</v>
      </c>
      <c r="I1583" s="254">
        <v>2021</v>
      </c>
      <c r="J1583" s="254">
        <v>2022</v>
      </c>
      <c r="K1583" s="263"/>
    </row>
    <row r="1584" spans="1:11" x14ac:dyDescent="0.2">
      <c r="A1584" s="320" t="s">
        <v>17</v>
      </c>
      <c r="B1584" s="401"/>
      <c r="C1584" s="401">
        <v>15</v>
      </c>
      <c r="D1584" s="401">
        <v>15</v>
      </c>
      <c r="E1584" s="401">
        <v>15</v>
      </c>
      <c r="F1584" s="401">
        <v>15</v>
      </c>
      <c r="G1584" s="401">
        <v>15</v>
      </c>
      <c r="H1584" s="409">
        <v>15</v>
      </c>
      <c r="I1584" s="257">
        <v>15</v>
      </c>
      <c r="J1584" s="257">
        <v>15</v>
      </c>
      <c r="K1584" s="263"/>
    </row>
    <row r="1585" spans="1:11" x14ac:dyDescent="0.2">
      <c r="A1585" s="320" t="s">
        <v>18</v>
      </c>
      <c r="B1585" s="401"/>
      <c r="C1585" s="401"/>
      <c r="D1585" s="401">
        <v>-59.3</v>
      </c>
      <c r="E1585" s="401">
        <v>-64.199999999999989</v>
      </c>
      <c r="F1585" s="401">
        <v>-49.199999999999989</v>
      </c>
      <c r="G1585" s="401">
        <v>-34.199999999999989</v>
      </c>
      <c r="H1585" s="401">
        <f>G1588+H1584</f>
        <v>-19.199999999999989</v>
      </c>
      <c r="I1585" s="257">
        <f>I1584+H1588</f>
        <v>-4.1999999999999886</v>
      </c>
      <c r="J1585" s="257">
        <f>J1584+I1588</f>
        <v>10.440000000000012</v>
      </c>
      <c r="K1585" s="263"/>
    </row>
    <row r="1586" spans="1:11" x14ac:dyDescent="0.2">
      <c r="A1586" s="320" t="s">
        <v>19</v>
      </c>
      <c r="B1586" s="403"/>
      <c r="C1586" s="403"/>
      <c r="D1586" s="404">
        <v>1</v>
      </c>
      <c r="E1586" s="404">
        <v>2</v>
      </c>
      <c r="F1586" s="404">
        <v>3</v>
      </c>
      <c r="G1586" s="404">
        <v>4</v>
      </c>
      <c r="H1586" s="404">
        <v>5</v>
      </c>
      <c r="I1586" s="344">
        <v>6</v>
      </c>
      <c r="J1586" s="344">
        <v>7</v>
      </c>
      <c r="K1586" s="263"/>
    </row>
    <row r="1587" spans="1:11" x14ac:dyDescent="0.2">
      <c r="A1587" s="320" t="s">
        <v>20</v>
      </c>
      <c r="B1587" s="257"/>
      <c r="C1587" s="257">
        <v>31.9</v>
      </c>
      <c r="D1587" s="257">
        <v>19.899999999999999</v>
      </c>
      <c r="E1587" s="257">
        <v>0</v>
      </c>
      <c r="F1587" s="257">
        <v>0</v>
      </c>
      <c r="G1587" s="257">
        <v>0</v>
      </c>
      <c r="H1587" s="257">
        <v>0</v>
      </c>
      <c r="I1587" s="257">
        <v>0.36</v>
      </c>
      <c r="J1587" s="257">
        <v>0</v>
      </c>
      <c r="K1587" s="263"/>
    </row>
    <row r="1588" spans="1:11" x14ac:dyDescent="0.2">
      <c r="A1588" s="320" t="s">
        <v>21</v>
      </c>
      <c r="B1588" s="257"/>
      <c r="C1588" s="257">
        <v>-74.3</v>
      </c>
      <c r="D1588" s="257">
        <v>-79.199999999999989</v>
      </c>
      <c r="E1588" s="257">
        <v>-64.199999999999989</v>
      </c>
      <c r="F1588" s="257">
        <v>-49.199999999999989</v>
      </c>
      <c r="G1588" s="257">
        <f>G1585-G1587</f>
        <v>-34.199999999999989</v>
      </c>
      <c r="H1588" s="257">
        <f>H1585-H1587</f>
        <v>-19.199999999999989</v>
      </c>
      <c r="I1588" s="257">
        <f>I1585-I1587</f>
        <v>-4.559999999999989</v>
      </c>
      <c r="J1588" s="257">
        <v>10.44</v>
      </c>
      <c r="K1588" s="263"/>
    </row>
    <row r="1589" spans="1:11" x14ac:dyDescent="0.2">
      <c r="A1589" s="260" t="s">
        <v>22</v>
      </c>
      <c r="B1589" s="506"/>
      <c r="C1589" s="292">
        <v>2016</v>
      </c>
      <c r="D1589" s="292">
        <v>2017</v>
      </c>
      <c r="E1589" s="292">
        <v>2018</v>
      </c>
      <c r="F1589" s="292">
        <v>2019</v>
      </c>
      <c r="G1589" s="292">
        <v>2020</v>
      </c>
      <c r="H1589" s="292">
        <v>2021</v>
      </c>
      <c r="I1589" s="292">
        <v>2022</v>
      </c>
      <c r="J1589" s="292"/>
      <c r="K1589" s="263"/>
    </row>
    <row r="1590" spans="1:11" x14ac:dyDescent="0.2">
      <c r="A1590" s="260" t="s">
        <v>531</v>
      </c>
      <c r="B1590" s="507"/>
      <c r="C1590" s="507"/>
      <c r="D1590" s="337"/>
      <c r="E1590" s="337"/>
      <c r="F1590" s="337"/>
      <c r="G1590" s="337"/>
      <c r="H1590" s="337"/>
      <c r="I1590" s="337"/>
      <c r="J1590" s="293"/>
      <c r="K1590" s="263"/>
    </row>
    <row r="1591" spans="1:11" x14ac:dyDescent="0.2">
      <c r="A1591" s="262" t="s">
        <v>532</v>
      </c>
      <c r="B1591" s="418"/>
      <c r="C1591" s="418"/>
      <c r="D1591" s="496"/>
      <c r="E1591" s="496"/>
      <c r="F1591" s="496"/>
      <c r="G1591" s="496"/>
      <c r="H1591" s="496"/>
      <c r="I1591" s="496"/>
      <c r="J1591" s="497"/>
      <c r="K1591" s="263"/>
    </row>
    <row r="1592" spans="1:11" x14ac:dyDescent="0.2">
      <c r="A1592" s="262" t="s">
        <v>533</v>
      </c>
      <c r="B1592" s="418"/>
      <c r="C1592" s="418"/>
      <c r="D1592" s="496"/>
      <c r="E1592" s="496"/>
      <c r="F1592" s="496"/>
      <c r="G1592" s="496"/>
      <c r="H1592" s="496"/>
      <c r="I1592" s="496"/>
      <c r="J1592" s="497"/>
      <c r="K1592" s="263"/>
    </row>
    <row r="1593" spans="1:11" x14ac:dyDescent="0.2">
      <c r="A1593" s="262" t="s">
        <v>534</v>
      </c>
      <c r="B1593" s="418"/>
      <c r="C1593" s="418"/>
      <c r="D1593" s="496"/>
      <c r="E1593" s="496"/>
      <c r="F1593" s="496"/>
      <c r="G1593" s="496"/>
      <c r="H1593" s="496"/>
      <c r="I1593" s="496"/>
      <c r="J1593" s="497"/>
      <c r="K1593" s="263"/>
    </row>
    <row r="1594" spans="1:11" x14ac:dyDescent="0.2">
      <c r="A1594" s="262" t="s">
        <v>536</v>
      </c>
      <c r="B1594" s="418"/>
      <c r="C1594" s="418"/>
      <c r="D1594" s="496"/>
      <c r="E1594" s="496"/>
      <c r="F1594" s="496"/>
      <c r="G1594" s="496"/>
      <c r="H1594" s="496"/>
      <c r="I1594" s="496"/>
      <c r="J1594" s="497"/>
      <c r="K1594" s="263"/>
    </row>
    <row r="1595" spans="1:11" x14ac:dyDescent="0.2">
      <c r="A1595" s="20" t="s">
        <v>537</v>
      </c>
      <c r="B1595" s="18"/>
      <c r="C1595" s="18"/>
      <c r="D1595" s="113"/>
      <c r="E1595" s="113"/>
      <c r="F1595" s="113"/>
      <c r="G1595" s="113"/>
      <c r="H1595" s="113"/>
      <c r="I1595" s="113"/>
      <c r="J1595" s="234"/>
    </row>
    <row r="1596" spans="1:11" x14ac:dyDescent="0.2">
      <c r="A1596" s="32" t="s">
        <v>688</v>
      </c>
      <c r="B1596" s="225"/>
      <c r="C1596" s="225"/>
      <c r="D1596" s="114"/>
      <c r="E1596" s="114"/>
      <c r="F1596" s="114"/>
      <c r="G1596" s="114"/>
      <c r="H1596" s="114"/>
      <c r="I1596" s="114"/>
      <c r="J1596" s="235"/>
    </row>
    <row r="1599" spans="1:11" x14ac:dyDescent="0.2">
      <c r="A1599" s="125" t="s">
        <v>11</v>
      </c>
      <c r="B1599" s="680" t="s">
        <v>38</v>
      </c>
    </row>
    <row r="1600" spans="1:11" x14ac:dyDescent="0.2">
      <c r="A1600" s="317" t="s">
        <v>1</v>
      </c>
      <c r="B1600" s="493" t="s">
        <v>661</v>
      </c>
      <c r="C1600" s="319" t="s">
        <v>2</v>
      </c>
      <c r="D1600" s="263"/>
      <c r="E1600" s="263"/>
      <c r="F1600" s="263"/>
      <c r="G1600" s="263"/>
      <c r="H1600" s="263"/>
      <c r="I1600" s="263"/>
      <c r="J1600" s="263"/>
    </row>
    <row r="1601" spans="1:10" x14ac:dyDescent="0.2">
      <c r="A1601" s="268" t="s">
        <v>3</v>
      </c>
      <c r="B1601" s="511">
        <v>2016</v>
      </c>
      <c r="C1601" s="512">
        <v>2017</v>
      </c>
      <c r="D1601" s="512">
        <v>2018</v>
      </c>
      <c r="E1601" s="512">
        <v>2019</v>
      </c>
      <c r="F1601" s="254">
        <v>2020</v>
      </c>
      <c r="G1601" s="254">
        <v>2021</v>
      </c>
      <c r="H1601" s="254">
        <v>2022</v>
      </c>
      <c r="I1601" s="254">
        <v>2023</v>
      </c>
      <c r="J1601" s="263"/>
    </row>
    <row r="1602" spans="1:10" x14ac:dyDescent="0.2">
      <c r="A1602" s="320" t="s">
        <v>4</v>
      </c>
      <c r="B1602" s="513">
        <v>1491.71</v>
      </c>
      <c r="C1602" s="513">
        <v>1791</v>
      </c>
      <c r="D1602" s="341">
        <v>2115</v>
      </c>
      <c r="E1602" s="341">
        <v>2400</v>
      </c>
      <c r="F1602" s="341">
        <v>2655</v>
      </c>
      <c r="G1602" s="341">
        <v>2655</v>
      </c>
      <c r="H1602" s="341">
        <v>2655</v>
      </c>
      <c r="I1602" s="341">
        <v>3000</v>
      </c>
      <c r="J1602" s="263"/>
    </row>
    <row r="1603" spans="1:10" x14ac:dyDescent="0.2">
      <c r="A1603" s="320" t="s">
        <v>5</v>
      </c>
      <c r="B1603" s="513">
        <v>1491.71</v>
      </c>
      <c r="C1603" s="513">
        <v>1791</v>
      </c>
      <c r="D1603" s="341">
        <v>2115</v>
      </c>
      <c r="E1603" s="341">
        <v>2400</v>
      </c>
      <c r="F1603" s="341">
        <v>2675.4</v>
      </c>
      <c r="G1603" s="341">
        <f>G1602+79.2+21.55</f>
        <v>2755.75</v>
      </c>
      <c r="H1603" s="341">
        <v>2679.72</v>
      </c>
      <c r="I1603" s="341">
        <v>3020</v>
      </c>
      <c r="J1603" s="263"/>
    </row>
    <row r="1604" spans="1:10" x14ac:dyDescent="0.2">
      <c r="A1604" s="320" t="s">
        <v>6</v>
      </c>
      <c r="B1604" s="257"/>
      <c r="C1604" s="340"/>
      <c r="D1604" s="257"/>
      <c r="E1604" s="341"/>
      <c r="F1604" s="341"/>
      <c r="G1604" s="341"/>
      <c r="H1604" s="341"/>
      <c r="I1604" s="341"/>
      <c r="J1604" s="263"/>
    </row>
    <row r="1605" spans="1:10" x14ac:dyDescent="0.2">
      <c r="A1605" s="320" t="s">
        <v>7</v>
      </c>
      <c r="B1605" s="341">
        <v>1490.58</v>
      </c>
      <c r="C1605" s="341">
        <v>1789.538</v>
      </c>
      <c r="D1605" s="341">
        <v>2102.0929999999998</v>
      </c>
      <c r="E1605" s="341">
        <v>2379.1309999999999</v>
      </c>
      <c r="F1605" s="341">
        <v>2653.377</v>
      </c>
      <c r="G1605" s="341">
        <v>2729.7379999999998</v>
      </c>
      <c r="H1605" s="341">
        <v>2652.7869999999998</v>
      </c>
      <c r="I1605" s="341"/>
      <c r="J1605" s="263"/>
    </row>
    <row r="1606" spans="1:10" x14ac:dyDescent="0.2">
      <c r="A1606" s="320" t="s">
        <v>8</v>
      </c>
      <c r="B1606" s="257">
        <v>1.1300000000001091</v>
      </c>
      <c r="C1606" s="257">
        <v>1.4619999999999891</v>
      </c>
      <c r="D1606" s="257">
        <v>12.907000000000153</v>
      </c>
      <c r="E1606" s="257">
        <f>E1603-E1605</f>
        <v>20.869000000000142</v>
      </c>
      <c r="F1606" s="341">
        <f>F1603-F1605</f>
        <v>22.023000000000138</v>
      </c>
      <c r="G1606" s="341">
        <f>G1603-G1605</f>
        <v>26.012000000000171</v>
      </c>
      <c r="H1606" s="341">
        <f>H1603-H1605</f>
        <v>26.932999999999993</v>
      </c>
      <c r="I1606" s="341"/>
      <c r="J1606" s="263"/>
    </row>
    <row r="1607" spans="1:10" x14ac:dyDescent="0.2">
      <c r="A1607" s="320" t="s">
        <v>9</v>
      </c>
      <c r="B1607" s="268">
        <v>2017</v>
      </c>
      <c r="C1607" s="268">
        <v>2018</v>
      </c>
      <c r="D1607" s="268">
        <v>2019</v>
      </c>
      <c r="E1607" s="268">
        <v>2020</v>
      </c>
      <c r="F1607" s="268">
        <v>2021</v>
      </c>
      <c r="G1607" s="268">
        <v>2022</v>
      </c>
      <c r="H1607" s="275">
        <v>2023</v>
      </c>
      <c r="I1607" s="275">
        <v>2024</v>
      </c>
      <c r="J1607" s="263"/>
    </row>
    <row r="1608" spans="1:10" x14ac:dyDescent="0.2">
      <c r="A1608" s="260" t="s">
        <v>10</v>
      </c>
      <c r="B1608" s="261"/>
      <c r="C1608" s="261"/>
      <c r="D1608" s="261"/>
      <c r="E1608" s="261"/>
      <c r="F1608" s="259"/>
      <c r="G1608" s="259"/>
      <c r="H1608" s="259"/>
      <c r="I1608" s="259"/>
      <c r="J1608" s="263"/>
    </row>
    <row r="1609" spans="1:10" x14ac:dyDescent="0.2">
      <c r="A1609" s="260" t="s">
        <v>538</v>
      </c>
      <c r="B1609" s="261"/>
      <c r="C1609" s="261"/>
      <c r="D1609" s="261"/>
      <c r="E1609" s="261"/>
      <c r="F1609" s="261"/>
      <c r="G1609" s="261"/>
      <c r="H1609" s="261"/>
      <c r="I1609" s="259"/>
      <c r="J1609" s="263"/>
    </row>
    <row r="1610" spans="1:10" x14ac:dyDescent="0.2">
      <c r="A1610" s="262" t="s">
        <v>251</v>
      </c>
      <c r="B1610" s="263"/>
      <c r="C1610" s="263"/>
      <c r="D1610" s="263"/>
      <c r="E1610" s="263"/>
      <c r="F1610" s="263"/>
      <c r="G1610" s="263"/>
      <c r="H1610" s="263"/>
      <c r="I1610" s="264"/>
      <c r="J1610" s="263"/>
    </row>
    <row r="1611" spans="1:10" x14ac:dyDescent="0.2">
      <c r="A1611" s="707" t="s">
        <v>606</v>
      </c>
      <c r="B1611" s="708"/>
      <c r="C1611" s="708"/>
      <c r="D1611" s="708"/>
      <c r="E1611" s="708"/>
      <c r="F1611" s="708"/>
      <c r="G1611" s="708"/>
      <c r="H1611" s="263"/>
      <c r="I1611" s="264"/>
      <c r="J1611" s="263"/>
    </row>
    <row r="1612" spans="1:10" x14ac:dyDescent="0.2">
      <c r="A1612" s="330" t="s">
        <v>607</v>
      </c>
      <c r="B1612" s="581"/>
      <c r="C1612" s="581"/>
      <c r="D1612" s="581"/>
      <c r="E1612" s="581"/>
      <c r="F1612" s="581"/>
      <c r="G1612" s="581"/>
      <c r="H1612" s="263"/>
      <c r="I1612" s="264"/>
      <c r="J1612" s="263"/>
    </row>
    <row r="1613" spans="1:10" x14ac:dyDescent="0.2">
      <c r="A1613" s="276" t="s">
        <v>922</v>
      </c>
      <c r="B1613" s="338"/>
      <c r="C1613" s="338"/>
      <c r="D1613" s="338"/>
      <c r="E1613" s="338"/>
      <c r="F1613" s="338"/>
      <c r="G1613" s="338"/>
      <c r="H1613" s="265"/>
      <c r="I1613" s="266"/>
      <c r="J1613" s="263"/>
    </row>
    <row r="1614" spans="1:10" x14ac:dyDescent="0.2">
      <c r="A1614" s="263"/>
      <c r="B1614" s="263"/>
      <c r="C1614" s="263"/>
      <c r="D1614" s="263"/>
      <c r="E1614" s="263"/>
      <c r="F1614" s="263"/>
      <c r="G1614" s="263"/>
      <c r="H1614" s="263"/>
      <c r="I1614" s="263"/>
      <c r="J1614" s="263"/>
    </row>
    <row r="1615" spans="1:10" x14ac:dyDescent="0.2">
      <c r="A1615" s="263"/>
      <c r="B1615" s="263"/>
      <c r="C1615" s="263"/>
      <c r="D1615" s="263"/>
      <c r="E1615" s="263"/>
      <c r="F1615" s="263"/>
      <c r="G1615" s="263"/>
      <c r="H1615" s="263"/>
      <c r="I1615" s="263"/>
      <c r="J1615" s="263"/>
    </row>
    <row r="1616" spans="1:10" x14ac:dyDescent="0.2">
      <c r="A1616" s="646" t="s">
        <v>12</v>
      </c>
      <c r="B1616" s="685" t="s">
        <v>941</v>
      </c>
      <c r="C1616" s="237"/>
      <c r="D1616" s="647"/>
      <c r="E1616" s="515"/>
      <c r="F1616" s="515"/>
      <c r="G1616" s="515"/>
      <c r="H1616" s="515"/>
      <c r="I1616" s="263"/>
      <c r="J1616" s="263"/>
    </row>
    <row r="1617" spans="1:10" x14ac:dyDescent="0.2">
      <c r="A1617" s="648" t="s">
        <v>14</v>
      </c>
      <c r="B1617" s="649" t="s">
        <v>661</v>
      </c>
      <c r="C1617" s="650" t="s">
        <v>15</v>
      </c>
      <c r="D1617" s="647"/>
      <c r="E1617" s="515"/>
      <c r="F1617" s="515"/>
      <c r="G1617" s="515"/>
      <c r="H1617" s="515"/>
      <c r="I1617" s="263"/>
      <c r="J1617" s="263"/>
    </row>
    <row r="1618" spans="1:10" x14ac:dyDescent="0.2">
      <c r="A1618" s="651" t="s">
        <v>16</v>
      </c>
      <c r="B1618" s="652"/>
      <c r="C1618" s="653">
        <v>2022</v>
      </c>
      <c r="D1618" s="654">
        <v>2023</v>
      </c>
      <c r="E1618" s="263"/>
      <c r="F1618" s="453"/>
      <c r="G1618" s="263"/>
      <c r="H1618" s="263"/>
    </row>
    <row r="1619" spans="1:10" x14ac:dyDescent="0.2">
      <c r="A1619" s="651" t="s">
        <v>17</v>
      </c>
      <c r="B1619" s="652"/>
      <c r="C1619" s="645">
        <v>2305</v>
      </c>
      <c r="D1619" s="645">
        <v>2600</v>
      </c>
      <c r="E1619" s="263"/>
      <c r="F1619" s="263"/>
      <c r="G1619" s="263"/>
      <c r="H1619" s="263"/>
    </row>
    <row r="1620" spans="1:10" x14ac:dyDescent="0.2">
      <c r="A1620" s="651" t="s">
        <v>18</v>
      </c>
      <c r="B1620" s="652"/>
      <c r="C1620" s="660"/>
      <c r="D1620" s="645">
        <f>D1619+C1623+440.79+67.08+128</f>
        <v>3248.88</v>
      </c>
      <c r="E1620" s="263"/>
      <c r="F1620" s="263"/>
      <c r="G1620" s="263"/>
      <c r="H1620" s="263"/>
    </row>
    <row r="1621" spans="1:10" x14ac:dyDescent="0.2">
      <c r="A1621" s="651" t="s">
        <v>19</v>
      </c>
      <c r="B1621" s="652"/>
      <c r="C1621" s="238"/>
      <c r="D1621" s="661" t="str">
        <f>"(1)"</f>
        <v>(1)</v>
      </c>
      <c r="E1621" s="263"/>
      <c r="F1621" s="263"/>
      <c r="G1621" s="263"/>
      <c r="H1621" s="263"/>
    </row>
    <row r="1622" spans="1:10" x14ac:dyDescent="0.2">
      <c r="A1622" s="651" t="s">
        <v>20</v>
      </c>
      <c r="B1622" s="652"/>
      <c r="C1622" s="645">
        <v>2291.9899999999998</v>
      </c>
      <c r="D1622" s="655"/>
      <c r="E1622" s="263"/>
      <c r="F1622" s="263"/>
      <c r="G1622" s="263"/>
      <c r="H1622" s="263"/>
    </row>
    <row r="1623" spans="1:10" x14ac:dyDescent="0.2">
      <c r="A1623" s="651" t="s">
        <v>21</v>
      </c>
      <c r="B1623" s="652"/>
      <c r="C1623" s="645">
        <f>C1619-C1622</f>
        <v>13.010000000000218</v>
      </c>
      <c r="D1623" s="645"/>
      <c r="E1623" s="263"/>
      <c r="F1623" s="263"/>
      <c r="G1623" s="263"/>
      <c r="H1623" s="263"/>
    </row>
    <row r="1624" spans="1:10" x14ac:dyDescent="0.2">
      <c r="A1624" s="656" t="s">
        <v>22</v>
      </c>
      <c r="B1624" s="657"/>
      <c r="C1624" s="658">
        <v>2023</v>
      </c>
      <c r="D1624" s="659">
        <v>2023</v>
      </c>
      <c r="E1624" s="263"/>
      <c r="F1624" s="263"/>
      <c r="G1624" s="263"/>
      <c r="H1624" s="263"/>
    </row>
    <row r="1625" spans="1:10" x14ac:dyDescent="0.2">
      <c r="A1625" s="662" t="s">
        <v>942</v>
      </c>
      <c r="B1625" s="663"/>
      <c r="C1625" s="664"/>
      <c r="D1625" s="665"/>
      <c r="E1625" s="263"/>
      <c r="F1625" s="263"/>
      <c r="G1625" s="263"/>
      <c r="H1625" s="263"/>
    </row>
    <row r="1626" spans="1:10" x14ac:dyDescent="0.2">
      <c r="A1626" s="515"/>
      <c r="B1626" s="515"/>
      <c r="C1626" s="515"/>
      <c r="D1626" s="515"/>
      <c r="E1626" s="515"/>
      <c r="F1626" s="263"/>
      <c r="G1626" s="263"/>
      <c r="H1626" s="263"/>
      <c r="I1626" s="263"/>
      <c r="J1626" s="263"/>
    </row>
    <row r="1627" spans="1:10" x14ac:dyDescent="0.2">
      <c r="A1627" s="648" t="s">
        <v>14</v>
      </c>
      <c r="B1627" s="649" t="s">
        <v>943</v>
      </c>
      <c r="C1627" s="650" t="s">
        <v>15</v>
      </c>
      <c r="D1627" s="647"/>
      <c r="E1627" s="515"/>
      <c r="F1627" s="515"/>
      <c r="G1627" s="515"/>
      <c r="H1627" s="515"/>
      <c r="I1627" s="263"/>
      <c r="J1627" s="263"/>
    </row>
    <row r="1628" spans="1:10" x14ac:dyDescent="0.2">
      <c r="A1628" s="651" t="s">
        <v>16</v>
      </c>
      <c r="B1628" s="652"/>
      <c r="C1628" s="653">
        <v>2023</v>
      </c>
      <c r="D1628" s="654">
        <v>2024</v>
      </c>
      <c r="E1628" s="263"/>
      <c r="F1628" s="263"/>
      <c r="G1628" s="263"/>
      <c r="H1628" s="263"/>
    </row>
    <row r="1629" spans="1:10" x14ac:dyDescent="0.2">
      <c r="A1629" s="651" t="s">
        <v>17</v>
      </c>
      <c r="B1629" s="652"/>
      <c r="C1629" s="645">
        <v>225</v>
      </c>
      <c r="D1629" s="645">
        <v>225</v>
      </c>
      <c r="E1629" s="263"/>
      <c r="F1629" s="263"/>
      <c r="G1629" s="263"/>
      <c r="H1629" s="263"/>
    </row>
    <row r="1630" spans="1:10" x14ac:dyDescent="0.2">
      <c r="A1630" s="651" t="s">
        <v>18</v>
      </c>
      <c r="B1630" s="652"/>
      <c r="C1630" s="645">
        <v>150</v>
      </c>
      <c r="D1630" s="645">
        <v>150</v>
      </c>
      <c r="E1630" s="263"/>
      <c r="F1630" s="263"/>
      <c r="G1630" s="263"/>
      <c r="H1630" s="263"/>
    </row>
    <row r="1631" spans="1:10" x14ac:dyDescent="0.2">
      <c r="A1631" s="651" t="s">
        <v>19</v>
      </c>
      <c r="B1631" s="652"/>
      <c r="C1631" s="666" t="s">
        <v>944</v>
      </c>
      <c r="D1631" s="666" t="s">
        <v>944</v>
      </c>
      <c r="E1631" s="263"/>
      <c r="F1631" s="263"/>
      <c r="G1631" s="263"/>
      <c r="H1631" s="263"/>
    </row>
    <row r="1632" spans="1:10" x14ac:dyDescent="0.2">
      <c r="A1632" s="651" t="s">
        <v>20</v>
      </c>
      <c r="B1632" s="652"/>
      <c r="C1632" s="645"/>
      <c r="D1632" s="655"/>
      <c r="E1632" s="263"/>
      <c r="F1632" s="263"/>
      <c r="G1632" s="263"/>
      <c r="H1632" s="263"/>
    </row>
    <row r="1633" spans="1:10" x14ac:dyDescent="0.2">
      <c r="A1633" s="651" t="s">
        <v>21</v>
      </c>
      <c r="B1633" s="652"/>
      <c r="C1633" s="645"/>
      <c r="D1633" s="645"/>
      <c r="E1633" s="263"/>
      <c r="F1633" s="263"/>
      <c r="G1633" s="263"/>
      <c r="H1633" s="263"/>
    </row>
    <row r="1634" spans="1:10" x14ac:dyDescent="0.2">
      <c r="A1634" s="656" t="s">
        <v>22</v>
      </c>
      <c r="B1634" s="657"/>
      <c r="C1634" s="658"/>
      <c r="D1634" s="659"/>
      <c r="E1634" s="263"/>
      <c r="F1634" s="263"/>
      <c r="G1634" s="263"/>
      <c r="H1634" s="263"/>
    </row>
    <row r="1635" spans="1:10" x14ac:dyDescent="0.2">
      <c r="A1635" s="662" t="s">
        <v>945</v>
      </c>
      <c r="B1635" s="663"/>
      <c r="C1635" s="664"/>
      <c r="D1635" s="665"/>
      <c r="E1635" s="263"/>
      <c r="F1635" s="263"/>
      <c r="G1635" s="263"/>
      <c r="H1635" s="263"/>
    </row>
    <row r="1636" spans="1:10" x14ac:dyDescent="0.2">
      <c r="A1636" s="515"/>
      <c r="B1636" s="515"/>
      <c r="C1636" s="515"/>
      <c r="D1636" s="515"/>
      <c r="E1636" s="515"/>
      <c r="F1636" s="263"/>
      <c r="G1636" s="263"/>
      <c r="H1636" s="263"/>
      <c r="I1636" s="263"/>
      <c r="J1636" s="263"/>
    </row>
    <row r="1637" spans="1:10" x14ac:dyDescent="0.2">
      <c r="A1637" s="515"/>
      <c r="B1637" s="515"/>
      <c r="C1637" s="515"/>
      <c r="D1637" s="515"/>
      <c r="E1637" s="515"/>
      <c r="F1637" s="263"/>
      <c r="G1637" s="263"/>
      <c r="H1637" s="263"/>
      <c r="I1637" s="263"/>
      <c r="J1637" s="263"/>
    </row>
    <row r="1638" spans="1:10" x14ac:dyDescent="0.2">
      <c r="A1638" s="514" t="s">
        <v>12</v>
      </c>
      <c r="B1638" s="686" t="s">
        <v>594</v>
      </c>
      <c r="C1638" s="263"/>
      <c r="D1638" s="515"/>
      <c r="E1638" s="515"/>
      <c r="F1638" s="515"/>
      <c r="G1638" s="515"/>
      <c r="H1638" s="515"/>
      <c r="I1638" s="263"/>
      <c r="J1638" s="263"/>
    </row>
    <row r="1639" spans="1:10" x14ac:dyDescent="0.2">
      <c r="A1639" s="516" t="s">
        <v>14</v>
      </c>
      <c r="B1639" s="517" t="s">
        <v>638</v>
      </c>
      <c r="C1639" s="518" t="s">
        <v>15</v>
      </c>
      <c r="D1639" s="515"/>
      <c r="E1639" s="515"/>
      <c r="F1639" s="515"/>
      <c r="G1639" s="515"/>
      <c r="H1639" s="515"/>
      <c r="I1639" s="263"/>
      <c r="J1639" s="263"/>
    </row>
    <row r="1640" spans="1:10" x14ac:dyDescent="0.2">
      <c r="A1640" s="519" t="s">
        <v>16</v>
      </c>
      <c r="B1640" s="520"/>
      <c r="C1640" s="521">
        <v>2021</v>
      </c>
      <c r="D1640" s="522">
        <v>2022</v>
      </c>
      <c r="E1640" s="523">
        <v>2023</v>
      </c>
      <c r="F1640" s="523">
        <v>2024</v>
      </c>
      <c r="G1640" s="263"/>
      <c r="H1640" s="263"/>
      <c r="I1640" s="263"/>
      <c r="J1640" s="263"/>
    </row>
    <row r="1641" spans="1:10" x14ac:dyDescent="0.2">
      <c r="A1641" s="519" t="s">
        <v>17</v>
      </c>
      <c r="B1641" s="520"/>
      <c r="C1641" s="524">
        <f>434.04</f>
        <v>434.04</v>
      </c>
      <c r="D1641" s="524">
        <v>442.25</v>
      </c>
      <c r="E1641" s="524">
        <v>442.25</v>
      </c>
      <c r="F1641" s="524">
        <v>442.25</v>
      </c>
      <c r="G1641" s="263"/>
      <c r="H1641" s="263"/>
      <c r="I1641" s="263"/>
      <c r="J1641" s="263"/>
    </row>
    <row r="1642" spans="1:10" x14ac:dyDescent="0.2">
      <c r="A1642" s="519" t="s">
        <v>18</v>
      </c>
      <c r="B1642" s="520"/>
      <c r="C1642" s="524">
        <f>C1641+53.75</f>
        <v>487.79</v>
      </c>
      <c r="D1642" s="524">
        <f>D1641+53.75</f>
        <v>496</v>
      </c>
      <c r="E1642" s="525">
        <f>E1641+0.25*C1641</f>
        <v>550.76</v>
      </c>
      <c r="F1642" s="525">
        <f>F1641+0.25*D1641</f>
        <v>552.8125</v>
      </c>
      <c r="G1642" s="453"/>
      <c r="H1642" s="263"/>
      <c r="I1642" s="263"/>
      <c r="J1642" s="263"/>
    </row>
    <row r="1643" spans="1:10" x14ac:dyDescent="0.2">
      <c r="A1643" s="519" t="s">
        <v>19</v>
      </c>
      <c r="B1643" s="520"/>
      <c r="C1643" s="525" t="s">
        <v>710</v>
      </c>
      <c r="D1643" s="525" t="s">
        <v>712</v>
      </c>
      <c r="E1643" s="525" t="s">
        <v>711</v>
      </c>
      <c r="F1643" s="525" t="s">
        <v>926</v>
      </c>
      <c r="G1643" s="263"/>
      <c r="H1643" s="263"/>
      <c r="I1643" s="263"/>
      <c r="J1643" s="263"/>
    </row>
    <row r="1644" spans="1:10" x14ac:dyDescent="0.2">
      <c r="A1644" s="519" t="s">
        <v>20</v>
      </c>
      <c r="B1644" s="520"/>
      <c r="C1644" s="524">
        <v>169.39099999999999</v>
      </c>
      <c r="D1644" s="526">
        <v>120.89</v>
      </c>
      <c r="E1644" s="525"/>
      <c r="F1644" s="525"/>
      <c r="G1644" s="263"/>
      <c r="H1644" s="263"/>
      <c r="I1644" s="263"/>
      <c r="J1644" s="263"/>
    </row>
    <row r="1645" spans="1:10" x14ac:dyDescent="0.2">
      <c r="A1645" s="519" t="s">
        <v>21</v>
      </c>
      <c r="B1645" s="520"/>
      <c r="C1645" s="524">
        <f>C1642-C1644</f>
        <v>318.399</v>
      </c>
      <c r="D1645" s="524">
        <f>D1642-D1644</f>
        <v>375.11</v>
      </c>
      <c r="E1645" s="525"/>
      <c r="F1645" s="525"/>
      <c r="G1645" s="263"/>
      <c r="H1645" s="263"/>
      <c r="I1645" s="263"/>
      <c r="J1645" s="263"/>
    </row>
    <row r="1646" spans="1:10" x14ac:dyDescent="0.2">
      <c r="A1646" s="527" t="s">
        <v>22</v>
      </c>
      <c r="B1646" s="528"/>
      <c r="C1646" s="529">
        <v>2023</v>
      </c>
      <c r="D1646" s="530">
        <v>2024</v>
      </c>
      <c r="E1646" s="529">
        <v>2025</v>
      </c>
      <c r="F1646" s="529">
        <v>2026</v>
      </c>
      <c r="G1646" s="263"/>
      <c r="H1646" s="263"/>
      <c r="I1646" s="263"/>
      <c r="J1646" s="263"/>
    </row>
    <row r="1647" spans="1:10" x14ac:dyDescent="0.2">
      <c r="A1647" s="540" t="s">
        <v>717</v>
      </c>
      <c r="B1647" s="638"/>
      <c r="C1647" s="638"/>
      <c r="D1647" s="638"/>
      <c r="E1647" s="638"/>
      <c r="F1647" s="259"/>
      <c r="G1647" s="263"/>
      <c r="H1647" s="263"/>
      <c r="I1647" s="263"/>
      <c r="J1647" s="263"/>
    </row>
    <row r="1648" spans="1:10" ht="12.75" customHeight="1" x14ac:dyDescent="0.2">
      <c r="A1648" s="543" t="s">
        <v>726</v>
      </c>
      <c r="B1648" s="641"/>
      <c r="C1648" s="641"/>
      <c r="D1648" s="641"/>
      <c r="E1648" s="641"/>
      <c r="F1648" s="264"/>
      <c r="G1648" s="263"/>
      <c r="H1648" s="263"/>
      <c r="I1648" s="263"/>
      <c r="J1648" s="263"/>
    </row>
    <row r="1649" spans="1:10" x14ac:dyDescent="0.2">
      <c r="A1649" s="640" t="s">
        <v>727</v>
      </c>
      <c r="B1649" s="531"/>
      <c r="C1649" s="531"/>
      <c r="D1649" s="531"/>
      <c r="E1649" s="531"/>
      <c r="F1649" s="264"/>
      <c r="G1649" s="263"/>
      <c r="H1649" s="263"/>
      <c r="I1649" s="263"/>
      <c r="J1649" s="263"/>
    </row>
    <row r="1650" spans="1:10" x14ac:dyDescent="0.2">
      <c r="A1650" s="545" t="s">
        <v>925</v>
      </c>
      <c r="B1650" s="639"/>
      <c r="C1650" s="639"/>
      <c r="D1650" s="639"/>
      <c r="E1650" s="639"/>
      <c r="F1650" s="266"/>
      <c r="G1650" s="263"/>
      <c r="H1650" s="263"/>
      <c r="I1650" s="263"/>
      <c r="J1650" s="263"/>
    </row>
    <row r="1651" spans="1:10" x14ac:dyDescent="0.2">
      <c r="A1651" s="531"/>
      <c r="B1651" s="531"/>
      <c r="C1651" s="532"/>
      <c r="D1651" s="531"/>
      <c r="E1651" s="531"/>
      <c r="F1651" s="263"/>
      <c r="G1651" s="263"/>
      <c r="H1651" s="263"/>
      <c r="I1651" s="263"/>
      <c r="J1651" s="263"/>
    </row>
    <row r="1652" spans="1:10" x14ac:dyDescent="0.2">
      <c r="A1652" s="516" t="s">
        <v>14</v>
      </c>
      <c r="B1652" s="517" t="s">
        <v>657</v>
      </c>
      <c r="C1652" s="518" t="s">
        <v>15</v>
      </c>
      <c r="D1652" s="515"/>
      <c r="E1652" s="515"/>
      <c r="F1652" s="515"/>
      <c r="G1652" s="515"/>
      <c r="H1652" s="515"/>
      <c r="I1652" s="263"/>
      <c r="J1652" s="263"/>
    </row>
    <row r="1653" spans="1:10" x14ac:dyDescent="0.2">
      <c r="A1653" s="519" t="s">
        <v>16</v>
      </c>
      <c r="B1653" s="520"/>
      <c r="C1653" s="521">
        <v>2021</v>
      </c>
      <c r="D1653" s="522">
        <v>2022</v>
      </c>
      <c r="E1653" s="523">
        <v>2023</v>
      </c>
      <c r="F1653" s="523">
        <v>2024</v>
      </c>
      <c r="G1653" s="263"/>
      <c r="H1653" s="263"/>
      <c r="I1653" s="263"/>
      <c r="J1653" s="263"/>
    </row>
    <row r="1654" spans="1:10" x14ac:dyDescent="0.2">
      <c r="A1654" s="519" t="s">
        <v>17</v>
      </c>
      <c r="B1654" s="520"/>
      <c r="C1654" s="524">
        <v>100</v>
      </c>
      <c r="D1654" s="524">
        <v>100</v>
      </c>
      <c r="E1654" s="238">
        <v>120</v>
      </c>
      <c r="F1654" s="525">
        <v>120</v>
      </c>
      <c r="G1654" s="263"/>
      <c r="H1654" s="263"/>
      <c r="I1654" s="263"/>
      <c r="J1654" s="263"/>
    </row>
    <row r="1655" spans="1:10" x14ac:dyDescent="0.2">
      <c r="A1655" s="519" t="s">
        <v>18</v>
      </c>
      <c r="B1655" s="520"/>
      <c r="C1655" s="524"/>
      <c r="D1655" s="524">
        <v>125</v>
      </c>
      <c r="E1655" s="294">
        <f>E1654+0.25*C1654</f>
        <v>145</v>
      </c>
      <c r="F1655" s="533">
        <f>F1654+0.25*D1654</f>
        <v>145</v>
      </c>
      <c r="G1655" s="263"/>
      <c r="H1655" s="263"/>
      <c r="I1655" s="263"/>
      <c r="J1655" s="263"/>
    </row>
    <row r="1656" spans="1:10" x14ac:dyDescent="0.2">
      <c r="A1656" s="519" t="s">
        <v>19</v>
      </c>
      <c r="B1656" s="520"/>
      <c r="C1656" s="533"/>
      <c r="D1656" s="533" t="s">
        <v>706</v>
      </c>
      <c r="E1656" s="533" t="s">
        <v>705</v>
      </c>
      <c r="F1656" s="533" t="s">
        <v>928</v>
      </c>
      <c r="G1656" s="263"/>
      <c r="H1656" s="263"/>
      <c r="I1656" s="263"/>
      <c r="J1656" s="263"/>
    </row>
    <row r="1657" spans="1:10" x14ac:dyDescent="0.2">
      <c r="A1657" s="519" t="s">
        <v>20</v>
      </c>
      <c r="B1657" s="520"/>
      <c r="C1657" s="524">
        <v>0</v>
      </c>
      <c r="D1657" s="526">
        <v>0</v>
      </c>
      <c r="E1657" s="525"/>
      <c r="F1657" s="525"/>
      <c r="G1657" s="263"/>
      <c r="H1657" s="263"/>
      <c r="I1657" s="263"/>
      <c r="J1657" s="263"/>
    </row>
    <row r="1658" spans="1:10" x14ac:dyDescent="0.2">
      <c r="A1658" s="519" t="s">
        <v>21</v>
      </c>
      <c r="B1658" s="520"/>
      <c r="C1658" s="524">
        <f>C1654-C1657</f>
        <v>100</v>
      </c>
      <c r="D1658" s="524">
        <f>D1655-D1657</f>
        <v>125</v>
      </c>
      <c r="E1658" s="525"/>
      <c r="F1658" s="525"/>
      <c r="G1658" s="263"/>
      <c r="H1658" s="263"/>
      <c r="I1658" s="263"/>
      <c r="J1658" s="263"/>
    </row>
    <row r="1659" spans="1:10" x14ac:dyDescent="0.2">
      <c r="A1659" s="527" t="s">
        <v>22</v>
      </c>
      <c r="B1659" s="528"/>
      <c r="C1659" s="529">
        <v>2023</v>
      </c>
      <c r="D1659" s="530">
        <v>2024</v>
      </c>
      <c r="E1659" s="529">
        <v>2025</v>
      </c>
      <c r="F1659" s="529">
        <v>2026</v>
      </c>
      <c r="G1659" s="263"/>
      <c r="H1659" s="263"/>
      <c r="I1659" s="263"/>
      <c r="J1659" s="263"/>
    </row>
    <row r="1660" spans="1:10" x14ac:dyDescent="0.2">
      <c r="A1660" s="642" t="s">
        <v>764</v>
      </c>
      <c r="B1660" s="541"/>
      <c r="C1660" s="559"/>
      <c r="D1660" s="559"/>
      <c r="E1660" s="559"/>
      <c r="F1660" s="643"/>
      <c r="G1660" s="263"/>
      <c r="H1660" s="263"/>
      <c r="I1660" s="263"/>
      <c r="J1660" s="263"/>
    </row>
    <row r="1661" spans="1:10" x14ac:dyDescent="0.2">
      <c r="A1661" s="545" t="s">
        <v>927</v>
      </c>
      <c r="B1661" s="644"/>
      <c r="C1661" s="644"/>
      <c r="D1661" s="644"/>
      <c r="E1661" s="644"/>
      <c r="F1661" s="266"/>
      <c r="G1661" s="263"/>
      <c r="H1661" s="263"/>
      <c r="I1661" s="263"/>
      <c r="J1661" s="263"/>
    </row>
    <row r="1662" spans="1:10" x14ac:dyDescent="0.2">
      <c r="A1662" s="515"/>
      <c r="B1662" s="515"/>
      <c r="C1662" s="515"/>
      <c r="D1662" s="515"/>
      <c r="E1662" s="515"/>
      <c r="F1662" s="263"/>
      <c r="G1662" s="263"/>
      <c r="H1662" s="263"/>
      <c r="I1662" s="263"/>
      <c r="J1662" s="263"/>
    </row>
    <row r="1663" spans="1:10" x14ac:dyDescent="0.2">
      <c r="A1663" s="516" t="s">
        <v>14</v>
      </c>
      <c r="B1663" s="517" t="s">
        <v>637</v>
      </c>
      <c r="C1663" s="518" t="s">
        <v>15</v>
      </c>
      <c r="D1663" s="515"/>
      <c r="E1663" s="515"/>
      <c r="F1663" s="515"/>
      <c r="G1663" s="515"/>
      <c r="H1663" s="515"/>
      <c r="I1663" s="263"/>
      <c r="J1663" s="263"/>
    </row>
    <row r="1664" spans="1:10" x14ac:dyDescent="0.2">
      <c r="A1664" s="519" t="s">
        <v>16</v>
      </c>
      <c r="B1664" s="520"/>
      <c r="C1664" s="521">
        <v>2021</v>
      </c>
      <c r="D1664" s="522">
        <v>2022</v>
      </c>
      <c r="E1664" s="523">
        <v>2023</v>
      </c>
      <c r="F1664" s="523">
        <v>2024</v>
      </c>
      <c r="G1664" s="263"/>
      <c r="H1664" s="263"/>
      <c r="I1664" s="263"/>
      <c r="J1664" s="263"/>
    </row>
    <row r="1665" spans="1:10" x14ac:dyDescent="0.2">
      <c r="A1665" s="519" t="s">
        <v>17</v>
      </c>
      <c r="B1665" s="520"/>
      <c r="C1665" s="645">
        <v>35.67</v>
      </c>
      <c r="D1665" s="645">
        <v>35.67</v>
      </c>
      <c r="E1665" s="524">
        <v>35.67</v>
      </c>
      <c r="F1665" s="524">
        <v>35.67</v>
      </c>
      <c r="G1665" s="263"/>
      <c r="H1665" s="263"/>
      <c r="I1665" s="263"/>
      <c r="J1665" s="263"/>
    </row>
    <row r="1666" spans="1:10" x14ac:dyDescent="0.2">
      <c r="A1666" s="519" t="s">
        <v>18</v>
      </c>
      <c r="B1666" s="520"/>
      <c r="C1666" s="524">
        <v>49.67</v>
      </c>
      <c r="D1666" s="524">
        <v>49.67</v>
      </c>
      <c r="E1666" s="525">
        <f>E1665+0.4*C1665</f>
        <v>49.938000000000002</v>
      </c>
      <c r="F1666" s="525">
        <f>F1665+0.4*D1665</f>
        <v>49.938000000000002</v>
      </c>
      <c r="G1666" s="263"/>
      <c r="H1666" s="263"/>
      <c r="I1666" s="263"/>
      <c r="J1666" s="263"/>
    </row>
    <row r="1667" spans="1:10" ht="30.75" customHeight="1" x14ac:dyDescent="0.2">
      <c r="A1667" s="519" t="s">
        <v>19</v>
      </c>
      <c r="B1667" s="520"/>
      <c r="C1667" s="534" t="s">
        <v>729</v>
      </c>
      <c r="D1667" s="534" t="s">
        <v>730</v>
      </c>
      <c r="E1667" s="534" t="s">
        <v>713</v>
      </c>
      <c r="F1667" s="534" t="s">
        <v>930</v>
      </c>
      <c r="G1667" s="263"/>
      <c r="H1667" s="263"/>
      <c r="I1667" s="263"/>
      <c r="J1667" s="263"/>
    </row>
    <row r="1668" spans="1:10" x14ac:dyDescent="0.2">
      <c r="A1668" s="519" t="s">
        <v>20</v>
      </c>
      <c r="B1668" s="520"/>
      <c r="C1668" s="524">
        <v>5.9</v>
      </c>
      <c r="D1668" s="526">
        <v>3.351</v>
      </c>
      <c r="E1668" s="525"/>
      <c r="F1668" s="525"/>
      <c r="G1668" s="263"/>
      <c r="H1668" s="263"/>
      <c r="I1668" s="263"/>
      <c r="J1668" s="263"/>
    </row>
    <row r="1669" spans="1:10" x14ac:dyDescent="0.2">
      <c r="A1669" s="519" t="s">
        <v>21</v>
      </c>
      <c r="B1669" s="520"/>
      <c r="C1669" s="524">
        <f>C1666-C1668</f>
        <v>43.77</v>
      </c>
      <c r="D1669" s="524">
        <f>D1666-D1668</f>
        <v>46.319000000000003</v>
      </c>
      <c r="E1669" s="525"/>
      <c r="F1669" s="525"/>
      <c r="G1669" s="263"/>
      <c r="H1669" s="263"/>
      <c r="I1669" s="263"/>
      <c r="J1669" s="263"/>
    </row>
    <row r="1670" spans="1:10" x14ac:dyDescent="0.2">
      <c r="A1670" s="527" t="s">
        <v>22</v>
      </c>
      <c r="B1670" s="528"/>
      <c r="C1670" s="529">
        <v>2023</v>
      </c>
      <c r="D1670" s="529">
        <v>2024</v>
      </c>
      <c r="E1670" s="529">
        <v>2025</v>
      </c>
      <c r="F1670" s="529">
        <v>2026</v>
      </c>
      <c r="G1670" s="263"/>
      <c r="H1670" s="263"/>
      <c r="I1670" s="263"/>
      <c r="J1670" s="263"/>
    </row>
    <row r="1671" spans="1:10" x14ac:dyDescent="0.2">
      <c r="A1671" s="540" t="s">
        <v>728</v>
      </c>
      <c r="B1671" s="541"/>
      <c r="C1671" s="541"/>
      <c r="D1671" s="541"/>
      <c r="E1671" s="541"/>
      <c r="F1671" s="259"/>
      <c r="G1671" s="263"/>
      <c r="H1671" s="263"/>
      <c r="I1671" s="263"/>
      <c r="J1671" s="263"/>
    </row>
    <row r="1672" spans="1:10" x14ac:dyDescent="0.2">
      <c r="A1672" s="543" t="s">
        <v>732</v>
      </c>
      <c r="B1672" s="515"/>
      <c r="C1672" s="515"/>
      <c r="D1672" s="515"/>
      <c r="E1672" s="515"/>
      <c r="F1672" s="264"/>
      <c r="G1672" s="263"/>
      <c r="H1672" s="263"/>
      <c r="I1672" s="263"/>
      <c r="J1672" s="263"/>
    </row>
    <row r="1673" spans="1:10" x14ac:dyDescent="0.2">
      <c r="A1673" s="543" t="s">
        <v>731</v>
      </c>
      <c r="B1673" s="515"/>
      <c r="C1673" s="515"/>
      <c r="D1673" s="515"/>
      <c r="E1673" s="515"/>
      <c r="F1673" s="264"/>
      <c r="G1673" s="263"/>
      <c r="H1673" s="263"/>
      <c r="I1673" s="263"/>
      <c r="J1673" s="263"/>
    </row>
    <row r="1674" spans="1:10" x14ac:dyDescent="0.2">
      <c r="A1674" s="545" t="s">
        <v>929</v>
      </c>
      <c r="B1674" s="546"/>
      <c r="C1674" s="546"/>
      <c r="D1674" s="546"/>
      <c r="E1674" s="546"/>
      <c r="F1674" s="266"/>
      <c r="G1674" s="263"/>
      <c r="H1674" s="263"/>
      <c r="I1674" s="263"/>
      <c r="J1674" s="263"/>
    </row>
    <row r="1675" spans="1:10" x14ac:dyDescent="0.2">
      <c r="A1675" s="531"/>
      <c r="B1675" s="531"/>
      <c r="C1675" s="532"/>
      <c r="D1675" s="531"/>
      <c r="E1675" s="531"/>
      <c r="F1675" s="263"/>
      <c r="G1675" s="263"/>
      <c r="H1675" s="263"/>
      <c r="I1675" s="263"/>
      <c r="J1675" s="263"/>
    </row>
    <row r="1676" spans="1:10" x14ac:dyDescent="0.2">
      <c r="A1676" s="516" t="s">
        <v>14</v>
      </c>
      <c r="B1676" s="517" t="s">
        <v>660</v>
      </c>
      <c r="C1676" s="518" t="s">
        <v>15</v>
      </c>
      <c r="D1676" s="515"/>
      <c r="E1676" s="515"/>
      <c r="F1676" s="515"/>
      <c r="G1676" s="515"/>
      <c r="H1676" s="515"/>
      <c r="I1676" s="263"/>
      <c r="J1676" s="263"/>
    </row>
    <row r="1677" spans="1:10" x14ac:dyDescent="0.2">
      <c r="A1677" s="519" t="s">
        <v>16</v>
      </c>
      <c r="B1677" s="520"/>
      <c r="C1677" s="521">
        <v>2021</v>
      </c>
      <c r="D1677" s="522">
        <v>2022</v>
      </c>
      <c r="E1677" s="523">
        <v>2023</v>
      </c>
      <c r="F1677" s="523">
        <v>2024</v>
      </c>
      <c r="G1677" s="263"/>
      <c r="H1677" s="263"/>
      <c r="I1677" s="263"/>
      <c r="J1677" s="263"/>
    </row>
    <row r="1678" spans="1:10" x14ac:dyDescent="0.2">
      <c r="A1678" s="519" t="s">
        <v>17</v>
      </c>
      <c r="B1678" s="520"/>
      <c r="C1678" s="524">
        <v>25</v>
      </c>
      <c r="D1678" s="524">
        <v>25</v>
      </c>
      <c r="E1678" s="524">
        <v>25</v>
      </c>
      <c r="F1678" s="524">
        <v>25</v>
      </c>
      <c r="G1678" s="263"/>
      <c r="H1678" s="263"/>
      <c r="I1678" s="263"/>
      <c r="J1678" s="263"/>
    </row>
    <row r="1679" spans="1:10" x14ac:dyDescent="0.2">
      <c r="A1679" s="519" t="s">
        <v>18</v>
      </c>
      <c r="B1679" s="520"/>
      <c r="C1679" s="524">
        <v>30</v>
      </c>
      <c r="D1679" s="524">
        <v>30</v>
      </c>
      <c r="E1679" s="533">
        <v>30</v>
      </c>
      <c r="F1679" s="533">
        <v>30</v>
      </c>
      <c r="G1679" s="263"/>
      <c r="H1679" s="263"/>
      <c r="I1679" s="263"/>
      <c r="J1679" s="263"/>
    </row>
    <row r="1680" spans="1:10" x14ac:dyDescent="0.2">
      <c r="A1680" s="519" t="s">
        <v>19</v>
      </c>
      <c r="B1680" s="520"/>
      <c r="C1680" s="533" t="s">
        <v>707</v>
      </c>
      <c r="D1680" s="533" t="s">
        <v>708</v>
      </c>
      <c r="E1680" s="533" t="s">
        <v>709</v>
      </c>
      <c r="F1680" s="533" t="s">
        <v>931</v>
      </c>
      <c r="G1680" s="263"/>
      <c r="H1680" s="263"/>
      <c r="I1680" s="263"/>
      <c r="J1680" s="263"/>
    </row>
    <row r="1681" spans="1:10" x14ac:dyDescent="0.2">
      <c r="A1681" s="519" t="s">
        <v>20</v>
      </c>
      <c r="B1681" s="520"/>
      <c r="C1681" s="524">
        <v>0</v>
      </c>
      <c r="D1681" s="526">
        <v>0</v>
      </c>
      <c r="E1681" s="525"/>
      <c r="F1681" s="525"/>
      <c r="G1681" s="263"/>
      <c r="H1681" s="263"/>
      <c r="I1681" s="263"/>
      <c r="J1681" s="263"/>
    </row>
    <row r="1682" spans="1:10" x14ac:dyDescent="0.2">
      <c r="A1682" s="519" t="s">
        <v>21</v>
      </c>
      <c r="B1682" s="520"/>
      <c r="C1682" s="524">
        <v>30</v>
      </c>
      <c r="D1682" s="526">
        <f>D1679-D1681</f>
        <v>30</v>
      </c>
      <c r="E1682" s="525"/>
      <c r="F1682" s="525"/>
      <c r="G1682" s="263"/>
      <c r="H1682" s="263"/>
      <c r="I1682" s="263"/>
      <c r="J1682" s="263"/>
    </row>
    <row r="1683" spans="1:10" x14ac:dyDescent="0.2">
      <c r="A1683" s="527" t="s">
        <v>22</v>
      </c>
      <c r="B1683" s="528"/>
      <c r="C1683" s="529">
        <v>2023</v>
      </c>
      <c r="D1683" s="530">
        <v>2024</v>
      </c>
      <c r="E1683" s="529">
        <v>2025</v>
      </c>
      <c r="F1683" s="529">
        <v>2026</v>
      </c>
      <c r="G1683" s="263"/>
      <c r="H1683" s="263"/>
      <c r="I1683" s="263"/>
      <c r="J1683" s="263"/>
    </row>
    <row r="1684" spans="1:10" x14ac:dyDescent="0.2">
      <c r="A1684" s="540" t="s">
        <v>714</v>
      </c>
      <c r="B1684" s="541"/>
      <c r="C1684" s="559"/>
      <c r="D1684" s="559"/>
      <c r="E1684" s="559"/>
      <c r="F1684" s="643"/>
      <c r="G1684" s="263"/>
      <c r="H1684" s="263"/>
      <c r="I1684" s="263"/>
      <c r="J1684" s="263"/>
    </row>
    <row r="1685" spans="1:10" ht="48.75" customHeight="1" x14ac:dyDescent="0.2">
      <c r="A1685" s="545" t="s">
        <v>932</v>
      </c>
      <c r="B1685" s="546"/>
      <c r="C1685" s="546"/>
      <c r="D1685" s="546"/>
      <c r="E1685" s="546"/>
      <c r="F1685" s="266"/>
      <c r="G1685" s="263"/>
      <c r="H1685" s="263"/>
      <c r="I1685" s="263"/>
      <c r="J1685" s="263"/>
    </row>
    <row r="1686" spans="1:10" x14ac:dyDescent="0.2">
      <c r="A1686" s="515"/>
      <c r="B1686" s="515"/>
      <c r="C1686" s="515"/>
      <c r="D1686" s="515"/>
      <c r="E1686" s="515"/>
      <c r="F1686" s="263"/>
      <c r="G1686" s="263"/>
      <c r="H1686" s="263"/>
      <c r="I1686" s="263"/>
      <c r="J1686" s="263"/>
    </row>
    <row r="1687" spans="1:10" x14ac:dyDescent="0.2">
      <c r="A1687" s="516" t="s">
        <v>14</v>
      </c>
      <c r="B1687" s="517" t="s">
        <v>661</v>
      </c>
      <c r="C1687" s="518" t="s">
        <v>15</v>
      </c>
      <c r="D1687" s="515"/>
      <c r="E1687" s="515"/>
      <c r="F1687" s="515"/>
      <c r="G1687" s="515"/>
      <c r="H1687" s="515"/>
      <c r="I1687" s="263"/>
      <c r="J1687" s="263"/>
    </row>
    <row r="1688" spans="1:10" x14ac:dyDescent="0.2">
      <c r="A1688" s="519" t="s">
        <v>16</v>
      </c>
      <c r="B1688" s="520"/>
      <c r="C1688" s="521">
        <v>2021</v>
      </c>
      <c r="D1688" s="522">
        <v>2022</v>
      </c>
      <c r="E1688" s="523">
        <v>2023</v>
      </c>
      <c r="F1688" s="523">
        <v>2024</v>
      </c>
      <c r="G1688" s="263"/>
      <c r="H1688" s="263"/>
      <c r="I1688" s="263"/>
      <c r="J1688" s="263"/>
    </row>
    <row r="1689" spans="1:10" x14ac:dyDescent="0.2">
      <c r="A1689" s="519" t="s">
        <v>17</v>
      </c>
      <c r="B1689" s="520"/>
      <c r="C1689" s="524">
        <v>48.4</v>
      </c>
      <c r="D1689" s="524">
        <v>48.4</v>
      </c>
      <c r="E1689" s="524">
        <v>63</v>
      </c>
      <c r="F1689" s="524">
        <v>63</v>
      </c>
      <c r="G1689" s="263"/>
      <c r="H1689" s="263"/>
      <c r="I1689" s="263"/>
      <c r="J1689" s="263"/>
    </row>
    <row r="1690" spans="1:10" x14ac:dyDescent="0.2">
      <c r="A1690" s="519" t="s">
        <v>18</v>
      </c>
      <c r="B1690" s="520"/>
      <c r="C1690" s="524"/>
      <c r="D1690" s="524">
        <f>D1689+0.05*C1689</f>
        <v>50.82</v>
      </c>
      <c r="E1690" s="525">
        <f>E1689+0.05*D1689</f>
        <v>65.42</v>
      </c>
      <c r="F1690" s="525"/>
      <c r="G1690" s="263"/>
      <c r="H1690" s="263"/>
      <c r="I1690" s="263"/>
      <c r="J1690" s="263"/>
    </row>
    <row r="1691" spans="1:10" x14ac:dyDescent="0.2">
      <c r="A1691" s="519" t="s">
        <v>19</v>
      </c>
      <c r="B1691" s="520"/>
      <c r="C1691" s="525"/>
      <c r="D1691" s="526" t="s">
        <v>933</v>
      </c>
      <c r="E1691" s="525" t="s">
        <v>934</v>
      </c>
      <c r="F1691" s="525" t="s">
        <v>935</v>
      </c>
      <c r="G1691" s="263"/>
      <c r="H1691" s="263"/>
      <c r="I1691" s="263"/>
      <c r="J1691" s="263"/>
    </row>
    <row r="1692" spans="1:10" x14ac:dyDescent="0.2">
      <c r="A1692" s="519" t="s">
        <v>20</v>
      </c>
      <c r="B1692" s="520"/>
      <c r="C1692" s="524">
        <v>2.92</v>
      </c>
      <c r="D1692" s="526">
        <v>4.609</v>
      </c>
      <c r="E1692" s="525"/>
      <c r="F1692" s="525"/>
      <c r="G1692" s="263"/>
      <c r="H1692" s="263"/>
      <c r="I1692" s="263"/>
      <c r="J1692" s="263"/>
    </row>
    <row r="1693" spans="1:10" x14ac:dyDescent="0.2">
      <c r="A1693" s="519" t="s">
        <v>21</v>
      </c>
      <c r="B1693" s="520"/>
      <c r="C1693" s="524">
        <f>C1689-C1692</f>
        <v>45.48</v>
      </c>
      <c r="D1693" s="524">
        <f>D1690-D1692</f>
        <v>46.210999999999999</v>
      </c>
      <c r="E1693" s="525"/>
      <c r="F1693" s="525"/>
      <c r="G1693" s="263"/>
      <c r="H1693" s="263"/>
      <c r="I1693" s="263"/>
      <c r="J1693" s="263"/>
    </row>
    <row r="1694" spans="1:10" x14ac:dyDescent="0.2">
      <c r="A1694" s="527" t="s">
        <v>22</v>
      </c>
      <c r="B1694" s="528"/>
      <c r="C1694" s="529">
        <v>2022</v>
      </c>
      <c r="D1694" s="530">
        <v>2023</v>
      </c>
      <c r="E1694" s="529"/>
      <c r="F1694" s="529"/>
      <c r="G1694" s="263"/>
      <c r="H1694" s="263"/>
      <c r="I1694" s="263"/>
      <c r="J1694" s="263"/>
    </row>
    <row r="1695" spans="1:10" x14ac:dyDescent="0.2">
      <c r="A1695" s="540" t="s">
        <v>715</v>
      </c>
      <c r="B1695" s="541"/>
      <c r="C1695" s="559"/>
      <c r="D1695" s="559"/>
      <c r="E1695" s="559"/>
      <c r="F1695" s="643"/>
      <c r="G1695" s="263"/>
      <c r="H1695" s="263"/>
      <c r="I1695" s="263"/>
      <c r="J1695" s="263"/>
    </row>
    <row r="1696" spans="1:10" x14ac:dyDescent="0.2">
      <c r="A1696" s="545" t="s">
        <v>936</v>
      </c>
      <c r="B1696" s="546"/>
      <c r="C1696" s="546"/>
      <c r="D1696" s="546"/>
      <c r="E1696" s="546"/>
      <c r="F1696" s="266"/>
      <c r="G1696" s="263"/>
      <c r="H1696" s="263"/>
      <c r="I1696" s="263"/>
      <c r="J1696" s="263"/>
    </row>
    <row r="1697" spans="1:10" x14ac:dyDescent="0.2">
      <c r="A1697" s="515"/>
      <c r="B1697" s="515"/>
      <c r="C1697" s="515"/>
      <c r="D1697" s="515"/>
      <c r="E1697" s="515"/>
      <c r="F1697" s="263"/>
      <c r="G1697" s="263"/>
      <c r="H1697" s="263"/>
      <c r="I1697" s="263"/>
      <c r="J1697" s="263"/>
    </row>
    <row r="1698" spans="1:10" x14ac:dyDescent="0.2">
      <c r="A1698" s="516" t="s">
        <v>14</v>
      </c>
      <c r="B1698" s="517" t="s">
        <v>664</v>
      </c>
      <c r="C1698" s="518" t="s">
        <v>15</v>
      </c>
      <c r="D1698" s="515"/>
      <c r="E1698" s="515"/>
      <c r="F1698" s="515"/>
      <c r="G1698" s="515"/>
      <c r="H1698" s="515"/>
      <c r="I1698" s="263"/>
      <c r="J1698" s="263"/>
    </row>
    <row r="1699" spans="1:10" x14ac:dyDescent="0.2">
      <c r="A1699" s="519" t="s">
        <v>16</v>
      </c>
      <c r="B1699" s="520"/>
      <c r="C1699" s="521">
        <v>2021</v>
      </c>
      <c r="D1699" s="522">
        <v>2022</v>
      </c>
      <c r="E1699" s="523">
        <v>2023</v>
      </c>
      <c r="F1699" s="523">
        <v>2024</v>
      </c>
      <c r="G1699" s="263"/>
      <c r="H1699" s="263"/>
      <c r="I1699" s="263"/>
      <c r="J1699" s="263"/>
    </row>
    <row r="1700" spans="1:10" x14ac:dyDescent="0.2">
      <c r="A1700" s="519" t="s">
        <v>17</v>
      </c>
      <c r="B1700" s="520"/>
      <c r="C1700" s="524">
        <v>5.31</v>
      </c>
      <c r="D1700" s="524">
        <v>6.18</v>
      </c>
      <c r="E1700" s="524">
        <v>6.18</v>
      </c>
      <c r="F1700" s="524">
        <v>6.18</v>
      </c>
      <c r="G1700" s="263"/>
      <c r="H1700" s="263"/>
      <c r="I1700" s="263"/>
      <c r="J1700" s="263"/>
    </row>
    <row r="1701" spans="1:10" x14ac:dyDescent="0.2">
      <c r="A1701" s="519" t="s">
        <v>18</v>
      </c>
      <c r="B1701" s="520"/>
      <c r="C1701" s="524">
        <v>10.62</v>
      </c>
      <c r="D1701" s="524">
        <f>D1700+C1700</f>
        <v>11.489999999999998</v>
      </c>
      <c r="E1701" s="525">
        <f>E1700+D1700</f>
        <v>12.36</v>
      </c>
      <c r="F1701" s="525"/>
      <c r="G1701" s="263"/>
      <c r="H1701" s="263"/>
      <c r="I1701" s="263"/>
      <c r="J1701" s="263"/>
    </row>
    <row r="1702" spans="1:10" x14ac:dyDescent="0.2">
      <c r="A1702" s="519" t="s">
        <v>19</v>
      </c>
      <c r="B1702" s="520"/>
      <c r="C1702" s="525"/>
      <c r="D1702" s="526" t="s">
        <v>937</v>
      </c>
      <c r="E1702" s="525" t="s">
        <v>938</v>
      </c>
      <c r="F1702" s="525" t="s">
        <v>939</v>
      </c>
      <c r="G1702" s="263"/>
      <c r="H1702" s="263"/>
      <c r="I1702" s="263"/>
      <c r="J1702" s="263"/>
    </row>
    <row r="1703" spans="1:10" x14ac:dyDescent="0.2">
      <c r="A1703" s="519" t="s">
        <v>20</v>
      </c>
      <c r="B1703" s="520"/>
      <c r="C1703" s="524">
        <v>0.71</v>
      </c>
      <c r="D1703" s="526">
        <v>0</v>
      </c>
      <c r="E1703" s="525"/>
      <c r="F1703" s="525"/>
      <c r="G1703" s="263"/>
      <c r="H1703" s="263"/>
      <c r="I1703" s="263"/>
      <c r="J1703" s="263"/>
    </row>
    <row r="1704" spans="1:10" x14ac:dyDescent="0.2">
      <c r="A1704" s="519" t="s">
        <v>21</v>
      </c>
      <c r="B1704" s="520"/>
      <c r="C1704" s="524">
        <f>C1701-C1703</f>
        <v>9.91</v>
      </c>
      <c r="D1704" s="524">
        <f>D1701-D1703</f>
        <v>11.489999999999998</v>
      </c>
      <c r="E1704" s="525"/>
      <c r="F1704" s="525"/>
      <c r="G1704" s="263"/>
      <c r="H1704" s="263"/>
      <c r="I1704" s="263"/>
      <c r="J1704" s="263"/>
    </row>
    <row r="1705" spans="1:10" x14ac:dyDescent="0.2">
      <c r="A1705" s="527" t="s">
        <v>22</v>
      </c>
      <c r="B1705" s="528"/>
      <c r="C1705" s="529">
        <v>2022</v>
      </c>
      <c r="D1705" s="530">
        <v>2023</v>
      </c>
      <c r="E1705" s="529">
        <v>2024</v>
      </c>
      <c r="F1705" s="529">
        <v>2025</v>
      </c>
      <c r="G1705" s="263"/>
      <c r="H1705" s="263"/>
      <c r="I1705" s="263"/>
      <c r="J1705" s="263"/>
    </row>
    <row r="1706" spans="1:10" x14ac:dyDescent="0.2">
      <c r="A1706" s="540" t="s">
        <v>716</v>
      </c>
      <c r="B1706" s="541"/>
      <c r="C1706" s="559"/>
      <c r="D1706" s="559"/>
      <c r="E1706" s="643"/>
      <c r="F1706" s="643"/>
      <c r="G1706" s="263"/>
      <c r="H1706" s="263"/>
      <c r="I1706" s="263"/>
      <c r="J1706" s="263"/>
    </row>
    <row r="1707" spans="1:10" x14ac:dyDescent="0.2">
      <c r="A1707" s="545" t="s">
        <v>940</v>
      </c>
      <c r="B1707" s="546"/>
      <c r="C1707" s="546"/>
      <c r="D1707" s="546"/>
      <c r="E1707" s="547"/>
      <c r="F1707" s="547"/>
      <c r="G1707" s="263"/>
      <c r="H1707" s="263"/>
      <c r="I1707" s="263"/>
      <c r="J1707" s="263"/>
    </row>
    <row r="1708" spans="1:10" x14ac:dyDescent="0.2">
      <c r="A1708" s="515"/>
      <c r="B1708" s="515"/>
      <c r="C1708" s="515"/>
      <c r="D1708" s="515"/>
      <c r="E1708" s="515"/>
      <c r="F1708" s="263"/>
      <c r="G1708" s="263"/>
      <c r="H1708" s="263"/>
      <c r="I1708" s="263"/>
      <c r="J1708" s="263"/>
    </row>
    <row r="1709" spans="1:10" x14ac:dyDescent="0.2">
      <c r="A1709" s="515"/>
      <c r="B1709" s="515"/>
      <c r="C1709" s="515"/>
      <c r="D1709" s="515"/>
      <c r="E1709" s="515"/>
      <c r="F1709" s="263"/>
      <c r="G1709" s="263"/>
      <c r="H1709" s="263"/>
      <c r="I1709" s="263"/>
      <c r="J1709" s="263"/>
    </row>
    <row r="1710" spans="1:10" x14ac:dyDescent="0.2">
      <c r="A1710" s="125" t="s">
        <v>204</v>
      </c>
      <c r="B1710" s="687" t="s">
        <v>885</v>
      </c>
    </row>
    <row r="1711" spans="1:10" x14ac:dyDescent="0.2">
      <c r="A1711" s="96" t="s">
        <v>203</v>
      </c>
      <c r="B1711" s="56" t="s">
        <v>657</v>
      </c>
      <c r="C1711" s="41" t="s">
        <v>15</v>
      </c>
    </row>
    <row r="1712" spans="1:10" x14ac:dyDescent="0.2">
      <c r="A1712" s="22" t="s">
        <v>16</v>
      </c>
      <c r="B1712" s="22"/>
      <c r="C1712" s="22"/>
      <c r="D1712" s="52">
        <v>2022</v>
      </c>
      <c r="E1712" s="52">
        <v>2023</v>
      </c>
      <c r="F1712" s="85"/>
    </row>
    <row r="1713" spans="1:12" x14ac:dyDescent="0.2">
      <c r="A1713" s="22" t="s">
        <v>17</v>
      </c>
      <c r="B1713" s="23"/>
      <c r="C1713" s="23"/>
      <c r="D1713" s="23">
        <v>440</v>
      </c>
      <c r="E1713" s="23">
        <v>530</v>
      </c>
      <c r="F1713" s="610"/>
    </row>
    <row r="1714" spans="1:12" x14ac:dyDescent="0.2">
      <c r="A1714" s="22" t="s">
        <v>18</v>
      </c>
      <c r="B1714" s="23"/>
      <c r="C1714" s="23"/>
      <c r="D1714" s="23">
        <f>D1713+0.25*440-26.47</f>
        <v>523.53</v>
      </c>
      <c r="E1714" s="23">
        <f>E1713+0.25*440-100</f>
        <v>540</v>
      </c>
      <c r="F1714" s="610"/>
    </row>
    <row r="1715" spans="1:12" x14ac:dyDescent="0.2">
      <c r="A1715" s="47" t="s">
        <v>19</v>
      </c>
      <c r="B1715" s="90"/>
      <c r="C1715" s="23"/>
      <c r="D1715" s="23"/>
      <c r="E1715" s="23"/>
      <c r="F1715" s="42"/>
    </row>
    <row r="1716" spans="1:12" x14ac:dyDescent="0.2">
      <c r="A1716" s="47" t="s">
        <v>20</v>
      </c>
      <c r="B1716" s="23"/>
      <c r="C1716" s="23"/>
      <c r="D1716" s="23">
        <v>0</v>
      </c>
      <c r="E1716" s="23"/>
      <c r="F1716" s="42"/>
    </row>
    <row r="1717" spans="1:12" x14ac:dyDescent="0.2">
      <c r="A1717" s="47" t="s">
        <v>21</v>
      </c>
      <c r="B1717" s="23"/>
      <c r="C1717" s="23"/>
      <c r="D1717" s="23">
        <f>D1714-D1716</f>
        <v>523.53</v>
      </c>
      <c r="E1717" s="23"/>
      <c r="F1717" s="42"/>
    </row>
    <row r="1718" spans="1:12" x14ac:dyDescent="0.2">
      <c r="A1718" s="50" t="s">
        <v>22</v>
      </c>
      <c r="B1718" s="36"/>
      <c r="C1718" s="36"/>
      <c r="D1718" s="58">
        <v>2024</v>
      </c>
      <c r="E1718" s="58">
        <v>2025</v>
      </c>
      <c r="F1718" s="113"/>
    </row>
    <row r="1719" spans="1:12" x14ac:dyDescent="0.2">
      <c r="A1719" s="50" t="s">
        <v>23</v>
      </c>
      <c r="B1719" s="30"/>
      <c r="C1719" s="30"/>
      <c r="D1719" s="82"/>
      <c r="E1719" s="83"/>
      <c r="F1719" s="113"/>
    </row>
    <row r="1720" spans="1:12" x14ac:dyDescent="0.2">
      <c r="A1720" s="20" t="s">
        <v>886</v>
      </c>
      <c r="D1720" s="113"/>
      <c r="E1720" s="234"/>
      <c r="F1720" s="113"/>
    </row>
    <row r="1721" spans="1:12" x14ac:dyDescent="0.2">
      <c r="A1721" s="236" t="s">
        <v>888</v>
      </c>
      <c r="B1721" s="265"/>
      <c r="C1721" s="265"/>
      <c r="D1721" s="265"/>
      <c r="E1721" s="266"/>
      <c r="F1721" s="263"/>
      <c r="G1721" s="263"/>
      <c r="H1721" s="263"/>
    </row>
    <row r="1722" spans="1:12" x14ac:dyDescent="0.2">
      <c r="A1722" s="263"/>
      <c r="B1722" s="263"/>
      <c r="C1722" s="263"/>
      <c r="D1722" s="263"/>
      <c r="E1722" s="263"/>
      <c r="F1722" s="263"/>
      <c r="G1722" s="263"/>
      <c r="H1722" s="263"/>
      <c r="I1722" s="263"/>
      <c r="J1722" s="263"/>
      <c r="K1722" s="263"/>
      <c r="L1722" s="263"/>
    </row>
    <row r="1723" spans="1:12" x14ac:dyDescent="0.2">
      <c r="A1723" s="263"/>
      <c r="B1723" s="263"/>
      <c r="C1723" s="263"/>
      <c r="D1723" s="263"/>
      <c r="E1723" s="263"/>
      <c r="F1723" s="263"/>
      <c r="G1723" s="263"/>
      <c r="H1723" s="263"/>
      <c r="I1723" s="263"/>
      <c r="J1723" s="263"/>
      <c r="K1723" s="263"/>
      <c r="L1723" s="263"/>
    </row>
    <row r="1724" spans="1:12" x14ac:dyDescent="0.2">
      <c r="A1724" s="514" t="s">
        <v>12</v>
      </c>
      <c r="B1724" s="686" t="s">
        <v>114</v>
      </c>
      <c r="C1724" s="263"/>
      <c r="D1724" s="515"/>
      <c r="E1724" s="515"/>
      <c r="F1724" s="515"/>
      <c r="G1724" s="515"/>
      <c r="H1724" s="515"/>
      <c r="I1724" s="263"/>
      <c r="J1724" s="263"/>
    </row>
    <row r="1725" spans="1:12" x14ac:dyDescent="0.2">
      <c r="A1725" s="516" t="s">
        <v>14</v>
      </c>
      <c r="B1725" s="517" t="s">
        <v>638</v>
      </c>
      <c r="C1725" s="518" t="s">
        <v>15</v>
      </c>
      <c r="D1725" s="515"/>
      <c r="E1725" s="515"/>
      <c r="F1725" s="515"/>
      <c r="G1725" s="515"/>
      <c r="H1725" s="515"/>
      <c r="I1725" s="263"/>
      <c r="J1725" s="263"/>
    </row>
    <row r="1726" spans="1:12" x14ac:dyDescent="0.2">
      <c r="A1726" s="519" t="s">
        <v>16</v>
      </c>
      <c r="B1726" s="520"/>
      <c r="C1726" s="521">
        <v>2016</v>
      </c>
      <c r="D1726" s="522">
        <v>2017</v>
      </c>
      <c r="E1726" s="523">
        <v>2018</v>
      </c>
      <c r="F1726" s="535">
        <v>2019</v>
      </c>
      <c r="G1726" s="536">
        <v>2020</v>
      </c>
      <c r="H1726" s="536">
        <v>2021</v>
      </c>
      <c r="I1726" s="536">
        <v>2022</v>
      </c>
      <c r="J1726" s="536">
        <v>2023</v>
      </c>
    </row>
    <row r="1727" spans="1:12" x14ac:dyDescent="0.2">
      <c r="A1727" s="519" t="s">
        <v>17</v>
      </c>
      <c r="B1727" s="520"/>
      <c r="C1727" s="524">
        <v>527</v>
      </c>
      <c r="D1727" s="524">
        <v>527</v>
      </c>
      <c r="E1727" s="525">
        <v>632.4</v>
      </c>
      <c r="F1727" s="537">
        <v>632.4</v>
      </c>
      <c r="G1727" s="288">
        <v>632.4</v>
      </c>
      <c r="H1727" s="288">
        <v>711.5</v>
      </c>
      <c r="I1727" s="288">
        <v>711.5</v>
      </c>
      <c r="J1727" s="288">
        <v>711.5</v>
      </c>
    </row>
    <row r="1728" spans="1:12" x14ac:dyDescent="0.2">
      <c r="A1728" s="519" t="s">
        <v>18</v>
      </c>
      <c r="B1728" s="520"/>
      <c r="C1728" s="524">
        <v>658.75</v>
      </c>
      <c r="D1728" s="524">
        <v>658.75</v>
      </c>
      <c r="E1728" s="525">
        <v>764.15</v>
      </c>
      <c r="F1728" s="537">
        <v>790.5</v>
      </c>
      <c r="G1728" s="288">
        <v>790.5</v>
      </c>
      <c r="H1728" s="288">
        <f>H1727+0.25*G1727</f>
        <v>869.6</v>
      </c>
      <c r="I1728" s="288">
        <f>I1727+0.25*H1727</f>
        <v>889.375</v>
      </c>
      <c r="J1728" s="288">
        <f>J1727+0.25*I1727</f>
        <v>889.375</v>
      </c>
    </row>
    <row r="1729" spans="1:10" x14ac:dyDescent="0.2">
      <c r="A1729" s="519" t="s">
        <v>19</v>
      </c>
      <c r="B1729" s="520"/>
      <c r="C1729" s="525"/>
      <c r="D1729" s="526"/>
      <c r="E1729" s="525"/>
      <c r="F1729" s="537"/>
      <c r="G1729" s="288"/>
      <c r="H1729" s="288"/>
      <c r="I1729" s="288"/>
      <c r="J1729" s="288"/>
    </row>
    <row r="1730" spans="1:10" x14ac:dyDescent="0.2">
      <c r="A1730" s="519" t="s">
        <v>20</v>
      </c>
      <c r="B1730" s="520"/>
      <c r="C1730" s="524">
        <v>250.22</v>
      </c>
      <c r="D1730" s="526">
        <v>238.35</v>
      </c>
      <c r="E1730" s="525">
        <v>102.57</v>
      </c>
      <c r="F1730" s="537">
        <v>221.13</v>
      </c>
      <c r="G1730" s="288">
        <v>328.36</v>
      </c>
      <c r="H1730" s="667">
        <v>295.93</v>
      </c>
      <c r="I1730" s="288">
        <v>310.56</v>
      </c>
      <c r="J1730" s="288"/>
    </row>
    <row r="1731" spans="1:10" x14ac:dyDescent="0.2">
      <c r="A1731" s="519" t="s">
        <v>21</v>
      </c>
      <c r="B1731" s="520"/>
      <c r="C1731" s="524">
        <v>408.53</v>
      </c>
      <c r="D1731" s="526">
        <v>420.4</v>
      </c>
      <c r="E1731" s="525">
        <f>E1728-E1730</f>
        <v>661.57999999999993</v>
      </c>
      <c r="F1731" s="537">
        <f>F1728-F1730</f>
        <v>569.37</v>
      </c>
      <c r="G1731" s="288">
        <f>G1728-G1730</f>
        <v>462.14</v>
      </c>
      <c r="H1731" s="667">
        <f>H1728-H1730</f>
        <v>573.67000000000007</v>
      </c>
      <c r="I1731" s="288">
        <f>I1728-I1730</f>
        <v>578.81500000000005</v>
      </c>
      <c r="J1731" s="288"/>
    </row>
    <row r="1732" spans="1:10" x14ac:dyDescent="0.2">
      <c r="A1732" s="527" t="s">
        <v>22</v>
      </c>
      <c r="B1732" s="528"/>
      <c r="C1732" s="529">
        <v>2017</v>
      </c>
      <c r="D1732" s="530">
        <v>2018</v>
      </c>
      <c r="E1732" s="529">
        <v>2019</v>
      </c>
      <c r="F1732" s="538">
        <v>2020</v>
      </c>
      <c r="G1732" s="539">
        <v>2021</v>
      </c>
      <c r="H1732" s="539">
        <v>2022</v>
      </c>
      <c r="I1732" s="539">
        <v>2023</v>
      </c>
      <c r="J1732" s="539">
        <v>2024</v>
      </c>
    </row>
    <row r="1733" spans="1:10" x14ac:dyDescent="0.2">
      <c r="A1733" s="540" t="s">
        <v>115</v>
      </c>
      <c r="B1733" s="541"/>
      <c r="C1733" s="541"/>
      <c r="D1733" s="541"/>
      <c r="E1733" s="541"/>
      <c r="F1733" s="541"/>
      <c r="G1733" s="541"/>
      <c r="H1733" s="541"/>
      <c r="I1733" s="541"/>
      <c r="J1733" s="542"/>
    </row>
    <row r="1734" spans="1:10" x14ac:dyDescent="0.2">
      <c r="A1734" s="543" t="s">
        <v>116</v>
      </c>
      <c r="B1734" s="515"/>
      <c r="C1734" s="515"/>
      <c r="D1734" s="515"/>
      <c r="E1734" s="515"/>
      <c r="F1734" s="515"/>
      <c r="G1734" s="515"/>
      <c r="H1734" s="515"/>
      <c r="I1734" s="515"/>
      <c r="J1734" s="544"/>
    </row>
    <row r="1735" spans="1:10" x14ac:dyDescent="0.2">
      <c r="A1735" s="543" t="s">
        <v>117</v>
      </c>
      <c r="B1735" s="515"/>
      <c r="C1735" s="515"/>
      <c r="D1735" s="515"/>
      <c r="E1735" s="515"/>
      <c r="F1735" s="515"/>
      <c r="G1735" s="515"/>
      <c r="H1735" s="515"/>
      <c r="I1735" s="515"/>
      <c r="J1735" s="544"/>
    </row>
    <row r="1736" spans="1:10" x14ac:dyDescent="0.2">
      <c r="A1736" s="543" t="s">
        <v>118</v>
      </c>
      <c r="B1736" s="515"/>
      <c r="C1736" s="515"/>
      <c r="D1736" s="515"/>
      <c r="E1736" s="515"/>
      <c r="F1736" s="515"/>
      <c r="G1736" s="515"/>
      <c r="H1736" s="515"/>
      <c r="I1736" s="515"/>
      <c r="J1736" s="544"/>
    </row>
    <row r="1737" spans="1:10" x14ac:dyDescent="0.2">
      <c r="A1737" s="543" t="s">
        <v>119</v>
      </c>
      <c r="B1737" s="515"/>
      <c r="C1737" s="515"/>
      <c r="D1737" s="515"/>
      <c r="E1737" s="515"/>
      <c r="F1737" s="515"/>
      <c r="G1737" s="515"/>
      <c r="H1737" s="515"/>
      <c r="I1737" s="515"/>
      <c r="J1737" s="544"/>
    </row>
    <row r="1738" spans="1:10" x14ac:dyDescent="0.2">
      <c r="A1738" s="543" t="s">
        <v>302</v>
      </c>
      <c r="B1738" s="515"/>
      <c r="C1738" s="515"/>
      <c r="D1738" s="515"/>
      <c r="E1738" s="515"/>
      <c r="F1738" s="515"/>
      <c r="G1738" s="515"/>
      <c r="H1738" s="515"/>
      <c r="I1738" s="515"/>
      <c r="J1738" s="544"/>
    </row>
    <row r="1739" spans="1:10" x14ac:dyDescent="0.2">
      <c r="A1739" s="543" t="s">
        <v>541</v>
      </c>
      <c r="B1739" s="515"/>
      <c r="C1739" s="515"/>
      <c r="D1739" s="515"/>
      <c r="E1739" s="515"/>
      <c r="F1739" s="515"/>
      <c r="G1739" s="515"/>
      <c r="H1739" s="515"/>
      <c r="I1739" s="515"/>
      <c r="J1739" s="544"/>
    </row>
    <row r="1740" spans="1:10" x14ac:dyDescent="0.2">
      <c r="A1740" s="543" t="s">
        <v>689</v>
      </c>
      <c r="B1740" s="515"/>
      <c r="C1740" s="515"/>
      <c r="D1740" s="515"/>
      <c r="E1740" s="515"/>
      <c r="F1740" s="515"/>
      <c r="G1740" s="515"/>
      <c r="H1740" s="515"/>
      <c r="I1740" s="515"/>
      <c r="J1740" s="544"/>
    </row>
    <row r="1741" spans="1:10" x14ac:dyDescent="0.2">
      <c r="A1741" s="543" t="s">
        <v>946</v>
      </c>
      <c r="B1741" s="515"/>
      <c r="C1741" s="515"/>
      <c r="D1741" s="515"/>
      <c r="E1741" s="515"/>
      <c r="F1741" s="515"/>
      <c r="G1741" s="515"/>
      <c r="H1741" s="515"/>
      <c r="I1741" s="515"/>
      <c r="J1741" s="544"/>
    </row>
    <row r="1742" spans="1:10" x14ac:dyDescent="0.2">
      <c r="A1742" s="543" t="s">
        <v>542</v>
      </c>
      <c r="B1742" s="515"/>
      <c r="C1742" s="515"/>
      <c r="D1742" s="515"/>
      <c r="E1742" s="515"/>
      <c r="F1742" s="515"/>
      <c r="G1742" s="515"/>
      <c r="H1742" s="515"/>
      <c r="I1742" s="515"/>
      <c r="J1742" s="544"/>
    </row>
    <row r="1743" spans="1:10" x14ac:dyDescent="0.2">
      <c r="A1743" s="545" t="s">
        <v>543</v>
      </c>
      <c r="B1743" s="546"/>
      <c r="C1743" s="546"/>
      <c r="D1743" s="546"/>
      <c r="E1743" s="546"/>
      <c r="F1743" s="546"/>
      <c r="G1743" s="546"/>
      <c r="H1743" s="546"/>
      <c r="I1743" s="546"/>
      <c r="J1743" s="547"/>
    </row>
    <row r="1744" spans="1:10" x14ac:dyDescent="0.2">
      <c r="A1744" s="263"/>
      <c r="B1744" s="263"/>
      <c r="C1744" s="263"/>
      <c r="D1744" s="263"/>
      <c r="E1744" s="263"/>
      <c r="F1744" s="263"/>
      <c r="G1744" s="263"/>
      <c r="H1744" s="263"/>
      <c r="I1744" s="263"/>
      <c r="J1744" s="263"/>
    </row>
    <row r="1745" spans="1:10" x14ac:dyDescent="0.2">
      <c r="A1745" s="516" t="s">
        <v>14</v>
      </c>
      <c r="B1745" s="517" t="s">
        <v>637</v>
      </c>
      <c r="C1745" s="518" t="s">
        <v>15</v>
      </c>
      <c r="D1745" s="515"/>
      <c r="E1745" s="515"/>
      <c r="F1745" s="515"/>
      <c r="G1745" s="515"/>
      <c r="H1745" s="515"/>
      <c r="I1745" s="263"/>
      <c r="J1745" s="263"/>
    </row>
    <row r="1746" spans="1:10" x14ac:dyDescent="0.2">
      <c r="A1746" s="519" t="s">
        <v>16</v>
      </c>
      <c r="B1746" s="520"/>
      <c r="C1746" s="548">
        <v>2017</v>
      </c>
      <c r="D1746" s="523">
        <v>2018</v>
      </c>
      <c r="E1746" s="523">
        <v>2019</v>
      </c>
      <c r="F1746" s="535">
        <v>2020</v>
      </c>
      <c r="G1746" s="536">
        <v>2021</v>
      </c>
      <c r="H1746" s="536">
        <v>2022</v>
      </c>
      <c r="I1746" s="536">
        <v>2023</v>
      </c>
      <c r="J1746" s="263"/>
    </row>
    <row r="1747" spans="1:10" x14ac:dyDescent="0.2">
      <c r="A1747" s="519" t="s">
        <v>17</v>
      </c>
      <c r="B1747" s="520"/>
      <c r="C1747" s="524">
        <v>3907</v>
      </c>
      <c r="D1747" s="524">
        <v>3907</v>
      </c>
      <c r="E1747" s="525">
        <v>3907</v>
      </c>
      <c r="F1747" s="537">
        <v>3907</v>
      </c>
      <c r="G1747" s="288">
        <v>3907</v>
      </c>
      <c r="H1747" s="288">
        <v>3907</v>
      </c>
      <c r="I1747" s="288">
        <v>3907</v>
      </c>
      <c r="J1747" s="263"/>
    </row>
    <row r="1748" spans="1:10" x14ac:dyDescent="0.2">
      <c r="A1748" s="519" t="s">
        <v>18</v>
      </c>
      <c r="B1748" s="520"/>
      <c r="C1748" s="524">
        <v>4468.05</v>
      </c>
      <c r="D1748" s="524">
        <v>4493.05</v>
      </c>
      <c r="E1748" s="525">
        <v>4493.05</v>
      </c>
      <c r="F1748" s="537">
        <v>4493.05</v>
      </c>
      <c r="G1748" s="288">
        <v>4493.05</v>
      </c>
      <c r="H1748" s="288">
        <v>4493.05</v>
      </c>
      <c r="I1748" s="288">
        <v>4493.05</v>
      </c>
      <c r="J1748" s="263"/>
    </row>
    <row r="1749" spans="1:10" x14ac:dyDescent="0.2">
      <c r="A1749" s="519" t="s">
        <v>19</v>
      </c>
      <c r="B1749" s="520"/>
      <c r="C1749" s="549"/>
      <c r="D1749" s="525"/>
      <c r="E1749" s="525"/>
      <c r="F1749" s="537"/>
      <c r="G1749" s="288"/>
      <c r="H1749" s="288"/>
      <c r="I1749" s="288"/>
      <c r="J1749" s="263"/>
    </row>
    <row r="1750" spans="1:10" x14ac:dyDescent="0.2">
      <c r="A1750" s="519" t="s">
        <v>20</v>
      </c>
      <c r="B1750" s="520"/>
      <c r="C1750" s="550">
        <v>1404.81</v>
      </c>
      <c r="D1750" s="525">
        <v>1274.78</v>
      </c>
      <c r="E1750" s="525">
        <v>1736.49</v>
      </c>
      <c r="F1750" s="537">
        <v>1441.75</v>
      </c>
      <c r="G1750" s="667">
        <v>1141.8399999999999</v>
      </c>
      <c r="H1750" s="288">
        <v>1339.19</v>
      </c>
      <c r="I1750" s="288"/>
      <c r="J1750" s="263"/>
    </row>
    <row r="1751" spans="1:10" x14ac:dyDescent="0.2">
      <c r="A1751" s="519" t="s">
        <v>21</v>
      </c>
      <c r="B1751" s="520"/>
      <c r="C1751" s="524">
        <v>3063.24</v>
      </c>
      <c r="D1751" s="525">
        <f>D1748-D1750</f>
        <v>3218.2700000000004</v>
      </c>
      <c r="E1751" s="525">
        <f t="shared" ref="E1751:F1751" si="71">E1748-E1750</f>
        <v>2756.5600000000004</v>
      </c>
      <c r="F1751" s="525">
        <f t="shared" si="71"/>
        <v>3051.3</v>
      </c>
      <c r="G1751" s="667">
        <f>G1748-G1750</f>
        <v>3351.21</v>
      </c>
      <c r="H1751" s="288">
        <f>H1748-H1750</f>
        <v>3153.86</v>
      </c>
      <c r="I1751" s="288"/>
      <c r="J1751" s="263"/>
    </row>
    <row r="1752" spans="1:10" x14ac:dyDescent="0.2">
      <c r="A1752" s="527" t="s">
        <v>22</v>
      </c>
      <c r="B1752" s="528"/>
      <c r="C1752" s="551">
        <v>2018</v>
      </c>
      <c r="D1752" s="529">
        <v>2019</v>
      </c>
      <c r="E1752" s="529">
        <v>2020</v>
      </c>
      <c r="F1752" s="538">
        <v>2021</v>
      </c>
      <c r="G1752" s="539">
        <v>2022</v>
      </c>
      <c r="H1752" s="539">
        <v>2023</v>
      </c>
      <c r="I1752" s="539">
        <v>2024</v>
      </c>
      <c r="J1752" s="263"/>
    </row>
    <row r="1753" spans="1:10" x14ac:dyDescent="0.2">
      <c r="A1753" s="540" t="s">
        <v>120</v>
      </c>
      <c r="B1753" s="541"/>
      <c r="C1753" s="541"/>
      <c r="D1753" s="541"/>
      <c r="E1753" s="541"/>
      <c r="F1753" s="541"/>
      <c r="G1753" s="541"/>
      <c r="H1753" s="541"/>
      <c r="I1753" s="542"/>
      <c r="J1753" s="263"/>
    </row>
    <row r="1754" spans="1:10" x14ac:dyDescent="0.2">
      <c r="A1754" s="543" t="s">
        <v>121</v>
      </c>
      <c r="B1754" s="515"/>
      <c r="C1754" s="515"/>
      <c r="D1754" s="515"/>
      <c r="E1754" s="515"/>
      <c r="F1754" s="515"/>
      <c r="G1754" s="515"/>
      <c r="H1754" s="515"/>
      <c r="I1754" s="544"/>
      <c r="J1754" s="263"/>
    </row>
    <row r="1755" spans="1:10" x14ac:dyDescent="0.2">
      <c r="A1755" s="543" t="s">
        <v>122</v>
      </c>
      <c r="B1755" s="515"/>
      <c r="C1755" s="515"/>
      <c r="D1755" s="515"/>
      <c r="E1755" s="515"/>
      <c r="F1755" s="515"/>
      <c r="G1755" s="515"/>
      <c r="H1755" s="515"/>
      <c r="I1755" s="544"/>
      <c r="J1755" s="263"/>
    </row>
    <row r="1756" spans="1:10" x14ac:dyDescent="0.2">
      <c r="A1756" s="543" t="s">
        <v>123</v>
      </c>
      <c r="B1756" s="515"/>
      <c r="C1756" s="515"/>
      <c r="D1756" s="515"/>
      <c r="E1756" s="515"/>
      <c r="F1756" s="515"/>
      <c r="G1756" s="515"/>
      <c r="H1756" s="515"/>
      <c r="I1756" s="544"/>
      <c r="J1756" s="263"/>
    </row>
    <row r="1757" spans="1:10" x14ac:dyDescent="0.2">
      <c r="A1757" s="262" t="s">
        <v>303</v>
      </c>
      <c r="B1757" s="515"/>
      <c r="C1757" s="515"/>
      <c r="D1757" s="515"/>
      <c r="E1757" s="515"/>
      <c r="F1757" s="515"/>
      <c r="G1757" s="515"/>
      <c r="H1757" s="515"/>
      <c r="I1757" s="544"/>
      <c r="J1757" s="263"/>
    </row>
    <row r="1758" spans="1:10" x14ac:dyDescent="0.2">
      <c r="A1758" s="543" t="s">
        <v>544</v>
      </c>
      <c r="B1758" s="515"/>
      <c r="C1758" s="515"/>
      <c r="D1758" s="515"/>
      <c r="E1758" s="515"/>
      <c r="F1758" s="515"/>
      <c r="G1758" s="515"/>
      <c r="H1758" s="515"/>
      <c r="I1758" s="544"/>
      <c r="J1758" s="263"/>
    </row>
    <row r="1759" spans="1:10" x14ac:dyDescent="0.2">
      <c r="A1759" s="543" t="s">
        <v>690</v>
      </c>
      <c r="B1759" s="515"/>
      <c r="C1759" s="515"/>
      <c r="D1759" s="515"/>
      <c r="E1759" s="515"/>
      <c r="F1759" s="515"/>
      <c r="G1759" s="515"/>
      <c r="H1759" s="515"/>
      <c r="I1759" s="544"/>
      <c r="J1759" s="263"/>
    </row>
    <row r="1760" spans="1:10" x14ac:dyDescent="0.2">
      <c r="A1760" s="545" t="s">
        <v>947</v>
      </c>
      <c r="B1760" s="546"/>
      <c r="C1760" s="546"/>
      <c r="D1760" s="546"/>
      <c r="E1760" s="546"/>
      <c r="F1760" s="546"/>
      <c r="G1760" s="546"/>
      <c r="H1760" s="546"/>
      <c r="I1760" s="547"/>
      <c r="J1760" s="263"/>
    </row>
    <row r="1761" spans="1:10" x14ac:dyDescent="0.2">
      <c r="A1761" s="263"/>
      <c r="B1761" s="263"/>
      <c r="C1761" s="263"/>
      <c r="D1761" s="263"/>
      <c r="E1761" s="263"/>
      <c r="F1761" s="263"/>
      <c r="G1761" s="263"/>
      <c r="H1761" s="263"/>
      <c r="I1761" s="263"/>
      <c r="J1761" s="263"/>
    </row>
    <row r="1762" spans="1:10" x14ac:dyDescent="0.2">
      <c r="A1762" s="516" t="s">
        <v>14</v>
      </c>
      <c r="B1762" s="517" t="s">
        <v>660</v>
      </c>
      <c r="C1762" s="518" t="s">
        <v>15</v>
      </c>
      <c r="D1762" s="515"/>
      <c r="E1762" s="515"/>
      <c r="F1762" s="515"/>
      <c r="G1762" s="515"/>
      <c r="H1762" s="515"/>
      <c r="I1762" s="263"/>
      <c r="J1762" s="263"/>
    </row>
    <row r="1763" spans="1:10" x14ac:dyDescent="0.2">
      <c r="A1763" s="519" t="s">
        <v>16</v>
      </c>
      <c r="B1763" s="520"/>
      <c r="C1763" s="552">
        <v>2017</v>
      </c>
      <c r="D1763" s="553">
        <v>2018</v>
      </c>
      <c r="E1763" s="553">
        <v>2019</v>
      </c>
      <c r="F1763" s="554">
        <v>2020</v>
      </c>
      <c r="G1763" s="536">
        <v>2021</v>
      </c>
      <c r="H1763" s="536">
        <v>2022</v>
      </c>
      <c r="I1763" s="536">
        <v>2023</v>
      </c>
      <c r="J1763" s="263"/>
    </row>
    <row r="1764" spans="1:10" x14ac:dyDescent="0.2">
      <c r="A1764" s="519" t="s">
        <v>17</v>
      </c>
      <c r="B1764" s="519"/>
      <c r="C1764" s="555">
        <v>100</v>
      </c>
      <c r="D1764" s="555">
        <v>100</v>
      </c>
      <c r="E1764" s="288">
        <v>100</v>
      </c>
      <c r="F1764" s="288">
        <v>100</v>
      </c>
      <c r="G1764" s="288">
        <v>100</v>
      </c>
      <c r="H1764" s="288">
        <v>100</v>
      </c>
      <c r="I1764" s="288">
        <v>100</v>
      </c>
      <c r="J1764" s="263"/>
    </row>
    <row r="1765" spans="1:10" x14ac:dyDescent="0.2">
      <c r="A1765" s="519" t="s">
        <v>18</v>
      </c>
      <c r="B1765" s="519"/>
      <c r="C1765" s="555">
        <v>99.94</v>
      </c>
      <c r="D1765" s="555">
        <v>99.94</v>
      </c>
      <c r="E1765" s="288">
        <v>99.94</v>
      </c>
      <c r="F1765" s="288">
        <v>99.94</v>
      </c>
      <c r="G1765" s="288">
        <v>99.94</v>
      </c>
      <c r="H1765" s="288">
        <f>H1764-50-25-24.94+G1768</f>
        <v>100</v>
      </c>
      <c r="I1765" s="288">
        <f>I1764-50-25-24.94+H1768</f>
        <v>100.06</v>
      </c>
      <c r="J1765" s="263"/>
    </row>
    <row r="1766" spans="1:10" x14ac:dyDescent="0.2">
      <c r="A1766" s="519" t="s">
        <v>19</v>
      </c>
      <c r="B1766" s="519"/>
      <c r="C1766" s="288"/>
      <c r="D1766" s="288"/>
      <c r="E1766" s="288"/>
      <c r="F1766" s="288"/>
      <c r="G1766" s="288"/>
      <c r="H1766" s="288"/>
      <c r="I1766" s="288"/>
      <c r="J1766" s="263"/>
    </row>
    <row r="1767" spans="1:10" x14ac:dyDescent="0.2">
      <c r="A1767" s="519" t="s">
        <v>20</v>
      </c>
      <c r="B1767" s="519"/>
      <c r="C1767" s="555">
        <v>0</v>
      </c>
      <c r="D1767" s="555">
        <v>0</v>
      </c>
      <c r="E1767" s="555">
        <v>0</v>
      </c>
      <c r="F1767" s="288">
        <v>0</v>
      </c>
      <c r="G1767" s="288">
        <v>0</v>
      </c>
      <c r="H1767" s="288">
        <v>0</v>
      </c>
      <c r="I1767" s="288"/>
      <c r="J1767" s="263"/>
    </row>
    <row r="1768" spans="1:10" x14ac:dyDescent="0.2">
      <c r="A1768" s="519" t="s">
        <v>21</v>
      </c>
      <c r="B1768" s="520"/>
      <c r="C1768" s="556">
        <v>99.94</v>
      </c>
      <c r="D1768" s="556">
        <v>99.94</v>
      </c>
      <c r="E1768" s="556">
        <v>99.94</v>
      </c>
      <c r="F1768" s="549">
        <v>99.94</v>
      </c>
      <c r="G1768" s="288">
        <v>99.94</v>
      </c>
      <c r="H1768" s="288">
        <f>H1764-H1767</f>
        <v>100</v>
      </c>
      <c r="I1768" s="288"/>
      <c r="J1768" s="263"/>
    </row>
    <row r="1769" spans="1:10" x14ac:dyDescent="0.2">
      <c r="A1769" s="527" t="s">
        <v>22</v>
      </c>
      <c r="B1769" s="528"/>
      <c r="C1769" s="551">
        <v>2018</v>
      </c>
      <c r="D1769" s="529">
        <v>2019</v>
      </c>
      <c r="E1769" s="529">
        <v>2020</v>
      </c>
      <c r="F1769" s="538">
        <v>2021</v>
      </c>
      <c r="G1769" s="539">
        <v>2022</v>
      </c>
      <c r="H1769" s="539">
        <v>2023</v>
      </c>
      <c r="I1769" s="539">
        <v>2024</v>
      </c>
      <c r="J1769" s="263"/>
    </row>
    <row r="1770" spans="1:10" x14ac:dyDescent="0.2">
      <c r="A1770" s="540" t="s">
        <v>124</v>
      </c>
      <c r="B1770" s="541"/>
      <c r="C1770" s="541"/>
      <c r="D1770" s="541"/>
      <c r="E1770" s="541"/>
      <c r="F1770" s="541"/>
      <c r="G1770" s="541"/>
      <c r="H1770" s="541"/>
      <c r="I1770" s="542"/>
      <c r="J1770" s="263"/>
    </row>
    <row r="1771" spans="1:10" x14ac:dyDescent="0.2">
      <c r="A1771" s="543" t="s">
        <v>125</v>
      </c>
      <c r="B1771" s="515"/>
      <c r="C1771" s="515"/>
      <c r="D1771" s="515"/>
      <c r="E1771" s="515"/>
      <c r="F1771" s="515"/>
      <c r="G1771" s="515"/>
      <c r="H1771" s="515"/>
      <c r="I1771" s="544"/>
      <c r="J1771" s="263"/>
    </row>
    <row r="1772" spans="1:10" x14ac:dyDescent="0.2">
      <c r="A1772" s="543" t="s">
        <v>126</v>
      </c>
      <c r="B1772" s="515"/>
      <c r="C1772" s="515"/>
      <c r="D1772" s="515"/>
      <c r="E1772" s="515"/>
      <c r="F1772" s="515"/>
      <c r="G1772" s="515"/>
      <c r="H1772" s="515"/>
      <c r="I1772" s="544"/>
      <c r="J1772" s="263"/>
    </row>
    <row r="1773" spans="1:10" x14ac:dyDescent="0.2">
      <c r="A1773" s="543" t="s">
        <v>127</v>
      </c>
      <c r="B1773" s="515"/>
      <c r="C1773" s="515"/>
      <c r="D1773" s="515"/>
      <c r="E1773" s="515"/>
      <c r="F1773" s="515"/>
      <c r="G1773" s="515"/>
      <c r="H1773" s="515"/>
      <c r="I1773" s="544"/>
      <c r="J1773" s="263"/>
    </row>
    <row r="1774" spans="1:10" x14ac:dyDescent="0.2">
      <c r="A1774" s="543" t="s">
        <v>304</v>
      </c>
      <c r="B1774" s="515"/>
      <c r="C1774" s="515"/>
      <c r="D1774" s="515"/>
      <c r="E1774" s="515"/>
      <c r="F1774" s="515"/>
      <c r="G1774" s="515"/>
      <c r="H1774" s="515"/>
      <c r="I1774" s="544"/>
      <c r="J1774" s="263"/>
    </row>
    <row r="1775" spans="1:10" x14ac:dyDescent="0.2">
      <c r="A1775" s="543" t="s">
        <v>545</v>
      </c>
      <c r="B1775" s="515"/>
      <c r="C1775" s="515"/>
      <c r="D1775" s="515"/>
      <c r="E1775" s="515"/>
      <c r="F1775" s="515"/>
      <c r="G1775" s="515"/>
      <c r="H1775" s="515"/>
      <c r="I1775" s="544"/>
      <c r="J1775" s="263"/>
    </row>
    <row r="1776" spans="1:10" x14ac:dyDescent="0.2">
      <c r="A1776" s="543" t="s">
        <v>586</v>
      </c>
      <c r="B1776" s="515"/>
      <c r="C1776" s="515"/>
      <c r="D1776" s="515"/>
      <c r="E1776" s="515"/>
      <c r="F1776" s="515"/>
      <c r="G1776" s="515"/>
      <c r="H1776" s="515"/>
      <c r="I1776" s="544"/>
      <c r="J1776" s="263"/>
    </row>
    <row r="1777" spans="1:10" x14ac:dyDescent="0.2">
      <c r="A1777" s="545" t="s">
        <v>948</v>
      </c>
      <c r="B1777" s="546"/>
      <c r="C1777" s="546"/>
      <c r="D1777" s="546"/>
      <c r="E1777" s="546"/>
      <c r="F1777" s="546"/>
      <c r="G1777" s="546"/>
      <c r="H1777" s="546"/>
      <c r="I1777" s="547"/>
      <c r="J1777" s="263"/>
    </row>
    <row r="1778" spans="1:10" x14ac:dyDescent="0.2">
      <c r="A1778" s="263"/>
      <c r="B1778" s="263"/>
      <c r="C1778" s="263"/>
      <c r="D1778" s="263"/>
      <c r="E1778" s="263"/>
      <c r="F1778" s="263"/>
      <c r="G1778" s="263"/>
      <c r="H1778" s="263"/>
      <c r="I1778" s="263"/>
      <c r="J1778" s="263"/>
    </row>
    <row r="1779" spans="1:10" x14ac:dyDescent="0.2">
      <c r="A1779" s="516" t="s">
        <v>14</v>
      </c>
      <c r="B1779" s="517" t="s">
        <v>664</v>
      </c>
      <c r="C1779" s="518" t="s">
        <v>15</v>
      </c>
      <c r="D1779" s="515"/>
      <c r="E1779" s="515"/>
      <c r="F1779" s="515"/>
      <c r="G1779" s="263"/>
      <c r="H1779" s="263"/>
      <c r="I1779" s="263"/>
      <c r="J1779" s="263"/>
    </row>
    <row r="1780" spans="1:10" x14ac:dyDescent="0.2">
      <c r="A1780" s="519" t="s">
        <v>16</v>
      </c>
      <c r="B1780" s="520"/>
      <c r="C1780" s="521">
        <v>2016</v>
      </c>
      <c r="D1780" s="535">
        <v>2017</v>
      </c>
      <c r="E1780" s="523">
        <v>2018</v>
      </c>
      <c r="F1780" s="535">
        <v>2019</v>
      </c>
      <c r="G1780" s="254">
        <v>2020</v>
      </c>
      <c r="H1780" s="254">
        <v>2021</v>
      </c>
      <c r="I1780" s="254">
        <v>2022</v>
      </c>
      <c r="J1780" s="254">
        <v>2023</v>
      </c>
    </row>
    <row r="1781" spans="1:10" x14ac:dyDescent="0.2">
      <c r="A1781" s="519" t="s">
        <v>17</v>
      </c>
      <c r="B1781" s="520"/>
      <c r="C1781" s="557">
        <v>1083.79</v>
      </c>
      <c r="D1781" s="557">
        <v>1083.79</v>
      </c>
      <c r="E1781" s="520">
        <v>1272.8599999999999</v>
      </c>
      <c r="F1781" s="558">
        <v>1272.8599999999999</v>
      </c>
      <c r="G1781" s="268">
        <v>1272.8599999999999</v>
      </c>
      <c r="H1781" s="268">
        <v>1272.8599999999999</v>
      </c>
      <c r="I1781" s="257">
        <v>1341.14</v>
      </c>
      <c r="J1781" s="268">
        <v>1341.14</v>
      </c>
    </row>
    <row r="1782" spans="1:10" x14ac:dyDescent="0.2">
      <c r="A1782" s="519" t="s">
        <v>18</v>
      </c>
      <c r="B1782" s="520"/>
      <c r="C1782" s="557">
        <v>1192.17</v>
      </c>
      <c r="D1782" s="557">
        <v>1192.17</v>
      </c>
      <c r="E1782" s="520">
        <v>1381.24</v>
      </c>
      <c r="F1782" s="558">
        <v>1400.15</v>
      </c>
      <c r="G1782" s="268">
        <v>1400.15</v>
      </c>
      <c r="H1782" s="268">
        <v>1400.15</v>
      </c>
      <c r="I1782" s="257">
        <f>I1781+0.1*H1781</f>
        <v>1468.4260000000002</v>
      </c>
      <c r="J1782" s="257">
        <f>J1781+I1785</f>
        <v>1447.6760000000002</v>
      </c>
    </row>
    <row r="1783" spans="1:10" x14ac:dyDescent="0.2">
      <c r="A1783" s="519" t="s">
        <v>19</v>
      </c>
      <c r="B1783" s="520"/>
      <c r="C1783" s="520"/>
      <c r="D1783" s="558"/>
      <c r="E1783" s="520"/>
      <c r="F1783" s="558"/>
      <c r="G1783" s="268"/>
      <c r="H1783" s="268"/>
      <c r="I1783" s="257"/>
      <c r="J1783" s="268"/>
    </row>
    <row r="1784" spans="1:10" x14ac:dyDescent="0.2">
      <c r="A1784" s="519" t="s">
        <v>20</v>
      </c>
      <c r="B1784" s="520"/>
      <c r="C1784" s="557">
        <v>1025.0999999999999</v>
      </c>
      <c r="D1784" s="558">
        <v>996.8</v>
      </c>
      <c r="E1784" s="520">
        <v>1028.26</v>
      </c>
      <c r="F1784" s="558">
        <v>1190.78</v>
      </c>
      <c r="G1784" s="268">
        <v>1184.99</v>
      </c>
      <c r="H1784" s="573">
        <v>1205.69</v>
      </c>
      <c r="I1784" s="257">
        <v>1361.89</v>
      </c>
      <c r="J1784" s="268"/>
    </row>
    <row r="1785" spans="1:10" x14ac:dyDescent="0.2">
      <c r="A1785" s="519" t="s">
        <v>21</v>
      </c>
      <c r="B1785" s="520"/>
      <c r="C1785" s="557">
        <f>C1782-C1784</f>
        <v>167.07000000000016</v>
      </c>
      <c r="D1785" s="557">
        <f t="shared" ref="D1785:G1785" si="72">D1782-D1784</f>
        <v>195.37000000000012</v>
      </c>
      <c r="E1785" s="557">
        <f t="shared" si="72"/>
        <v>352.98</v>
      </c>
      <c r="F1785" s="557">
        <f t="shared" si="72"/>
        <v>209.37000000000012</v>
      </c>
      <c r="G1785" s="557">
        <f t="shared" si="72"/>
        <v>215.16000000000008</v>
      </c>
      <c r="H1785" s="573">
        <f>H1782-H1784</f>
        <v>194.46000000000004</v>
      </c>
      <c r="I1785" s="257">
        <f>I1782-I1784</f>
        <v>106.53600000000006</v>
      </c>
      <c r="J1785" s="268"/>
    </row>
    <row r="1786" spans="1:10" x14ac:dyDescent="0.2">
      <c r="A1786" s="527" t="s">
        <v>22</v>
      </c>
      <c r="B1786" s="528"/>
      <c r="C1786" s="529">
        <v>2017</v>
      </c>
      <c r="D1786" s="538">
        <v>2018</v>
      </c>
      <c r="E1786" s="529">
        <v>2019</v>
      </c>
      <c r="F1786" s="538">
        <v>2020</v>
      </c>
      <c r="G1786" s="292">
        <v>2021</v>
      </c>
      <c r="H1786" s="292">
        <v>2022</v>
      </c>
      <c r="I1786" s="292">
        <v>2023</v>
      </c>
      <c r="J1786" s="292">
        <v>2024</v>
      </c>
    </row>
    <row r="1787" spans="1:10" x14ac:dyDescent="0.2">
      <c r="A1787" s="540" t="s">
        <v>547</v>
      </c>
      <c r="B1787" s="541"/>
      <c r="C1787" s="559"/>
      <c r="D1787" s="559"/>
      <c r="E1787" s="559"/>
      <c r="F1787" s="559"/>
      <c r="G1787" s="337"/>
      <c r="H1787" s="337"/>
      <c r="I1787" s="337"/>
      <c r="J1787" s="293"/>
    </row>
    <row r="1788" spans="1:10" x14ac:dyDescent="0.2">
      <c r="A1788" s="543" t="s">
        <v>128</v>
      </c>
      <c r="B1788" s="515"/>
      <c r="C1788" s="515"/>
      <c r="D1788" s="515"/>
      <c r="E1788" s="515"/>
      <c r="F1788" s="515"/>
      <c r="G1788" s="263"/>
      <c r="H1788" s="263"/>
      <c r="I1788" s="263"/>
      <c r="J1788" s="264"/>
    </row>
    <row r="1789" spans="1:10" x14ac:dyDescent="0.2">
      <c r="A1789" s="543" t="s">
        <v>129</v>
      </c>
      <c r="B1789" s="515"/>
      <c r="C1789" s="515"/>
      <c r="D1789" s="515"/>
      <c r="E1789" s="515"/>
      <c r="F1789" s="515"/>
      <c r="G1789" s="263"/>
      <c r="H1789" s="263"/>
      <c r="I1789" s="263"/>
      <c r="J1789" s="264"/>
    </row>
    <row r="1790" spans="1:10" x14ac:dyDescent="0.2">
      <c r="A1790" s="543" t="s">
        <v>130</v>
      </c>
      <c r="B1790" s="515"/>
      <c r="C1790" s="515"/>
      <c r="D1790" s="515"/>
      <c r="E1790" s="515"/>
      <c r="F1790" s="515"/>
      <c r="G1790" s="263"/>
      <c r="H1790" s="263"/>
      <c r="I1790" s="263"/>
      <c r="J1790" s="264"/>
    </row>
    <row r="1791" spans="1:10" x14ac:dyDescent="0.2">
      <c r="A1791" s="543" t="s">
        <v>131</v>
      </c>
      <c r="B1791" s="515"/>
      <c r="C1791" s="515"/>
      <c r="D1791" s="515"/>
      <c r="E1791" s="515"/>
      <c r="F1791" s="515"/>
      <c r="G1791" s="263"/>
      <c r="H1791" s="263"/>
      <c r="I1791" s="263"/>
      <c r="J1791" s="264"/>
    </row>
    <row r="1792" spans="1:10" x14ac:dyDescent="0.2">
      <c r="A1792" s="543" t="s">
        <v>305</v>
      </c>
      <c r="B1792" s="515"/>
      <c r="C1792" s="515"/>
      <c r="D1792" s="515"/>
      <c r="E1792" s="515"/>
      <c r="F1792" s="515"/>
      <c r="G1792" s="263"/>
      <c r="H1792" s="263"/>
      <c r="I1792" s="263"/>
      <c r="J1792" s="264"/>
    </row>
    <row r="1793" spans="1:10" x14ac:dyDescent="0.2">
      <c r="A1793" s="543" t="s">
        <v>546</v>
      </c>
      <c r="B1793" s="515"/>
      <c r="C1793" s="515"/>
      <c r="D1793" s="515"/>
      <c r="E1793" s="515"/>
      <c r="F1793" s="515"/>
      <c r="G1793" s="263"/>
      <c r="H1793" s="263"/>
      <c r="I1793" s="263"/>
      <c r="J1793" s="264"/>
    </row>
    <row r="1794" spans="1:10" x14ac:dyDescent="0.2">
      <c r="A1794" s="543" t="s">
        <v>692</v>
      </c>
      <c r="B1794" s="515"/>
      <c r="C1794" s="515"/>
      <c r="D1794" s="515"/>
      <c r="E1794" s="515"/>
      <c r="F1794" s="515"/>
      <c r="G1794" s="263"/>
      <c r="H1794" s="263"/>
      <c r="I1794" s="263"/>
      <c r="J1794" s="264"/>
    </row>
    <row r="1795" spans="1:10" x14ac:dyDescent="0.2">
      <c r="A1795" s="543" t="s">
        <v>949</v>
      </c>
      <c r="B1795" s="515"/>
      <c r="C1795" s="515"/>
      <c r="D1795" s="515"/>
      <c r="E1795" s="515"/>
      <c r="F1795" s="515"/>
      <c r="G1795" s="263"/>
      <c r="H1795" s="263"/>
      <c r="I1795" s="263"/>
      <c r="J1795" s="264"/>
    </row>
    <row r="1796" spans="1:10" x14ac:dyDescent="0.2">
      <c r="A1796" s="262" t="s">
        <v>548</v>
      </c>
      <c r="B1796" s="263"/>
      <c r="C1796" s="263"/>
      <c r="D1796" s="263"/>
      <c r="E1796" s="263"/>
      <c r="F1796" s="263"/>
      <c r="G1796" s="263"/>
      <c r="H1796" s="263"/>
      <c r="I1796" s="263"/>
      <c r="J1796" s="264"/>
    </row>
    <row r="1797" spans="1:10" x14ac:dyDescent="0.2">
      <c r="A1797" s="262" t="s">
        <v>693</v>
      </c>
      <c r="B1797" s="263"/>
      <c r="C1797" s="263"/>
      <c r="D1797" s="263"/>
      <c r="E1797" s="263"/>
      <c r="F1797" s="263"/>
      <c r="G1797" s="263"/>
      <c r="H1797" s="263"/>
      <c r="I1797" s="263"/>
      <c r="J1797" s="264"/>
    </row>
    <row r="1798" spans="1:10" x14ac:dyDescent="0.2">
      <c r="A1798" s="253" t="s">
        <v>950</v>
      </c>
      <c r="B1798" s="265"/>
      <c r="C1798" s="265"/>
      <c r="D1798" s="265"/>
      <c r="E1798" s="265"/>
      <c r="F1798" s="265"/>
      <c r="G1798" s="265"/>
      <c r="H1798" s="265"/>
      <c r="I1798" s="265"/>
      <c r="J1798" s="266"/>
    </row>
    <row r="1799" spans="1:10" x14ac:dyDescent="0.2">
      <c r="A1799" s="263"/>
      <c r="B1799" s="263"/>
      <c r="C1799" s="263"/>
      <c r="D1799" s="263"/>
      <c r="E1799" s="263"/>
      <c r="F1799" s="263"/>
      <c r="G1799" s="263"/>
      <c r="H1799" s="263"/>
      <c r="I1799" s="263"/>
      <c r="J1799" s="263"/>
    </row>
    <row r="1800" spans="1:10" x14ac:dyDescent="0.2">
      <c r="A1800" s="263"/>
      <c r="B1800" s="263"/>
      <c r="C1800" s="263"/>
      <c r="D1800" s="263"/>
      <c r="E1800" s="263"/>
      <c r="F1800" s="263"/>
      <c r="G1800" s="263"/>
      <c r="H1800" s="263"/>
      <c r="I1800" s="263"/>
      <c r="J1800" s="263"/>
    </row>
    <row r="1801" spans="1:10" x14ac:dyDescent="0.2">
      <c r="A1801" s="690" t="s">
        <v>24</v>
      </c>
      <c r="B1801" s="682" t="s">
        <v>549</v>
      </c>
      <c r="C1801" s="263"/>
      <c r="D1801" s="263"/>
      <c r="E1801" s="263"/>
      <c r="F1801" s="263"/>
      <c r="G1801" s="263"/>
      <c r="H1801" s="263"/>
      <c r="I1801" s="263"/>
      <c r="J1801" s="263"/>
    </row>
    <row r="1802" spans="1:10" x14ac:dyDescent="0.2">
      <c r="A1802" s="419" t="s">
        <v>14</v>
      </c>
      <c r="B1802" s="420" t="s">
        <v>638</v>
      </c>
      <c r="C1802" s="493" t="s">
        <v>26</v>
      </c>
      <c r="D1802" s="263"/>
      <c r="E1802" s="263"/>
      <c r="F1802" s="263"/>
      <c r="G1802" s="263"/>
      <c r="H1802" s="263"/>
      <c r="I1802" s="263"/>
      <c r="J1802" s="263"/>
    </row>
    <row r="1803" spans="1:10" x14ac:dyDescent="0.2">
      <c r="A1803" s="494" t="s">
        <v>27</v>
      </c>
      <c r="B1803" s="400">
        <v>2016</v>
      </c>
      <c r="C1803" s="254">
        <v>2017</v>
      </c>
      <c r="D1803" s="483">
        <v>2018</v>
      </c>
      <c r="E1803" s="254">
        <v>2019</v>
      </c>
      <c r="F1803" s="254">
        <v>2020</v>
      </c>
      <c r="G1803" s="254">
        <v>2021</v>
      </c>
      <c r="H1803" s="254">
        <v>2022</v>
      </c>
      <c r="I1803" s="254">
        <v>2023</v>
      </c>
      <c r="J1803" s="263"/>
    </row>
    <row r="1804" spans="1:10" x14ac:dyDescent="0.2">
      <c r="A1804" s="268" t="s">
        <v>28</v>
      </c>
      <c r="B1804" s="382">
        <v>250</v>
      </c>
      <c r="C1804" s="382">
        <v>250</v>
      </c>
      <c r="D1804" s="382">
        <v>300</v>
      </c>
      <c r="E1804" s="382">
        <v>300</v>
      </c>
      <c r="F1804" s="257">
        <v>300</v>
      </c>
      <c r="G1804" s="268">
        <v>337.5</v>
      </c>
      <c r="H1804" s="268">
        <v>337.5</v>
      </c>
      <c r="I1804" s="268">
        <v>337.5</v>
      </c>
      <c r="J1804" s="263"/>
    </row>
    <row r="1805" spans="1:10" x14ac:dyDescent="0.2">
      <c r="A1805" s="268" t="s">
        <v>29</v>
      </c>
      <c r="B1805" s="382">
        <v>-415.21000000000004</v>
      </c>
      <c r="C1805" s="382">
        <f>B1808+C1804+60+150+114</f>
        <v>-128.19000000000005</v>
      </c>
      <c r="D1805" s="382">
        <f>C1808+D1804</f>
        <v>-129.54000000000008</v>
      </c>
      <c r="E1805" s="382">
        <f>E1804+D1808</f>
        <v>5.0099999999999341</v>
      </c>
      <c r="F1805" s="382">
        <f>E1808+F1804</f>
        <v>84.089999999999947</v>
      </c>
      <c r="G1805" s="382">
        <f>G1804+F1808</f>
        <v>175.66999999999996</v>
      </c>
      <c r="H1805" s="382">
        <f>H1804+G1808</f>
        <v>214.65699999999998</v>
      </c>
      <c r="I1805" s="382">
        <f>I1804+H1808</f>
        <v>234.81599999999997</v>
      </c>
      <c r="J1805" s="263"/>
    </row>
    <row r="1806" spans="1:10" x14ac:dyDescent="0.2">
      <c r="A1806" s="268" t="s">
        <v>30</v>
      </c>
      <c r="B1806" s="495"/>
      <c r="C1806" s="560" t="s">
        <v>552</v>
      </c>
      <c r="D1806" s="495" t="s">
        <v>553</v>
      </c>
      <c r="E1806" s="495" t="s">
        <v>554</v>
      </c>
      <c r="F1806" s="495" t="s">
        <v>557</v>
      </c>
      <c r="G1806" s="495" t="s">
        <v>559</v>
      </c>
      <c r="H1806" s="495" t="s">
        <v>719</v>
      </c>
      <c r="I1806" s="495" t="s">
        <v>923</v>
      </c>
      <c r="J1806" s="263"/>
    </row>
    <row r="1807" spans="1:10" x14ac:dyDescent="0.2">
      <c r="A1807" s="268" t="s">
        <v>31</v>
      </c>
      <c r="B1807" s="382">
        <v>286.98</v>
      </c>
      <c r="C1807" s="382">
        <v>301.35000000000002</v>
      </c>
      <c r="D1807" s="382">
        <v>165.45</v>
      </c>
      <c r="E1807" s="382">
        <v>220.92</v>
      </c>
      <c r="F1807" s="257">
        <v>245.92</v>
      </c>
      <c r="G1807" s="268">
        <v>298.51299999999998</v>
      </c>
      <c r="H1807" s="268">
        <v>317.34100000000001</v>
      </c>
      <c r="I1807" s="268"/>
      <c r="J1807" s="263"/>
    </row>
    <row r="1808" spans="1:10" x14ac:dyDescent="0.2">
      <c r="A1808" s="268" t="s">
        <v>32</v>
      </c>
      <c r="B1808" s="382">
        <f>B1805-B1807</f>
        <v>-702.19</v>
      </c>
      <c r="C1808" s="382">
        <f t="shared" ref="C1808:D1808" si="73">C1805-C1807</f>
        <v>-429.54000000000008</v>
      </c>
      <c r="D1808" s="382">
        <f t="shared" si="73"/>
        <v>-294.99000000000007</v>
      </c>
      <c r="E1808" s="382">
        <f>E1805-E1807</f>
        <v>-215.91000000000005</v>
      </c>
      <c r="F1808" s="382">
        <f>F1805-F1807</f>
        <v>-161.83000000000004</v>
      </c>
      <c r="G1808" s="257">
        <f>G1805-G1807</f>
        <v>-122.84300000000002</v>
      </c>
      <c r="H1808" s="257">
        <f>H1805-H1807</f>
        <v>-102.68400000000003</v>
      </c>
      <c r="I1808" s="268"/>
      <c r="J1808" s="263"/>
    </row>
    <row r="1809" spans="1:10" x14ac:dyDescent="0.2">
      <c r="A1809" s="260" t="s">
        <v>33</v>
      </c>
      <c r="B1809" s="292">
        <v>2018</v>
      </c>
      <c r="C1809" s="292">
        <v>2018</v>
      </c>
      <c r="D1809" s="292">
        <v>2019</v>
      </c>
      <c r="E1809" s="292">
        <v>2020</v>
      </c>
      <c r="F1809" s="292">
        <v>2021</v>
      </c>
      <c r="G1809" s="292">
        <v>2022</v>
      </c>
      <c r="H1809" s="292">
        <v>2023</v>
      </c>
      <c r="I1809" s="292">
        <v>2024</v>
      </c>
      <c r="J1809" s="263"/>
    </row>
    <row r="1810" spans="1:10" x14ac:dyDescent="0.2">
      <c r="A1810" s="260" t="s">
        <v>551</v>
      </c>
      <c r="B1810" s="337"/>
      <c r="C1810" s="337"/>
      <c r="D1810" s="337"/>
      <c r="E1810" s="337"/>
      <c r="F1810" s="337"/>
      <c r="G1810" s="261"/>
      <c r="H1810" s="259"/>
      <c r="I1810" s="259"/>
      <c r="J1810" s="263"/>
    </row>
    <row r="1811" spans="1:10" x14ac:dyDescent="0.2">
      <c r="A1811" s="262" t="s">
        <v>555</v>
      </c>
      <c r="B1811" s="496"/>
      <c r="C1811" s="496"/>
      <c r="D1811" s="496"/>
      <c r="E1811" s="496"/>
      <c r="F1811" s="496"/>
      <c r="G1811" s="263"/>
      <c r="H1811" s="264"/>
      <c r="I1811" s="264"/>
      <c r="J1811" s="263"/>
    </row>
    <row r="1812" spans="1:10" x14ac:dyDescent="0.2">
      <c r="A1812" s="262" t="s">
        <v>556</v>
      </c>
      <c r="B1812" s="496"/>
      <c r="C1812" s="496"/>
      <c r="D1812" s="496"/>
      <c r="E1812" s="496"/>
      <c r="F1812" s="496"/>
      <c r="G1812" s="263"/>
      <c r="H1812" s="264"/>
      <c r="I1812" s="264"/>
      <c r="J1812" s="263"/>
    </row>
    <row r="1813" spans="1:10" x14ac:dyDescent="0.2">
      <c r="A1813" s="262" t="s">
        <v>558</v>
      </c>
      <c r="B1813" s="496"/>
      <c r="C1813" s="496"/>
      <c r="D1813" s="496"/>
      <c r="E1813" s="496"/>
      <c r="F1813" s="496"/>
      <c r="G1813" s="263"/>
      <c r="H1813" s="264"/>
      <c r="I1813" s="264"/>
      <c r="J1813" s="263"/>
    </row>
    <row r="1814" spans="1:10" x14ac:dyDescent="0.2">
      <c r="A1814" s="262" t="s">
        <v>560</v>
      </c>
      <c r="B1814" s="496"/>
      <c r="C1814" s="496"/>
      <c r="D1814" s="496"/>
      <c r="E1814" s="496"/>
      <c r="F1814" s="496"/>
      <c r="G1814" s="263"/>
      <c r="H1814" s="264"/>
      <c r="I1814" s="264"/>
      <c r="J1814" s="263"/>
    </row>
    <row r="1815" spans="1:10" x14ac:dyDescent="0.2">
      <c r="A1815" s="262" t="s">
        <v>720</v>
      </c>
      <c r="B1815" s="496"/>
      <c r="C1815" s="496"/>
      <c r="D1815" s="496"/>
      <c r="E1815" s="496"/>
      <c r="F1815" s="496"/>
      <c r="G1815" s="263"/>
      <c r="H1815" s="264"/>
      <c r="I1815" s="264"/>
      <c r="J1815" s="263"/>
    </row>
    <row r="1816" spans="1:10" x14ac:dyDescent="0.2">
      <c r="A1816" s="262" t="s">
        <v>924</v>
      </c>
      <c r="B1816" s="496"/>
      <c r="C1816" s="496"/>
      <c r="D1816" s="496"/>
      <c r="E1816" s="496"/>
      <c r="F1816" s="496"/>
      <c r="G1816" s="263"/>
      <c r="H1816" s="264"/>
      <c r="I1816" s="264"/>
      <c r="J1816" s="263"/>
    </row>
    <row r="1817" spans="1:10" x14ac:dyDescent="0.2">
      <c r="A1817" s="253" t="s">
        <v>550</v>
      </c>
      <c r="B1817" s="561"/>
      <c r="C1817" s="561"/>
      <c r="D1817" s="561"/>
      <c r="E1817" s="561"/>
      <c r="F1817" s="561"/>
      <c r="G1817" s="265"/>
      <c r="H1817" s="266"/>
      <c r="I1817" s="266"/>
      <c r="J1817" s="263"/>
    </row>
    <row r="1818" spans="1:10" x14ac:dyDescent="0.2">
      <c r="A1818" s="418"/>
      <c r="B1818" s="418"/>
      <c r="C1818" s="263"/>
      <c r="D1818" s="263"/>
      <c r="E1818" s="263"/>
      <c r="F1818" s="263"/>
      <c r="G1818" s="263"/>
      <c r="H1818" s="263"/>
      <c r="I1818" s="263"/>
      <c r="J1818" s="263"/>
    </row>
    <row r="1819" spans="1:10" x14ac:dyDescent="0.2">
      <c r="A1819" s="317" t="s">
        <v>14</v>
      </c>
      <c r="B1819" s="331" t="s">
        <v>637</v>
      </c>
      <c r="C1819" s="493" t="s">
        <v>26</v>
      </c>
      <c r="D1819" s="263"/>
      <c r="E1819" s="263"/>
      <c r="F1819" s="263"/>
      <c r="G1819" s="263"/>
      <c r="H1819" s="263"/>
      <c r="I1819" s="263"/>
      <c r="J1819" s="263"/>
    </row>
    <row r="1820" spans="1:10" x14ac:dyDescent="0.2">
      <c r="A1820" s="494" t="s">
        <v>27</v>
      </c>
      <c r="B1820" s="254">
        <v>2016</v>
      </c>
      <c r="C1820" s="254">
        <v>2017</v>
      </c>
      <c r="D1820" s="483">
        <v>2018</v>
      </c>
      <c r="E1820" s="254">
        <v>2019</v>
      </c>
      <c r="F1820" s="254">
        <v>2020</v>
      </c>
      <c r="G1820" s="254">
        <v>2021</v>
      </c>
      <c r="H1820" s="254">
        <v>2022</v>
      </c>
      <c r="I1820" s="254">
        <v>2023</v>
      </c>
      <c r="J1820" s="263"/>
    </row>
    <row r="1821" spans="1:10" x14ac:dyDescent="0.2">
      <c r="A1821" s="268" t="s">
        <v>28</v>
      </c>
      <c r="B1821" s="382">
        <v>85</v>
      </c>
      <c r="C1821" s="382">
        <v>85</v>
      </c>
      <c r="D1821" s="382">
        <v>85</v>
      </c>
      <c r="E1821" s="382">
        <v>85</v>
      </c>
      <c r="F1821" s="257">
        <v>85</v>
      </c>
      <c r="G1821" s="257">
        <v>85</v>
      </c>
      <c r="H1821" s="257">
        <v>85</v>
      </c>
      <c r="I1821" s="257">
        <v>85</v>
      </c>
      <c r="J1821" s="263"/>
    </row>
    <row r="1822" spans="1:10" x14ac:dyDescent="0.2">
      <c r="A1822" s="268" t="s">
        <v>29</v>
      </c>
      <c r="B1822" s="382">
        <f>B1821*1.5</f>
        <v>127.5</v>
      </c>
      <c r="C1822" s="382">
        <f>C1821+0.5*B1821-12.75</f>
        <v>114.75</v>
      </c>
      <c r="D1822" s="382">
        <f>D1821+0.4*B1821-12.75</f>
        <v>106.25</v>
      </c>
      <c r="E1822" s="382">
        <f>E1821+0.4*C1821</f>
        <v>119</v>
      </c>
      <c r="F1822" s="382">
        <f>F1821+0.4*D1821</f>
        <v>119</v>
      </c>
      <c r="G1822" s="382">
        <f>G1821+0.4*E1821</f>
        <v>119</v>
      </c>
      <c r="H1822" s="382">
        <f>H1821+0.4*F1821</f>
        <v>119</v>
      </c>
      <c r="I1822" s="382">
        <f>I1821+0.4*G1821</f>
        <v>119</v>
      </c>
      <c r="J1822" s="263"/>
    </row>
    <row r="1823" spans="1:10" x14ac:dyDescent="0.2">
      <c r="A1823" s="268" t="s">
        <v>30</v>
      </c>
      <c r="B1823" s="385" t="s">
        <v>561</v>
      </c>
      <c r="C1823" s="385" t="s">
        <v>564</v>
      </c>
      <c r="D1823" s="385" t="s">
        <v>565</v>
      </c>
      <c r="E1823" s="385" t="s">
        <v>566</v>
      </c>
      <c r="F1823" s="385" t="s">
        <v>566</v>
      </c>
      <c r="G1823" s="385" t="s">
        <v>566</v>
      </c>
      <c r="H1823" s="385" t="s">
        <v>566</v>
      </c>
      <c r="I1823" s="385" t="s">
        <v>566</v>
      </c>
      <c r="J1823" s="263"/>
    </row>
    <row r="1824" spans="1:10" x14ac:dyDescent="0.2">
      <c r="A1824" s="22" t="s">
        <v>31</v>
      </c>
      <c r="B1824" s="29">
        <v>52.75</v>
      </c>
      <c r="C1824" s="29">
        <v>52.26</v>
      </c>
      <c r="D1824" s="29">
        <v>30.79</v>
      </c>
      <c r="E1824" s="29">
        <v>31.39</v>
      </c>
      <c r="F1824" s="23">
        <v>14.36</v>
      </c>
      <c r="G1824" s="23">
        <v>13.391</v>
      </c>
      <c r="H1824" s="23"/>
      <c r="I1824" s="23"/>
    </row>
    <row r="1825" spans="1:10" x14ac:dyDescent="0.2">
      <c r="A1825" s="22" t="s">
        <v>32</v>
      </c>
      <c r="B1825" s="29">
        <f t="shared" ref="B1825:D1825" si="74">B1822-B1824</f>
        <v>74.75</v>
      </c>
      <c r="C1825" s="29">
        <f t="shared" si="74"/>
        <v>62.49</v>
      </c>
      <c r="D1825" s="29">
        <f t="shared" si="74"/>
        <v>75.460000000000008</v>
      </c>
      <c r="E1825" s="29">
        <f>E1822-E1824</f>
        <v>87.61</v>
      </c>
      <c r="F1825" s="29">
        <f>F1822-F1824</f>
        <v>104.64</v>
      </c>
      <c r="G1825" s="23">
        <f>G1822-G1824</f>
        <v>105.60899999999999</v>
      </c>
      <c r="H1825" s="23"/>
      <c r="I1825" s="23"/>
    </row>
    <row r="1826" spans="1:10" x14ac:dyDescent="0.2">
      <c r="A1826" s="50" t="s">
        <v>33</v>
      </c>
      <c r="B1826" s="58">
        <v>2018</v>
      </c>
      <c r="C1826" s="58">
        <v>2019</v>
      </c>
      <c r="D1826" s="116">
        <v>2020</v>
      </c>
      <c r="E1826" s="58">
        <v>2021</v>
      </c>
      <c r="F1826" s="58">
        <v>2022</v>
      </c>
      <c r="G1826" s="58">
        <v>2023</v>
      </c>
      <c r="H1826" s="58">
        <v>2024</v>
      </c>
      <c r="I1826" s="58">
        <v>2025</v>
      </c>
    </row>
    <row r="1827" spans="1:10" ht="13.15" customHeight="1" x14ac:dyDescent="0.2">
      <c r="A1827" s="50" t="s">
        <v>510</v>
      </c>
      <c r="B1827" s="117"/>
      <c r="C1827" s="117"/>
      <c r="D1827" s="117"/>
      <c r="E1827" s="117"/>
      <c r="F1827" s="117"/>
      <c r="G1827" s="117"/>
      <c r="H1827" s="118"/>
      <c r="I1827" s="118"/>
      <c r="J1827" s="68"/>
    </row>
    <row r="1828" spans="1:10" x14ac:dyDescent="0.2">
      <c r="A1828" s="78" t="s">
        <v>511</v>
      </c>
      <c r="B1828" s="115"/>
      <c r="C1828" s="115"/>
      <c r="D1828" s="115"/>
      <c r="E1828" s="115"/>
      <c r="F1828" s="115"/>
      <c r="G1828" s="115"/>
      <c r="H1828" s="119"/>
      <c r="I1828" s="119"/>
      <c r="J1828" s="115"/>
    </row>
    <row r="1829" spans="1:10" x14ac:dyDescent="0.2">
      <c r="A1829" s="20" t="s">
        <v>562</v>
      </c>
      <c r="H1829" s="21"/>
      <c r="I1829" s="21"/>
    </row>
    <row r="1830" spans="1:10" x14ac:dyDescent="0.2">
      <c r="A1830" s="32" t="s">
        <v>563</v>
      </c>
      <c r="B1830" s="33"/>
      <c r="C1830" s="33"/>
      <c r="D1830" s="33"/>
      <c r="E1830" s="33"/>
      <c r="F1830" s="33"/>
      <c r="G1830" s="33"/>
      <c r="H1830" s="34"/>
      <c r="I1830" s="34"/>
    </row>
    <row r="1832" spans="1:10" x14ac:dyDescent="0.2">
      <c r="A1832" s="96" t="s">
        <v>14</v>
      </c>
      <c r="B1832" s="56" t="s">
        <v>74</v>
      </c>
      <c r="C1832" s="111" t="s">
        <v>26</v>
      </c>
    </row>
    <row r="1833" spans="1:10" x14ac:dyDescent="0.2">
      <c r="A1833" s="53" t="s">
        <v>27</v>
      </c>
      <c r="B1833" s="52">
        <v>2016</v>
      </c>
      <c r="C1833" s="52">
        <v>2017</v>
      </c>
      <c r="D1833" s="66">
        <v>2018</v>
      </c>
      <c r="E1833" s="52">
        <v>2019</v>
      </c>
      <c r="F1833" s="52">
        <v>2020</v>
      </c>
      <c r="G1833" s="52">
        <v>2021</v>
      </c>
      <c r="H1833" s="52">
        <v>2022</v>
      </c>
      <c r="I1833" s="52">
        <v>2023</v>
      </c>
    </row>
    <row r="1834" spans="1:10" x14ac:dyDescent="0.2">
      <c r="A1834" s="22" t="s">
        <v>28</v>
      </c>
      <c r="B1834" s="29">
        <v>100</v>
      </c>
      <c r="C1834" s="29">
        <v>100</v>
      </c>
      <c r="D1834" s="29">
        <v>100</v>
      </c>
      <c r="E1834" s="29">
        <v>100</v>
      </c>
      <c r="F1834" s="23">
        <v>84.1</v>
      </c>
      <c r="G1834" s="23">
        <v>84.1</v>
      </c>
      <c r="H1834" s="23">
        <v>84.1</v>
      </c>
      <c r="I1834" s="23">
        <v>84.1</v>
      </c>
    </row>
    <row r="1835" spans="1:10" x14ac:dyDescent="0.2">
      <c r="A1835" s="22" t="s">
        <v>29</v>
      </c>
      <c r="B1835" s="29">
        <f>B1834*1.1</f>
        <v>110.00000000000001</v>
      </c>
      <c r="C1835" s="29">
        <f>C1834*1.1-30</f>
        <v>80.000000000000014</v>
      </c>
      <c r="D1835" s="29">
        <f>D1834+C1838+0.1*B1834</f>
        <v>92.590000000000018</v>
      </c>
      <c r="E1835" s="29">
        <v>100</v>
      </c>
      <c r="F1835" s="29">
        <f t="shared" ref="F1835:G1835" si="75">F1834+0.1*D1834</f>
        <v>94.1</v>
      </c>
      <c r="G1835" s="29">
        <f t="shared" si="75"/>
        <v>94.1</v>
      </c>
      <c r="H1835" s="29"/>
      <c r="I1835" s="29"/>
    </row>
    <row r="1836" spans="1:10" x14ac:dyDescent="0.2">
      <c r="A1836" s="22" t="s">
        <v>30</v>
      </c>
      <c r="B1836" s="27" t="s">
        <v>568</v>
      </c>
      <c r="C1836" s="27" t="s">
        <v>569</v>
      </c>
      <c r="D1836" s="112" t="s">
        <v>552</v>
      </c>
      <c r="E1836" s="27"/>
      <c r="F1836" s="27" t="s">
        <v>571</v>
      </c>
      <c r="G1836" s="27" t="s">
        <v>571</v>
      </c>
      <c r="H1836" s="27"/>
      <c r="I1836" s="27"/>
    </row>
    <row r="1837" spans="1:10" x14ac:dyDescent="0.2">
      <c r="A1837" s="22" t="s">
        <v>31</v>
      </c>
      <c r="B1837" s="29">
        <v>82.51</v>
      </c>
      <c r="C1837" s="29">
        <v>97.41</v>
      </c>
      <c r="D1837" s="29">
        <v>61.54</v>
      </c>
      <c r="E1837" s="29">
        <v>60.49</v>
      </c>
      <c r="F1837" s="23">
        <v>42.46</v>
      </c>
      <c r="G1837" s="23">
        <v>42.97</v>
      </c>
      <c r="H1837" s="23">
        <v>71.760000000000005</v>
      </c>
      <c r="I1837" s="23"/>
    </row>
    <row r="1838" spans="1:10" x14ac:dyDescent="0.2">
      <c r="A1838" s="22" t="s">
        <v>32</v>
      </c>
      <c r="B1838" s="29">
        <f t="shared" ref="B1838:D1838" si="76">B1835-B1837</f>
        <v>27.490000000000009</v>
      </c>
      <c r="C1838" s="29">
        <f t="shared" si="76"/>
        <v>-17.409999999999982</v>
      </c>
      <c r="D1838" s="29">
        <f t="shared" si="76"/>
        <v>31.050000000000018</v>
      </c>
      <c r="E1838" s="29">
        <f>E1835-E1837</f>
        <v>39.51</v>
      </c>
      <c r="F1838" s="29">
        <f>F1835-F1837</f>
        <v>51.639999999999993</v>
      </c>
      <c r="G1838" s="23">
        <f>G1835-G1837</f>
        <v>51.129999999999995</v>
      </c>
      <c r="H1838" s="23">
        <f>H1834-H1837</f>
        <v>12.339999999999989</v>
      </c>
      <c r="I1838" s="23"/>
    </row>
    <row r="1839" spans="1:10" x14ac:dyDescent="0.2">
      <c r="A1839" s="50" t="s">
        <v>33</v>
      </c>
      <c r="B1839" s="58">
        <v>2018</v>
      </c>
      <c r="C1839" s="58">
        <v>2018</v>
      </c>
      <c r="D1839" s="116">
        <v>2020</v>
      </c>
      <c r="E1839" s="58">
        <v>2021</v>
      </c>
      <c r="F1839" s="58"/>
      <c r="G1839" s="58"/>
      <c r="H1839" s="58"/>
      <c r="I1839" s="58"/>
    </row>
    <row r="1840" spans="1:10" x14ac:dyDescent="0.2">
      <c r="A1840" s="50" t="s">
        <v>567</v>
      </c>
      <c r="B1840" s="117"/>
      <c r="C1840" s="117"/>
      <c r="D1840" s="117"/>
      <c r="E1840" s="117"/>
      <c r="F1840" s="117"/>
      <c r="G1840" s="117"/>
      <c r="H1840" s="117"/>
      <c r="I1840" s="118"/>
    </row>
    <row r="1841" spans="1:10" x14ac:dyDescent="0.2">
      <c r="A1841" s="20" t="s">
        <v>572</v>
      </c>
      <c r="B1841" s="68"/>
      <c r="C1841" s="68"/>
      <c r="D1841" s="68"/>
      <c r="E1841" s="68"/>
      <c r="F1841" s="68"/>
      <c r="G1841" s="68"/>
      <c r="H1841" s="68"/>
      <c r="I1841" s="120"/>
    </row>
    <row r="1842" spans="1:10" x14ac:dyDescent="0.2">
      <c r="A1842" s="32" t="s">
        <v>570</v>
      </c>
      <c r="B1842" s="33"/>
      <c r="C1842" s="33"/>
      <c r="D1842" s="33"/>
      <c r="E1842" s="33"/>
      <c r="F1842" s="33"/>
      <c r="G1842" s="33"/>
      <c r="H1842" s="33"/>
      <c r="I1842" s="34"/>
    </row>
    <row r="1844" spans="1:10" x14ac:dyDescent="0.2">
      <c r="A1844" s="317" t="s">
        <v>14</v>
      </c>
      <c r="B1844" s="331" t="s">
        <v>79</v>
      </c>
      <c r="C1844" s="493" t="s">
        <v>26</v>
      </c>
      <c r="D1844" s="263"/>
      <c r="E1844" s="263"/>
      <c r="F1844" s="263"/>
      <c r="G1844" s="263"/>
      <c r="H1844" s="263"/>
      <c r="I1844" s="263"/>
      <c r="J1844" s="263"/>
    </row>
    <row r="1845" spans="1:10" x14ac:dyDescent="0.2">
      <c r="A1845" s="494" t="s">
        <v>27</v>
      </c>
      <c r="B1845" s="254">
        <v>2016</v>
      </c>
      <c r="C1845" s="254">
        <v>2017</v>
      </c>
      <c r="D1845" s="483">
        <v>2018</v>
      </c>
      <c r="E1845" s="254">
        <v>2019</v>
      </c>
      <c r="F1845" s="254">
        <v>2020</v>
      </c>
      <c r="G1845" s="254">
        <v>2021</v>
      </c>
      <c r="H1845" s="254">
        <v>2022</v>
      </c>
      <c r="I1845" s="254">
        <v>2023</v>
      </c>
      <c r="J1845" s="263"/>
    </row>
    <row r="1846" spans="1:10" x14ac:dyDescent="0.2">
      <c r="A1846" s="268" t="s">
        <v>28</v>
      </c>
      <c r="B1846" s="382">
        <v>50</v>
      </c>
      <c r="C1846" s="382">
        <v>50</v>
      </c>
      <c r="D1846" s="382">
        <v>50</v>
      </c>
      <c r="E1846" s="382">
        <v>50</v>
      </c>
      <c r="F1846" s="382">
        <v>50</v>
      </c>
      <c r="G1846" s="382">
        <v>50</v>
      </c>
      <c r="H1846" s="382">
        <v>50</v>
      </c>
      <c r="I1846" s="382">
        <v>50</v>
      </c>
      <c r="J1846" s="263"/>
    </row>
    <row r="1847" spans="1:10" x14ac:dyDescent="0.2">
      <c r="A1847" s="268" t="s">
        <v>29</v>
      </c>
      <c r="B1847" s="382"/>
      <c r="C1847" s="382">
        <f>C1846+B1850</f>
        <v>-57.97999999999999</v>
      </c>
      <c r="D1847" s="382">
        <f>D1846+C1850</f>
        <v>-158.07</v>
      </c>
      <c r="E1847" s="382">
        <f>D1850+E1846</f>
        <v>-175.964</v>
      </c>
      <c r="F1847" s="382">
        <f>E1850+F1846</f>
        <v>-177.393</v>
      </c>
      <c r="G1847" s="382">
        <f>F1850+G1846</f>
        <v>-162.78800000000001</v>
      </c>
      <c r="H1847" s="382">
        <f>G1850+H1846</f>
        <v>-144.55900000000003</v>
      </c>
      <c r="I1847" s="382">
        <f>H1850+I1846</f>
        <v>-137.78000000000003</v>
      </c>
      <c r="J1847" s="263"/>
    </row>
    <row r="1848" spans="1:10" x14ac:dyDescent="0.2">
      <c r="A1848" s="268" t="s">
        <v>30</v>
      </c>
      <c r="B1848" s="385"/>
      <c r="C1848" s="495" t="s">
        <v>552</v>
      </c>
      <c r="D1848" s="495" t="s">
        <v>553</v>
      </c>
      <c r="E1848" s="495" t="s">
        <v>554</v>
      </c>
      <c r="F1848" s="495" t="s">
        <v>557</v>
      </c>
      <c r="G1848" s="495" t="s">
        <v>559</v>
      </c>
      <c r="H1848" s="495" t="s">
        <v>719</v>
      </c>
      <c r="I1848" s="495" t="s">
        <v>923</v>
      </c>
      <c r="J1848" s="263"/>
    </row>
    <row r="1849" spans="1:10" x14ac:dyDescent="0.2">
      <c r="A1849" s="268" t="s">
        <v>31</v>
      </c>
      <c r="B1849" s="382">
        <v>157.97999999999999</v>
      </c>
      <c r="C1849" s="382">
        <v>150.09</v>
      </c>
      <c r="D1849" s="382">
        <v>67.894000000000005</v>
      </c>
      <c r="E1849" s="382">
        <v>51.429000000000002</v>
      </c>
      <c r="F1849" s="257">
        <v>35.395000000000003</v>
      </c>
      <c r="G1849" s="257">
        <v>31.771000000000001</v>
      </c>
      <c r="H1849" s="257">
        <v>43.220999999999997</v>
      </c>
      <c r="I1849" s="257"/>
      <c r="J1849" s="263"/>
    </row>
    <row r="1850" spans="1:10" x14ac:dyDescent="0.2">
      <c r="A1850" s="268" t="s">
        <v>32</v>
      </c>
      <c r="B1850" s="382">
        <f>B1846-B1849</f>
        <v>-107.97999999999999</v>
      </c>
      <c r="C1850" s="382">
        <f t="shared" ref="C1850:H1850" si="77">C1847-C1849</f>
        <v>-208.07</v>
      </c>
      <c r="D1850" s="382">
        <f t="shared" si="77"/>
        <v>-225.964</v>
      </c>
      <c r="E1850" s="382">
        <f t="shared" si="77"/>
        <v>-227.393</v>
      </c>
      <c r="F1850" s="382">
        <f t="shared" si="77"/>
        <v>-212.78800000000001</v>
      </c>
      <c r="G1850" s="382">
        <f t="shared" si="77"/>
        <v>-194.55900000000003</v>
      </c>
      <c r="H1850" s="382">
        <f t="shared" si="77"/>
        <v>-187.78000000000003</v>
      </c>
      <c r="I1850" s="382"/>
      <c r="J1850" s="263"/>
    </row>
    <row r="1851" spans="1:10" x14ac:dyDescent="0.2">
      <c r="A1851" s="260" t="s">
        <v>33</v>
      </c>
      <c r="B1851" s="292">
        <v>2017</v>
      </c>
      <c r="C1851" s="292">
        <v>2018</v>
      </c>
      <c r="D1851" s="292">
        <v>2019</v>
      </c>
      <c r="E1851" s="292">
        <v>2020</v>
      </c>
      <c r="F1851" s="292">
        <v>2021</v>
      </c>
      <c r="G1851" s="292">
        <v>2022</v>
      </c>
      <c r="H1851" s="292">
        <v>2023</v>
      </c>
      <c r="I1851" s="292">
        <v>2024</v>
      </c>
      <c r="J1851" s="263"/>
    </row>
    <row r="1852" spans="1:10" x14ac:dyDescent="0.2">
      <c r="A1852" s="260" t="s">
        <v>721</v>
      </c>
      <c r="B1852" s="437"/>
      <c r="C1852" s="437"/>
      <c r="D1852" s="437"/>
      <c r="E1852" s="437"/>
      <c r="F1852" s="437"/>
      <c r="G1852" s="437"/>
      <c r="H1852" s="437"/>
      <c r="I1852" s="438"/>
      <c r="J1852" s="263"/>
    </row>
    <row r="1853" spans="1:10" x14ac:dyDescent="0.2">
      <c r="A1853" s="262" t="s">
        <v>555</v>
      </c>
      <c r="B1853" s="426"/>
      <c r="C1853" s="426"/>
      <c r="D1853" s="426"/>
      <c r="E1853" s="426"/>
      <c r="F1853" s="426"/>
      <c r="G1853" s="426"/>
      <c r="H1853" s="426"/>
      <c r="I1853" s="439"/>
      <c r="J1853" s="263"/>
    </row>
    <row r="1854" spans="1:10" x14ac:dyDescent="0.2">
      <c r="A1854" s="262" t="s">
        <v>556</v>
      </c>
      <c r="B1854" s="263"/>
      <c r="C1854" s="263"/>
      <c r="D1854" s="263"/>
      <c r="E1854" s="263"/>
      <c r="F1854" s="263"/>
      <c r="G1854" s="263"/>
      <c r="H1854" s="263"/>
      <c r="I1854" s="264"/>
      <c r="J1854" s="263"/>
    </row>
    <row r="1855" spans="1:10" x14ac:dyDescent="0.2">
      <c r="A1855" s="262" t="s">
        <v>558</v>
      </c>
      <c r="B1855" s="263"/>
      <c r="C1855" s="263"/>
      <c r="D1855" s="263"/>
      <c r="E1855" s="263"/>
      <c r="F1855" s="263"/>
      <c r="G1855" s="263"/>
      <c r="H1855" s="263"/>
      <c r="I1855" s="264"/>
      <c r="J1855" s="263"/>
    </row>
    <row r="1856" spans="1:10" x14ac:dyDescent="0.2">
      <c r="A1856" s="262" t="s">
        <v>560</v>
      </c>
      <c r="B1856" s="263"/>
      <c r="C1856" s="263"/>
      <c r="D1856" s="263"/>
      <c r="E1856" s="263"/>
      <c r="F1856" s="263"/>
      <c r="G1856" s="263"/>
      <c r="H1856" s="263"/>
      <c r="I1856" s="264"/>
      <c r="J1856" s="263"/>
    </row>
    <row r="1857" spans="1:10" x14ac:dyDescent="0.2">
      <c r="A1857" s="262" t="s">
        <v>720</v>
      </c>
      <c r="B1857" s="263"/>
      <c r="C1857" s="263"/>
      <c r="D1857" s="263"/>
      <c r="E1857" s="263"/>
      <c r="F1857" s="263"/>
      <c r="G1857" s="263"/>
      <c r="H1857" s="263"/>
      <c r="I1857" s="264"/>
      <c r="J1857" s="263"/>
    </row>
    <row r="1858" spans="1:10" x14ac:dyDescent="0.2">
      <c r="A1858" s="253" t="s">
        <v>924</v>
      </c>
      <c r="B1858" s="265"/>
      <c r="C1858" s="265"/>
      <c r="D1858" s="265"/>
      <c r="E1858" s="265"/>
      <c r="F1858" s="265"/>
      <c r="G1858" s="265"/>
      <c r="H1858" s="265"/>
      <c r="I1858" s="266"/>
      <c r="J1858" s="263"/>
    </row>
    <row r="1859" spans="1:10" x14ac:dyDescent="0.2">
      <c r="A1859" s="263"/>
      <c r="B1859" s="263"/>
      <c r="C1859" s="263"/>
      <c r="D1859" s="263"/>
      <c r="E1859" s="263"/>
      <c r="F1859" s="263"/>
      <c r="G1859" s="263"/>
      <c r="H1859" s="263"/>
      <c r="I1859" s="263"/>
      <c r="J1859" s="263"/>
    </row>
    <row r="1860" spans="1:10" x14ac:dyDescent="0.2">
      <c r="A1860" s="263"/>
      <c r="B1860" s="263"/>
      <c r="C1860" s="263"/>
      <c r="D1860" s="263"/>
      <c r="E1860" s="263"/>
      <c r="F1860" s="263"/>
      <c r="G1860" s="263"/>
      <c r="H1860" s="263"/>
      <c r="I1860" s="263"/>
      <c r="J1860" s="263"/>
    </row>
    <row r="1861" spans="1:10" x14ac:dyDescent="0.2">
      <c r="A1861" s="263"/>
      <c r="B1861" s="263"/>
      <c r="C1861" s="263"/>
      <c r="D1861" s="263"/>
      <c r="E1861" s="263"/>
      <c r="F1861" s="263"/>
      <c r="G1861" s="263"/>
      <c r="H1861" s="263"/>
      <c r="I1861" s="263"/>
      <c r="J1861" s="263"/>
    </row>
    <row r="1862" spans="1:10" x14ac:dyDescent="0.2">
      <c r="A1862" s="263"/>
      <c r="B1862" s="263"/>
      <c r="C1862" s="263"/>
      <c r="D1862" s="263"/>
      <c r="E1862" s="263"/>
      <c r="F1862" s="263"/>
      <c r="G1862" s="263"/>
      <c r="H1862" s="263"/>
      <c r="I1862" s="263"/>
      <c r="J1862" s="263"/>
    </row>
    <row r="1863" spans="1:10" x14ac:dyDescent="0.2">
      <c r="A1863" s="263"/>
      <c r="B1863" s="263"/>
      <c r="C1863" s="263"/>
      <c r="D1863" s="263"/>
      <c r="E1863" s="263"/>
      <c r="F1863" s="263"/>
      <c r="G1863" s="263"/>
      <c r="H1863" s="263"/>
      <c r="I1863" s="263"/>
      <c r="J1863" s="263"/>
    </row>
  </sheetData>
  <mergeCells count="57">
    <mergeCell ref="A313:M313"/>
    <mergeCell ref="A279:O279"/>
    <mergeCell ref="A312:O312"/>
    <mergeCell ref="A329:O329"/>
    <mergeCell ref="A345:O345"/>
    <mergeCell ref="A15:E15"/>
    <mergeCell ref="C108:J108"/>
    <mergeCell ref="C123:J123"/>
    <mergeCell ref="C139:J139"/>
    <mergeCell ref="A231:J231"/>
    <mergeCell ref="E90:I90"/>
    <mergeCell ref="A230:F230"/>
    <mergeCell ref="A173:G173"/>
    <mergeCell ref="A94:F94"/>
    <mergeCell ref="A95:F95"/>
    <mergeCell ref="A1491:F1491"/>
    <mergeCell ref="A683:J683"/>
    <mergeCell ref="A786:G786"/>
    <mergeCell ref="A781:F781"/>
    <mergeCell ref="A1242:G1242"/>
    <mergeCell ref="A1489:F1489"/>
    <mergeCell ref="A1487:F1487"/>
    <mergeCell ref="A1427:D1427"/>
    <mergeCell ref="A1414:H1414"/>
    <mergeCell ref="A1412:H1412"/>
    <mergeCell ref="A1413:H1413"/>
    <mergeCell ref="A788:G788"/>
    <mergeCell ref="A1398:E1398"/>
    <mergeCell ref="A635:E635"/>
    <mergeCell ref="A784:F784"/>
    <mergeCell ref="A697:J697"/>
    <mergeCell ref="A1243:G1243"/>
    <mergeCell ref="A1611:G1611"/>
    <mergeCell ref="A787:G787"/>
    <mergeCell ref="A1456:G1456"/>
    <mergeCell ref="A187:G187"/>
    <mergeCell ref="A198:G198"/>
    <mergeCell ref="A220:J220"/>
    <mergeCell ref="A395:G395"/>
    <mergeCell ref="A1490:F1490"/>
    <mergeCell ref="A509:F509"/>
    <mergeCell ref="A446:F446"/>
    <mergeCell ref="A494:F494"/>
    <mergeCell ref="A401:G401"/>
    <mergeCell ref="A623:D623"/>
    <mergeCell ref="A791:G791"/>
    <mergeCell ref="A789:G789"/>
    <mergeCell ref="A1488:F1488"/>
    <mergeCell ref="A412:F412"/>
    <mergeCell ref="A427:F427"/>
    <mergeCell ref="A785:G785"/>
    <mergeCell ref="A1382:E1382"/>
    <mergeCell ref="A922:N922"/>
    <mergeCell ref="A1240:G1240"/>
    <mergeCell ref="A1241:G1241"/>
    <mergeCell ref="A608:H608"/>
    <mergeCell ref="A783:F783"/>
  </mergeCells>
  <phoneticPr fontId="13" type="noConversion"/>
  <pageMargins left="0.7" right="0.7" top="0.75" bottom="0.75" header="0.3" footer="0.3"/>
  <pageSetup paperSize="9" scale="10" orientation="landscape" r:id="rId1"/>
  <ignoredErrors>
    <ignoredError sqref="F1358 K930 E1805:F1805 D605 H1525 H138 I406 I1377" formula="1"/>
    <ignoredError sqref="H1585 I658:K658 I689:J689 H717 H671 H1568 C702 I671:K671" unlockedFormula="1"/>
    <ignoredError sqref="C1421 H603:P603 H184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Adjustement data</vt:lpstr>
      <vt:lpstr>'Adjustement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Ochoa</dc:creator>
  <cp:lastModifiedBy>Alberto Thais Parrilla Moruno</cp:lastModifiedBy>
  <cp:lastPrinted>2021-10-08T09:47:24Z</cp:lastPrinted>
  <dcterms:created xsi:type="dcterms:W3CDTF">2018-06-01T11:58:01Z</dcterms:created>
  <dcterms:modified xsi:type="dcterms:W3CDTF">2023-10-10T12:41:28Z</dcterms:modified>
</cp:coreProperties>
</file>